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belnl.sharepoint.com/Internal/RSF/Shared Documents/Projecten/14728 - Tariefonderzoek MZ HR/6. Beslisdocument/6. Def bestanden eind mrt/"/>
    </mc:Choice>
  </mc:AlternateContent>
  <xr:revisionPtr revIDLastSave="1" documentId="8_{6F709797-989C-4D6A-8A8A-8EF3C6F0CA29}" xr6:coauthVersionLast="47" xr6:coauthVersionMax="47" xr10:uidLastSave="{20E553BA-477C-4334-8629-9C8096C5E602}"/>
  <bookViews>
    <workbookView xWindow="28680" yWindow="-120" windowWidth="29040" windowHeight="15840" xr2:uid="{00000000-000D-0000-FFFF-FFFF00000000}"/>
  </bookViews>
  <sheets>
    <sheet name="Was-wordt analyse" sheetId="2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3" i="21" l="1"/>
  <c r="U91" i="21"/>
  <c r="U84" i="21"/>
  <c r="AI8" i="21" l="1"/>
  <c r="J99" i="21" l="1"/>
  <c r="J98" i="21"/>
  <c r="J97" i="21"/>
  <c r="J96" i="21"/>
  <c r="J95" i="21"/>
  <c r="J94" i="21"/>
  <c r="J76" i="21"/>
  <c r="J75" i="21"/>
  <c r="J74" i="21"/>
  <c r="J73" i="21"/>
  <c r="J72" i="21"/>
  <c r="P112" i="21" l="1"/>
  <c r="P110" i="21"/>
  <c r="P109" i="21"/>
  <c r="P105" i="21"/>
  <c r="P103" i="21"/>
  <c r="P102" i="21"/>
  <c r="P91" i="21"/>
  <c r="P90" i="21"/>
  <c r="P89" i="21"/>
  <c r="P88" i="21"/>
  <c r="P87" i="21"/>
  <c r="P84" i="21"/>
  <c r="P83" i="21"/>
  <c r="P82" i="21"/>
  <c r="P81" i="21"/>
  <c r="P80" i="21"/>
  <c r="AE106" i="21" l="1"/>
  <c r="AE104" i="21"/>
  <c r="AE113" i="21"/>
  <c r="AE111" i="21"/>
  <c r="J80" i="21"/>
  <c r="J81" i="21"/>
  <c r="J82" i="21"/>
  <c r="J83" i="21"/>
  <c r="J84" i="21"/>
  <c r="J112" i="21"/>
  <c r="J110" i="21"/>
  <c r="J109" i="21"/>
  <c r="J105" i="21"/>
  <c r="J103" i="21"/>
  <c r="J102" i="21"/>
  <c r="U113" i="21"/>
  <c r="AB113" i="21" s="1"/>
  <c r="U112" i="21"/>
  <c r="U110" i="21"/>
  <c r="U109" i="21"/>
  <c r="U106" i="21"/>
  <c r="U105" i="21"/>
  <c r="U103" i="21"/>
  <c r="U102" i="21"/>
  <c r="U90" i="21"/>
  <c r="U88" i="21"/>
  <c r="U87" i="21"/>
  <c r="U111" i="21"/>
  <c r="U89" i="21" l="1"/>
  <c r="U104" i="21"/>
  <c r="AA79" i="21"/>
  <c r="U81" i="21"/>
  <c r="U82" i="21"/>
  <c r="U80" i="21" l="1"/>
  <c r="J91" i="21" l="1"/>
  <c r="J90" i="21"/>
  <c r="J89" i="21"/>
  <c r="J88" i="21"/>
  <c r="J87" i="21"/>
  <c r="AA108" i="21"/>
  <c r="AA101" i="21"/>
  <c r="AB98" i="21"/>
  <c r="AB97" i="21"/>
  <c r="AB96" i="21"/>
  <c r="AB95" i="21"/>
  <c r="AB94" i="21"/>
  <c r="AA93" i="21"/>
  <c r="AA86" i="21"/>
  <c r="AE43" i="21"/>
  <c r="AE36" i="21"/>
  <c r="AE29" i="21"/>
  <c r="AE22" i="21"/>
  <c r="AE15" i="21"/>
  <c r="AF113" i="21"/>
  <c r="AD113" i="21"/>
  <c r="AF111" i="21"/>
  <c r="AF106" i="21"/>
  <c r="AF104" i="21"/>
  <c r="AF98" i="21"/>
  <c r="I98" i="21"/>
  <c r="AD98" i="21" s="1"/>
  <c r="AF96" i="21"/>
  <c r="I96" i="21"/>
  <c r="AD96" i="21" s="1"/>
  <c r="AD36" i="21"/>
  <c r="AA36" i="21"/>
  <c r="F34" i="21"/>
  <c r="U83" i="21"/>
  <c r="F31" i="21"/>
  <c r="F26" i="21"/>
  <c r="F24" i="21"/>
  <c r="F20" i="21"/>
  <c r="M97" i="21"/>
  <c r="F19" i="21"/>
  <c r="F18" i="21"/>
  <c r="F17" i="21"/>
  <c r="M94" i="21"/>
  <c r="AA16" i="21"/>
  <c r="AG16" i="21" s="1"/>
  <c r="F15" i="21" l="1"/>
  <c r="M73" i="21"/>
  <c r="M95" i="21"/>
  <c r="M74" i="21"/>
  <c r="M96" i="21"/>
  <c r="L96" i="21" s="1"/>
  <c r="AE96" i="21" s="1"/>
  <c r="M76" i="21"/>
  <c r="M98" i="21"/>
  <c r="L98" i="21" s="1"/>
  <c r="AE98" i="21" s="1"/>
  <c r="H106" i="21"/>
  <c r="B106" i="21" s="1"/>
  <c r="F106" i="21"/>
  <c r="AB106" i="21" s="1"/>
  <c r="AD106" i="21"/>
  <c r="K106" i="21"/>
  <c r="I104" i="21"/>
  <c r="AC104" i="21" s="1"/>
  <c r="H104" i="21"/>
  <c r="F104" i="21"/>
  <c r="AB104" i="21" s="1"/>
  <c r="I111" i="21"/>
  <c r="F111" i="21"/>
  <c r="AB111" i="21" s="1"/>
  <c r="H111" i="21"/>
  <c r="AA26" i="21"/>
  <c r="AG26" i="21" s="1"/>
  <c r="AC106" i="21"/>
  <c r="AB93" i="21"/>
  <c r="AC113" i="21"/>
  <c r="AG113" i="21" s="1"/>
  <c r="AC96" i="21"/>
  <c r="AC98" i="21"/>
  <c r="AA17" i="21"/>
  <c r="AG17" i="21" s="1"/>
  <c r="AA27" i="21"/>
  <c r="AG27" i="21" s="1"/>
  <c r="AB34" i="21"/>
  <c r="AG34" i="21" s="1"/>
  <c r="AA18" i="21"/>
  <c r="AG18" i="21" s="1"/>
  <c r="M75" i="21"/>
  <c r="AA19" i="21"/>
  <c r="AG19" i="21" s="1"/>
  <c r="AB37" i="21"/>
  <c r="AG37" i="21" s="1"/>
  <c r="AA20" i="21"/>
  <c r="AG20" i="21" s="1"/>
  <c r="AB38" i="21"/>
  <c r="AG38" i="21" s="1"/>
  <c r="AA23" i="21"/>
  <c r="AG23" i="21" s="1"/>
  <c r="AB30" i="21"/>
  <c r="AG30" i="21" s="1"/>
  <c r="AB39" i="21"/>
  <c r="AG39" i="21" s="1"/>
  <c r="AB33" i="21"/>
  <c r="AG33" i="21" s="1"/>
  <c r="AA24" i="21"/>
  <c r="AG24" i="21" s="1"/>
  <c r="AB31" i="21"/>
  <c r="AG31" i="21" s="1"/>
  <c r="AB40" i="21"/>
  <c r="AG40" i="21" s="1"/>
  <c r="AA25" i="21"/>
  <c r="AG25" i="21" s="1"/>
  <c r="AB32" i="21"/>
  <c r="AG32" i="21" s="1"/>
  <c r="AB41" i="21"/>
  <c r="AG41" i="21" s="1"/>
  <c r="M72" i="21"/>
  <c r="AF22" i="21"/>
  <c r="AA29" i="21"/>
  <c r="F38" i="21"/>
  <c r="AC36" i="21"/>
  <c r="AB43" i="21"/>
  <c r="F39" i="21"/>
  <c r="AD43" i="21"/>
  <c r="F40" i="21"/>
  <c r="F22" i="21"/>
  <c r="F30" i="21"/>
  <c r="AD64" i="21"/>
  <c r="AD50" i="21"/>
  <c r="F23" i="21"/>
  <c r="F32" i="21"/>
  <c r="F41" i="21"/>
  <c r="F29" i="21"/>
  <c r="AA57" i="21"/>
  <c r="F33" i="21"/>
  <c r="AF43" i="21"/>
  <c r="F25" i="21"/>
  <c r="F36" i="21"/>
  <c r="F27" i="21"/>
  <c r="F37" i="21"/>
  <c r="AF29" i="21"/>
  <c r="AD57" i="21"/>
  <c r="AB15" i="21"/>
  <c r="AA64" i="21"/>
  <c r="AD29" i="21"/>
  <c r="AD15" i="21"/>
  <c r="AF57" i="21"/>
  <c r="AF15" i="21"/>
  <c r="AD22" i="21"/>
  <c r="AC29" i="21"/>
  <c r="AF36" i="21"/>
  <c r="AB50" i="21"/>
  <c r="AB71" i="21"/>
  <c r="F16" i="21"/>
  <c r="AF64" i="21"/>
  <c r="AF50" i="21"/>
  <c r="AC15" i="21"/>
  <c r="AB22" i="21"/>
  <c r="AC22" i="21"/>
  <c r="AA71" i="21"/>
  <c r="I76" i="21"/>
  <c r="AG106" i="21" l="1"/>
  <c r="K111" i="21"/>
  <c r="B111" i="21" s="1"/>
  <c r="AD111" i="21"/>
  <c r="K104" i="21"/>
  <c r="B104" i="21" s="1"/>
  <c r="AD104" i="21"/>
  <c r="AG104" i="21" s="1"/>
  <c r="AC111" i="21"/>
  <c r="I74" i="21"/>
  <c r="AB36" i="21"/>
  <c r="AG36" i="21" s="1"/>
  <c r="AG96" i="21"/>
  <c r="AG98" i="21"/>
  <c r="AC43" i="21"/>
  <c r="AB29" i="21"/>
  <c r="AG29" i="21" s="1"/>
  <c r="AA22" i="21"/>
  <c r="AC50" i="21"/>
  <c r="AA15" i="21"/>
  <c r="AG15" i="21" s="1"/>
  <c r="AC64" i="21"/>
  <c r="AC57" i="21"/>
  <c r="F43" i="21" l="1"/>
  <c r="AG111" i="21"/>
  <c r="AG22" i="21"/>
  <c r="AI22" i="21" s="1"/>
  <c r="AJ22" i="21" s="1"/>
  <c r="F84" i="21"/>
  <c r="AB84" i="21" s="1"/>
  <c r="H84" i="21"/>
  <c r="I84" i="21"/>
  <c r="AI36" i="21"/>
  <c r="AJ36" i="21" s="1"/>
  <c r="AI29" i="21"/>
  <c r="AJ29" i="21" s="1"/>
  <c r="AI15" i="21"/>
  <c r="L76" i="21"/>
  <c r="AE76" i="21" s="1"/>
  <c r="AJ15" i="21" l="1"/>
  <c r="AF102" i="21"/>
  <c r="F82" i="21"/>
  <c r="AB82" i="21" s="1"/>
  <c r="I91" i="21"/>
  <c r="K91" i="21" s="1"/>
  <c r="Q91" i="21"/>
  <c r="H89" i="21"/>
  <c r="AF89" i="21"/>
  <c r="I89" i="21"/>
  <c r="K89" i="21" s="1"/>
  <c r="H105" i="21"/>
  <c r="F105" i="21"/>
  <c r="AB105" i="21" s="1"/>
  <c r="I105" i="21"/>
  <c r="K105" i="21" s="1"/>
  <c r="AF105" i="21"/>
  <c r="F89" i="21"/>
  <c r="F102" i="21"/>
  <c r="AB102" i="21" s="1"/>
  <c r="H102" i="21"/>
  <c r="I102" i="21"/>
  <c r="I110" i="21"/>
  <c r="K110" i="21" s="1"/>
  <c r="F110" i="21"/>
  <c r="AB110" i="21" s="1"/>
  <c r="H110" i="21"/>
  <c r="I112" i="21"/>
  <c r="K112" i="21" s="1"/>
  <c r="F112" i="21"/>
  <c r="AB112" i="21" s="1"/>
  <c r="H112" i="21"/>
  <c r="I82" i="21"/>
  <c r="AC82" i="21" s="1"/>
  <c r="I103" i="21"/>
  <c r="K103" i="21" s="1"/>
  <c r="H103" i="21"/>
  <c r="F103" i="21"/>
  <c r="AB103" i="21" s="1"/>
  <c r="F109" i="21"/>
  <c r="AB109" i="21" s="1"/>
  <c r="H109" i="21"/>
  <c r="I109" i="21"/>
  <c r="K109" i="21" s="1"/>
  <c r="AF103" i="21"/>
  <c r="H82" i="21"/>
  <c r="H91" i="21"/>
  <c r="F91" i="21"/>
  <c r="B8" i="21"/>
  <c r="AF95" i="21"/>
  <c r="AB69" i="21"/>
  <c r="AG69" i="21" s="1"/>
  <c r="F69" i="21"/>
  <c r="F81" i="21"/>
  <c r="AB81" i="21" s="1"/>
  <c r="H81" i="21"/>
  <c r="I81" i="21"/>
  <c r="F83" i="21"/>
  <c r="AB83" i="21" s="1"/>
  <c r="I83" i="21"/>
  <c r="H83" i="21"/>
  <c r="I94" i="21"/>
  <c r="AF97" i="21"/>
  <c r="AF76" i="21"/>
  <c r="B9" i="21"/>
  <c r="I97" i="21"/>
  <c r="AD97" i="21" s="1"/>
  <c r="K84" i="21"/>
  <c r="AD84" i="21"/>
  <c r="AC84" i="21"/>
  <c r="I95" i="21"/>
  <c r="AD95" i="21" s="1"/>
  <c r="B7" i="21"/>
  <c r="AF94" i="21"/>
  <c r="L74" i="21"/>
  <c r="AE74" i="21" s="1"/>
  <c r="F80" i="21"/>
  <c r="AB80" i="21" s="1"/>
  <c r="H80" i="21"/>
  <c r="I80" i="21"/>
  <c r="AF101" i="21" l="1"/>
  <c r="AC105" i="21"/>
  <c r="AD105" i="21"/>
  <c r="B10" i="21"/>
  <c r="B11" i="21"/>
  <c r="Q89" i="21"/>
  <c r="AC97" i="21"/>
  <c r="AB79" i="21"/>
  <c r="AC91" i="21"/>
  <c r="AD91" i="21"/>
  <c r="AC95" i="21"/>
  <c r="AD89" i="21"/>
  <c r="L97" i="21"/>
  <c r="AE97" i="21" s="1"/>
  <c r="L94" i="21"/>
  <c r="AE94" i="21" s="1"/>
  <c r="L95" i="21"/>
  <c r="AE95" i="21" s="1"/>
  <c r="AB91" i="21"/>
  <c r="AB89" i="21"/>
  <c r="AC89" i="21"/>
  <c r="AF110" i="21"/>
  <c r="AF112" i="21"/>
  <c r="Q103" i="21"/>
  <c r="AC103" i="21"/>
  <c r="AD103" i="21"/>
  <c r="AD82" i="21"/>
  <c r="Q105" i="21"/>
  <c r="AF91" i="21"/>
  <c r="M80" i="21"/>
  <c r="M87" i="21"/>
  <c r="M81" i="21"/>
  <c r="M109" i="21"/>
  <c r="M102" i="21"/>
  <c r="M88" i="21"/>
  <c r="M82" i="21"/>
  <c r="M110" i="21"/>
  <c r="M89" i="21"/>
  <c r="M103" i="21"/>
  <c r="M105" i="21"/>
  <c r="M91" i="21"/>
  <c r="L91" i="21" s="1"/>
  <c r="AE91" i="21" s="1"/>
  <c r="M90" i="21"/>
  <c r="M112" i="21"/>
  <c r="K82" i="21"/>
  <c r="Q102" i="21"/>
  <c r="K102" i="21"/>
  <c r="AC102" i="21"/>
  <c r="AD102" i="21"/>
  <c r="F52" i="21"/>
  <c r="AA52" i="21"/>
  <c r="AG52" i="21" s="1"/>
  <c r="K81" i="21"/>
  <c r="AD81" i="21"/>
  <c r="AC81" i="21"/>
  <c r="AB67" i="21"/>
  <c r="AG67" i="21" s="1"/>
  <c r="F67" i="21"/>
  <c r="AF82" i="21"/>
  <c r="Q82" i="21"/>
  <c r="Q83" i="21"/>
  <c r="AF83" i="21"/>
  <c r="AC109" i="21"/>
  <c r="AD109" i="21"/>
  <c r="AD94" i="21"/>
  <c r="AD93" i="21" s="1"/>
  <c r="AC94" i="21"/>
  <c r="AA51" i="21"/>
  <c r="AG51" i="21" s="1"/>
  <c r="F51" i="21"/>
  <c r="Q80" i="21"/>
  <c r="AF80" i="21"/>
  <c r="F44" i="21"/>
  <c r="AA44" i="21"/>
  <c r="AG44" i="21" s="1"/>
  <c r="AF93" i="21"/>
  <c r="AB65" i="21"/>
  <c r="AG65" i="21" s="1"/>
  <c r="F65" i="21"/>
  <c r="I75" i="21"/>
  <c r="F62" i="21"/>
  <c r="AB62" i="21"/>
  <c r="AG62" i="21" s="1"/>
  <c r="AF81" i="21"/>
  <c r="Q81" i="21"/>
  <c r="AA47" i="21"/>
  <c r="AG47" i="21" s="1"/>
  <c r="F47" i="21"/>
  <c r="AA45" i="21"/>
  <c r="AG45" i="21" s="1"/>
  <c r="F45" i="21"/>
  <c r="I73" i="21"/>
  <c r="AF73" i="21"/>
  <c r="F64" i="21"/>
  <c r="AF74" i="21"/>
  <c r="AA54" i="21"/>
  <c r="AG54" i="21" s="1"/>
  <c r="F54" i="21"/>
  <c r="F60" i="21"/>
  <c r="AB60" i="21"/>
  <c r="AG60" i="21" s="1"/>
  <c r="AB66" i="21"/>
  <c r="AG66" i="21" s="1"/>
  <c r="F66" i="21"/>
  <c r="AD112" i="21"/>
  <c r="AC112" i="21"/>
  <c r="I72" i="21"/>
  <c r="AF75" i="21"/>
  <c r="AA48" i="21"/>
  <c r="AG48" i="21" s="1"/>
  <c r="F48" i="21"/>
  <c r="F57" i="21"/>
  <c r="AF84" i="21"/>
  <c r="Q84" i="21"/>
  <c r="F53" i="21"/>
  <c r="AA53" i="21"/>
  <c r="AG53" i="21" s="1"/>
  <c r="AB58" i="21"/>
  <c r="AG58" i="21" s="1"/>
  <c r="F58" i="21"/>
  <c r="M84" i="21"/>
  <c r="M83" i="21"/>
  <c r="AD110" i="21"/>
  <c r="AC110" i="21"/>
  <c r="AC80" i="21"/>
  <c r="K80" i="21"/>
  <c r="AD80" i="21"/>
  <c r="AF72" i="21"/>
  <c r="F68" i="21"/>
  <c r="AB68" i="21"/>
  <c r="AG68" i="21" s="1"/>
  <c r="F55" i="21"/>
  <c r="AA55" i="21"/>
  <c r="AG55" i="21" s="1"/>
  <c r="K83" i="21"/>
  <c r="AD83" i="21"/>
  <c r="AC83" i="21"/>
  <c r="AF79" i="21" l="1"/>
  <c r="B12" i="21"/>
  <c r="AG97" i="21"/>
  <c r="L89" i="21"/>
  <c r="AE89" i="21" s="1"/>
  <c r="AG89" i="21" s="1"/>
  <c r="F50" i="21"/>
  <c r="AG95" i="21"/>
  <c r="AD101" i="21"/>
  <c r="AC101" i="21"/>
  <c r="AE93" i="21"/>
  <c r="Q110" i="21"/>
  <c r="L110" i="21" s="1"/>
  <c r="AE110" i="21" s="1"/>
  <c r="AB108" i="21"/>
  <c r="L103" i="21"/>
  <c r="AF109" i="21"/>
  <c r="AF108" i="21" s="1"/>
  <c r="Q112" i="21"/>
  <c r="L112" i="21" s="1"/>
  <c r="AE112" i="21" s="1"/>
  <c r="L102" i="21"/>
  <c r="L105" i="21"/>
  <c r="AG91" i="21"/>
  <c r="N91" i="21"/>
  <c r="B91" i="21" s="1"/>
  <c r="AB101" i="21"/>
  <c r="L82" i="21"/>
  <c r="AC79" i="21"/>
  <c r="AF71" i="21"/>
  <c r="H88" i="21"/>
  <c r="F88" i="21"/>
  <c r="AB88" i="21" s="1"/>
  <c r="I88" i="21"/>
  <c r="AA50" i="21"/>
  <c r="F46" i="21"/>
  <c r="AA46" i="21"/>
  <c r="AG46" i="21" s="1"/>
  <c r="L75" i="21"/>
  <c r="AE75" i="21" s="1"/>
  <c r="AD108" i="21"/>
  <c r="I90" i="21"/>
  <c r="H90" i="21"/>
  <c r="F90" i="21"/>
  <c r="AB90" i="21" s="1"/>
  <c r="AB64" i="21"/>
  <c r="AC108" i="21"/>
  <c r="L80" i="21"/>
  <c r="AE80" i="21" s="1"/>
  <c r="L81" i="21"/>
  <c r="AE81" i="21" s="1"/>
  <c r="I87" i="21"/>
  <c r="F87" i="21"/>
  <c r="AB87" i="21" s="1"/>
  <c r="H87" i="21"/>
  <c r="AC93" i="21"/>
  <c r="AG94" i="21"/>
  <c r="F61" i="21"/>
  <c r="AB61" i="21"/>
  <c r="AG61" i="21" s="1"/>
  <c r="AD79" i="21"/>
  <c r="F59" i="21"/>
  <c r="AB59" i="21"/>
  <c r="AG59" i="21" s="1"/>
  <c r="L83" i="21"/>
  <c r="AE83" i="21" s="1"/>
  <c r="L84" i="21"/>
  <c r="AE84" i="21" s="1"/>
  <c r="AD72" i="21"/>
  <c r="AC72" i="21"/>
  <c r="L73" i="21"/>
  <c r="AE73" i="21" s="1"/>
  <c r="L72" i="21"/>
  <c r="AE72" i="21" s="1"/>
  <c r="N89" i="21" l="1"/>
  <c r="B89" i="21" s="1"/>
  <c r="AG93" i="21"/>
  <c r="AG64" i="21"/>
  <c r="AI64" i="21" s="1"/>
  <c r="AJ64" i="21" s="1"/>
  <c r="N103" i="21"/>
  <c r="B103" i="21" s="1"/>
  <c r="AE103" i="21"/>
  <c r="AG103" i="21" s="1"/>
  <c r="AG50" i="21"/>
  <c r="AI50" i="21" s="1"/>
  <c r="AJ50" i="21" s="1"/>
  <c r="AE105" i="21"/>
  <c r="AG105" i="21" s="1"/>
  <c r="AE102" i="21"/>
  <c r="AG102" i="21" s="1"/>
  <c r="AE82" i="21"/>
  <c r="AG82" i="21" s="1"/>
  <c r="N102" i="21"/>
  <c r="B102" i="21" s="1"/>
  <c r="N110" i="21"/>
  <c r="B110" i="21" s="1"/>
  <c r="AG110" i="21"/>
  <c r="Q109" i="21"/>
  <c r="L109" i="21" s="1"/>
  <c r="AE109" i="21" s="1"/>
  <c r="N112" i="21"/>
  <c r="B112" i="21" s="1"/>
  <c r="AG112" i="21"/>
  <c r="N105" i="21"/>
  <c r="B105" i="21" s="1"/>
  <c r="N82" i="21"/>
  <c r="B82" i="21" s="1"/>
  <c r="AE71" i="21"/>
  <c r="AA43" i="21"/>
  <c r="AB57" i="21"/>
  <c r="K90" i="21"/>
  <c r="AC90" i="21"/>
  <c r="AD90" i="21"/>
  <c r="N80" i="21"/>
  <c r="B80" i="21" s="1"/>
  <c r="AG72" i="21"/>
  <c r="N83" i="21"/>
  <c r="B83" i="21" s="1"/>
  <c r="AG83" i="21"/>
  <c r="K88" i="21"/>
  <c r="AD88" i="21"/>
  <c r="AC88" i="21"/>
  <c r="N84" i="21"/>
  <c r="B84" i="21" s="1"/>
  <c r="AG84" i="21"/>
  <c r="K87" i="21"/>
  <c r="AC87" i="21"/>
  <c r="AD87" i="21"/>
  <c r="AF90" i="21"/>
  <c r="Q90" i="21"/>
  <c r="AF87" i="21"/>
  <c r="Q87" i="21"/>
  <c r="Q88" i="21"/>
  <c r="AF88" i="21"/>
  <c r="N81" i="21"/>
  <c r="B81" i="21" s="1"/>
  <c r="AG81" i="21"/>
  <c r="AF86" i="21" l="1"/>
  <c r="AI93" i="21"/>
  <c r="AJ93" i="21" s="1"/>
  <c r="L90" i="21"/>
  <c r="AE90" i="21" s="1"/>
  <c r="AG43" i="21"/>
  <c r="AG57" i="21"/>
  <c r="AI57" i="21" s="1"/>
  <c r="AJ57" i="21" s="1"/>
  <c r="AG109" i="21"/>
  <c r="AE108" i="21"/>
  <c r="AG108" i="21" s="1"/>
  <c r="AI108" i="21" s="1"/>
  <c r="AJ108" i="21" s="1"/>
  <c r="N109" i="21"/>
  <c r="B109" i="21" s="1"/>
  <c r="AE101" i="21"/>
  <c r="AG101" i="21" s="1"/>
  <c r="AI101" i="21" s="1"/>
  <c r="AJ101" i="21" s="1"/>
  <c r="AC86" i="21"/>
  <c r="AA5" i="21"/>
  <c r="AD86" i="21"/>
  <c r="L88" i="21"/>
  <c r="AF5" i="21"/>
  <c r="AB86" i="21"/>
  <c r="AB5" i="21" s="1"/>
  <c r="AG80" i="21"/>
  <c r="AE79" i="21"/>
  <c r="L87" i="21"/>
  <c r="AE87" i="21" s="1"/>
  <c r="C7" i="21" l="1"/>
  <c r="C9" i="21"/>
  <c r="AI43" i="21"/>
  <c r="AJ43" i="21" s="1"/>
  <c r="N88" i="21"/>
  <c r="B88" i="21" s="1"/>
  <c r="AE88" i="21"/>
  <c r="AG88" i="21" s="1"/>
  <c r="AG79" i="21"/>
  <c r="AG90" i="21"/>
  <c r="N90" i="21"/>
  <c r="B90" i="21" s="1"/>
  <c r="N87" i="21"/>
  <c r="B87" i="21" s="1"/>
  <c r="AI79" i="21" l="1"/>
  <c r="AJ79" i="21" s="1"/>
  <c r="AE86" i="21"/>
  <c r="AG87" i="21"/>
  <c r="AG86" i="21" l="1"/>
  <c r="AE5" i="21"/>
  <c r="AI86" i="21" l="1"/>
  <c r="AJ86" i="21" s="1"/>
  <c r="AC75" i="21" l="1"/>
  <c r="AC76" i="21"/>
  <c r="AC74" i="21"/>
  <c r="AD74" i="21"/>
  <c r="AD75" i="21"/>
  <c r="AD76" i="21"/>
  <c r="AG76" i="21" l="1"/>
  <c r="AG74" i="21"/>
  <c r="AG75" i="21"/>
  <c r="AD73" i="21"/>
  <c r="AD71" i="21" s="1"/>
  <c r="AD5" i="21" s="1"/>
  <c r="AC73" i="21" l="1"/>
  <c r="AC71" i="21" s="1"/>
  <c r="AC5" i="21" l="1"/>
  <c r="AG71" i="21"/>
  <c r="AG73" i="21"/>
  <c r="D7" i="21" l="1"/>
  <c r="E7" i="21" s="1"/>
  <c r="C8" i="21"/>
  <c r="D8" i="21" s="1"/>
  <c r="E8" i="21" s="1"/>
  <c r="C11" i="21"/>
  <c r="AG5" i="21"/>
  <c r="AI71" i="21"/>
  <c r="D11" i="21" s="1"/>
  <c r="C10" i="21" l="1"/>
  <c r="D10" i="21" s="1"/>
  <c r="D9" i="21"/>
  <c r="E9" i="21" s="1"/>
  <c r="AJ71" i="21"/>
  <c r="C12" i="21" l="1"/>
  <c r="E10" i="21"/>
  <c r="D12" i="21"/>
</calcChain>
</file>

<file path=xl/sharedStrings.xml><?xml version="1.0" encoding="utf-8"?>
<sst xmlns="http://schemas.openxmlformats.org/spreadsheetml/2006/main" count="261" uniqueCount="75">
  <si>
    <t>Totaal</t>
  </si>
  <si>
    <t>check aansluiting</t>
  </si>
  <si>
    <t>per uur</t>
  </si>
  <si>
    <t>per dag</t>
  </si>
  <si>
    <t>per dagdeel</t>
  </si>
  <si>
    <t>Tarief 2020</t>
  </si>
  <si>
    <t>BW</t>
  </si>
  <si>
    <t>GGZ</t>
  </si>
  <si>
    <t>GHZ</t>
  </si>
  <si>
    <t>SW</t>
  </si>
  <si>
    <t>JW</t>
  </si>
  <si>
    <t>VVT</t>
  </si>
  <si>
    <t>Product</t>
  </si>
  <si>
    <t>CAO</t>
  </si>
  <si>
    <t>Kosten 2020</t>
  </si>
  <si>
    <t>Volume 2020</t>
  </si>
  <si>
    <t>Begeleiding individueel basis</t>
  </si>
  <si>
    <t>Begeleiding individueel speciaal</t>
  </si>
  <si>
    <t>Begeleiding groep basis</t>
  </si>
  <si>
    <t>Begeleiding groep speciaal</t>
  </si>
  <si>
    <t>tijdseenheid</t>
  </si>
  <si>
    <t>Verblijf op en afroep - subregionaal</t>
  </si>
  <si>
    <t>Verblijf basis - subregionaal</t>
  </si>
  <si>
    <t>Verblijf zwaar - subregionaal</t>
  </si>
  <si>
    <t>Verblijf op en afroep - regionaal</t>
  </si>
  <si>
    <t>Verblijf basis - regionaal</t>
  </si>
  <si>
    <t>Verblijf zwaar - regionaal</t>
  </si>
  <si>
    <t>Ambulant</t>
  </si>
  <si>
    <t>Verblijf - zorgdeel</t>
  </si>
  <si>
    <t>Verblijf - woondeel</t>
  </si>
  <si>
    <t>Wmo</t>
  </si>
  <si>
    <t>BW / Wmo</t>
  </si>
  <si>
    <t>Uit tabbladen 'Volume BGI-BGG' &amp; 'Volume BW'</t>
  </si>
  <si>
    <t>woondeel</t>
  </si>
  <si>
    <t>BGI</t>
  </si>
  <si>
    <t>overdag</t>
  </si>
  <si>
    <t>'s nachts</t>
  </si>
  <si>
    <t>(vaste formatie op de groep)</t>
  </si>
  <si>
    <t>(individuele begeleiding)</t>
  </si>
  <si>
    <t>(huur kamer)</t>
  </si>
  <si>
    <t>BGG/DB</t>
  </si>
  <si>
    <t xml:space="preserve">Ambulant </t>
  </si>
  <si>
    <t xml:space="preserve">Verblijf - zorgdeel </t>
  </si>
  <si>
    <t>aan/uit</t>
  </si>
  <si>
    <t>Was (huidig)</t>
  </si>
  <si>
    <t>Wordt (toekomstig)</t>
  </si>
  <si>
    <t>Diff (nieuw - oud)</t>
  </si>
  <si>
    <t>diff %</t>
  </si>
  <si>
    <t xml:space="preserve">sum </t>
  </si>
  <si>
    <t>Wmo - Subregionaal</t>
  </si>
  <si>
    <t xml:space="preserve">BW - Regionaal </t>
  </si>
  <si>
    <t xml:space="preserve">BW - Subregionaal </t>
  </si>
  <si>
    <t>avg uit data</t>
  </si>
  <si>
    <t>(2) Budget BW naar Vaste aanwezigheid</t>
  </si>
  <si>
    <t>(1) Budget BW naar Daginvulling</t>
  </si>
  <si>
    <t>(3) Budget BW naar Ind Beg binnen Wonen met ondersteuning</t>
  </si>
  <si>
    <t>(4) Budget BW naar Huur kamer en Materiële Cliëntgebonden kosten</t>
  </si>
  <si>
    <t>Daginvulling / Ind. Beg. (Ambulant)</t>
  </si>
  <si>
    <t xml:space="preserve">Verblijf </t>
  </si>
  <si>
    <t>Verblijf</t>
  </si>
  <si>
    <t>(ind. beg binnen Wonen met ondersteuning)</t>
  </si>
  <si>
    <t>(huur kamer en mat. cgb. kosten)</t>
  </si>
  <si>
    <t>Daginvulling</t>
  </si>
  <si>
    <r>
      <t xml:space="preserve">Nieuwe tarieven </t>
    </r>
    <r>
      <rPr>
        <b/>
        <sz val="5.5"/>
        <color theme="0"/>
        <rFont val="Calibri"/>
        <family val="2"/>
      </rPr>
      <t>(pp 2020)</t>
    </r>
  </si>
  <si>
    <t>Sociaal Beheer</t>
  </si>
  <si>
    <t>Module</t>
  </si>
  <si>
    <t>Veiligheid</t>
  </si>
  <si>
    <t>Ind beg binnen</t>
  </si>
  <si>
    <t>Wonen met Ondersteuning</t>
  </si>
  <si>
    <t xml:space="preserve">Huur kamer </t>
  </si>
  <si>
    <t>en mat. cgb. kosten</t>
  </si>
  <si>
    <t>Wordt (nieuwe productstructuur)</t>
  </si>
  <si>
    <t>Was (huidige productstructuur)</t>
  </si>
  <si>
    <t>Toename volume BGI en daginvulling door ruimere definitie indirecte cgb tijd</t>
  </si>
  <si>
    <t>Let op: aanpassen van onderstaande getallen verandert de uitkomsten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</si>
</sst>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);\(#,##0\);&quot;-  &quot;;&quot; &quot;@&quot; &quot;"/>
    <numFmt numFmtId="165" formatCode="0.00_)%_);\(0.00\)%_);&quot;-  &quot;;&quot; &quot;@&quot; &quot;"/>
    <numFmt numFmtId="166" formatCode="#,##0.0000_);\(#,##0.0000\);&quot;-  &quot;;&quot; &quot;@&quot; &quot;"/>
    <numFmt numFmtId="167" formatCode="dd\ mmm\ yyyy_);\(###0\);&quot;-  &quot;;&quot; &quot;@&quot; &quot;"/>
    <numFmt numFmtId="168" formatCode="dd\ mmm\ yy_);\(###0\);&quot;-  &quot;;&quot; &quot;@&quot; &quot;"/>
    <numFmt numFmtId="169" formatCode="###0_);\(###0\);&quot;-  &quot;;&quot; &quot;@&quot; &quot;"/>
    <numFmt numFmtId="170" formatCode="#,##0.00_);\(#,##0.00\);&quot;-  &quot;;&quot; &quot;@&quot; &quot;"/>
    <numFmt numFmtId="171" formatCode="0.0_)%_);\(0.0\)%_);&quot;-  &quot;;&quot; &quot;@&quot; &quot;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0"/>
      <color theme="1"/>
      <name val="Cambria"/>
      <family val="2"/>
      <scheme val="maj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Ebrima"/>
    </font>
    <font>
      <b/>
      <sz val="10"/>
      <name val="Ebrima"/>
    </font>
    <font>
      <sz val="10"/>
      <color rgb="FFFF0000"/>
      <name val="Ebrima"/>
    </font>
    <font>
      <sz val="10"/>
      <color rgb="FF000000"/>
      <name val="Ebrima"/>
    </font>
    <font>
      <b/>
      <sz val="10"/>
      <color rgb="FF000000"/>
      <name val="Calibri"/>
      <family val="2"/>
      <scheme val="minor"/>
    </font>
    <font>
      <b/>
      <u/>
      <sz val="10"/>
      <name val="Ebrima"/>
    </font>
    <font>
      <i/>
      <sz val="11"/>
      <color rgb="FF000000"/>
      <name val="Calibri"/>
      <family val="2"/>
      <scheme val="minor"/>
    </font>
    <font>
      <i/>
      <sz val="10"/>
      <name val="Ebrima"/>
    </font>
    <font>
      <i/>
      <sz val="11"/>
      <color theme="1"/>
      <name val="Calibri"/>
      <family val="2"/>
      <scheme val="minor"/>
    </font>
    <font>
      <b/>
      <sz val="5.5"/>
      <color theme="0"/>
      <name val="Calibri"/>
      <family val="2"/>
    </font>
    <font>
      <b/>
      <sz val="12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Up">
        <bgColor theme="4" tint="0.79998168889431442"/>
      </patternFill>
    </fill>
    <fill>
      <patternFill patternType="solid">
        <fgColor theme="3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164" fontId="0" fillId="0" borderId="0" applyFont="0" applyFill="0" applyBorder="0" applyProtection="0">
      <alignment vertical="top"/>
    </xf>
    <xf numFmtId="165" fontId="3" fillId="0" borderId="0" applyFont="0" applyFill="0" applyBorder="0" applyProtection="0">
      <alignment vertical="top"/>
    </xf>
    <xf numFmtId="166" fontId="3" fillId="0" borderId="0" applyFont="0" applyFill="0" applyBorder="0" applyProtection="0">
      <alignment vertical="top"/>
    </xf>
    <xf numFmtId="167" fontId="3" fillId="0" borderId="0" applyFont="0" applyFill="0" applyBorder="0" applyProtection="0">
      <alignment vertical="top"/>
    </xf>
    <xf numFmtId="168" fontId="3" fillId="0" borderId="0" applyFont="0" applyFill="0" applyBorder="0" applyProtection="0">
      <alignment vertical="top"/>
    </xf>
    <xf numFmtId="169" fontId="3" fillId="0" borderId="0" applyFont="0" applyFill="0" applyBorder="0" applyProtection="0">
      <alignment vertical="top"/>
    </xf>
    <xf numFmtId="0" fontId="9" fillId="0" borderId="0"/>
    <xf numFmtId="0" fontId="9" fillId="0" borderId="0"/>
    <xf numFmtId="0" fontId="2" fillId="0" borderId="0"/>
  </cellStyleXfs>
  <cellXfs count="95">
    <xf numFmtId="164" fontId="0" fillId="0" borderId="0" xfId="0">
      <alignment vertical="top"/>
    </xf>
    <xf numFmtId="164" fontId="5" fillId="2" borderId="0" xfId="0" applyFont="1" applyFill="1">
      <alignment vertical="top"/>
    </xf>
    <xf numFmtId="164" fontId="4" fillId="2" borderId="0" xfId="0" applyFont="1" applyFill="1">
      <alignment vertical="top"/>
    </xf>
    <xf numFmtId="164" fontId="7" fillId="2" borderId="0" xfId="0" applyFont="1" applyFill="1">
      <alignment vertical="top"/>
    </xf>
    <xf numFmtId="0" fontId="8" fillId="0" borderId="0" xfId="6" applyFont="1"/>
    <xf numFmtId="164" fontId="5" fillId="0" borderId="0" xfId="0" applyFont="1" applyFill="1">
      <alignment vertical="top"/>
    </xf>
    <xf numFmtId="0" fontId="8" fillId="0" borderId="0" xfId="6" applyFont="1" applyBorder="1"/>
    <xf numFmtId="164" fontId="5" fillId="2" borderId="2" xfId="0" applyFont="1" applyFill="1" applyBorder="1">
      <alignment vertical="top"/>
    </xf>
    <xf numFmtId="0" fontId="11" fillId="0" borderId="0" xfId="6" applyFont="1" applyBorder="1"/>
    <xf numFmtId="164" fontId="11" fillId="0" borderId="0" xfId="6" applyNumberFormat="1" applyFont="1"/>
    <xf numFmtId="0" fontId="11" fillId="0" borderId="0" xfId="6" applyFont="1"/>
    <xf numFmtId="164" fontId="11" fillId="0" borderId="0" xfId="0" applyFont="1">
      <alignment vertical="top"/>
    </xf>
    <xf numFmtId="164" fontId="11" fillId="4" borderId="0" xfId="0" applyFont="1" applyFill="1">
      <alignment vertical="top"/>
    </xf>
    <xf numFmtId="164" fontId="4" fillId="2" borderId="3" xfId="0" applyFont="1" applyFill="1" applyBorder="1">
      <alignment vertical="top"/>
    </xf>
    <xf numFmtId="0" fontId="8" fillId="0" borderId="0" xfId="6" applyFont="1" applyFill="1"/>
    <xf numFmtId="164" fontId="10" fillId="0" borderId="0" xfId="0" applyFont="1" applyFill="1">
      <alignment vertical="top"/>
    </xf>
    <xf numFmtId="164" fontId="14" fillId="0" borderId="0" xfId="0" applyFont="1" applyFill="1">
      <alignment vertical="top"/>
    </xf>
    <xf numFmtId="164" fontId="5" fillId="2" borderId="0" xfId="0" applyFont="1" applyFill="1" applyAlignment="1">
      <alignment horizontal="right" vertical="top"/>
    </xf>
    <xf numFmtId="164" fontId="11" fillId="0" borderId="0" xfId="0" applyNumberFormat="1" applyFont="1">
      <alignment vertical="top"/>
    </xf>
    <xf numFmtId="164" fontId="5" fillId="2" borderId="0" xfId="0" quotePrefix="1" applyFont="1" applyFill="1">
      <alignment vertical="top"/>
    </xf>
    <xf numFmtId="170" fontId="11" fillId="4" borderId="0" xfId="0" applyNumberFormat="1" applyFont="1" applyFill="1">
      <alignment vertical="top"/>
    </xf>
    <xf numFmtId="164" fontId="11" fillId="0" borderId="0" xfId="0" applyFont="1" applyFill="1">
      <alignment vertical="top"/>
    </xf>
    <xf numFmtId="164" fontId="11" fillId="0" borderId="0" xfId="0" applyNumberFormat="1" applyFont="1" applyFill="1">
      <alignment vertical="top"/>
    </xf>
    <xf numFmtId="170" fontId="11" fillId="0" borderId="0" xfId="0" applyNumberFormat="1" applyFont="1">
      <alignment vertical="top"/>
    </xf>
    <xf numFmtId="170" fontId="11" fillId="0" borderId="0" xfId="0" applyNumberFormat="1" applyFont="1" applyFill="1">
      <alignment vertical="top"/>
    </xf>
    <xf numFmtId="164" fontId="12" fillId="0" borderId="3" xfId="0" applyFont="1" applyFill="1" applyBorder="1">
      <alignment vertical="top"/>
    </xf>
    <xf numFmtId="164" fontId="5" fillId="2" borderId="0" xfId="0" applyFont="1" applyFill="1" applyAlignment="1">
      <alignment horizontal="left" vertical="top"/>
    </xf>
    <xf numFmtId="164" fontId="16" fillId="0" borderId="0" xfId="0" applyFont="1">
      <alignment vertical="top"/>
    </xf>
    <xf numFmtId="164" fontId="5" fillId="9" borderId="0" xfId="0" applyFont="1" applyFill="1">
      <alignment vertical="top"/>
    </xf>
    <xf numFmtId="164" fontId="10" fillId="9" borderId="0" xfId="0" applyFont="1" applyFill="1">
      <alignment vertical="top"/>
    </xf>
    <xf numFmtId="0" fontId="11" fillId="0" borderId="0" xfId="6" applyFont="1" applyBorder="1" applyAlignment="1">
      <alignment horizontal="right"/>
    </xf>
    <xf numFmtId="0" fontId="8" fillId="3" borderId="0" xfId="6" applyFont="1" applyFill="1"/>
    <xf numFmtId="0" fontId="8" fillId="5" borderId="0" xfId="6" applyFont="1" applyFill="1"/>
    <xf numFmtId="164" fontId="18" fillId="0" borderId="0" xfId="0" applyFont="1">
      <alignment vertical="top"/>
    </xf>
    <xf numFmtId="0" fontId="1" fillId="0" borderId="0" xfId="6" applyFont="1"/>
    <xf numFmtId="0" fontId="1" fillId="4" borderId="0" xfId="6" applyFont="1" applyFill="1"/>
    <xf numFmtId="0" fontId="19" fillId="0" borderId="0" xfId="6" applyFont="1"/>
    <xf numFmtId="164" fontId="1" fillId="0" borderId="0" xfId="6" applyNumberFormat="1" applyFont="1"/>
    <xf numFmtId="0" fontId="1" fillId="0" borderId="0" xfId="6" applyFont="1" applyFill="1"/>
    <xf numFmtId="171" fontId="1" fillId="4" borderId="0" xfId="1" applyNumberFormat="1" applyFont="1" applyFill="1">
      <alignment vertical="top"/>
    </xf>
    <xf numFmtId="164" fontId="6" fillId="7" borderId="0" xfId="0" applyFont="1" applyFill="1" applyBorder="1">
      <alignment vertical="top"/>
    </xf>
    <xf numFmtId="164" fontId="15" fillId="7" borderId="3" xfId="0" applyFont="1" applyFill="1" applyBorder="1">
      <alignment vertical="top"/>
    </xf>
    <xf numFmtId="164" fontId="5" fillId="7" borderId="0" xfId="0" applyFont="1" applyFill="1">
      <alignment vertical="top"/>
    </xf>
    <xf numFmtId="164" fontId="4" fillId="7" borderId="3" xfId="0" applyFont="1" applyFill="1" applyBorder="1">
      <alignment vertical="top"/>
    </xf>
    <xf numFmtId="0" fontId="8" fillId="7" borderId="0" xfId="6" applyFont="1" applyFill="1"/>
    <xf numFmtId="164" fontId="12" fillId="7" borderId="3" xfId="0" applyFont="1" applyFill="1" applyBorder="1">
      <alignment vertical="top"/>
    </xf>
    <xf numFmtId="164" fontId="11" fillId="7" borderId="0" xfId="0" applyFont="1" applyFill="1">
      <alignment vertical="top"/>
    </xf>
    <xf numFmtId="0" fontId="11" fillId="10" borderId="0" xfId="6" applyFont="1" applyFill="1" applyBorder="1"/>
    <xf numFmtId="164" fontId="11" fillId="10" borderId="0" xfId="6" applyNumberFormat="1" applyFont="1" applyFill="1"/>
    <xf numFmtId="164" fontId="11" fillId="10" borderId="0" xfId="0" applyFont="1" applyFill="1">
      <alignment vertical="top"/>
    </xf>
    <xf numFmtId="0" fontId="13" fillId="11" borderId="0" xfId="7" applyFont="1" applyFill="1" applyAlignment="1">
      <alignment horizontal="right"/>
    </xf>
    <xf numFmtId="164" fontId="12" fillId="10" borderId="0" xfId="0" applyFont="1" applyFill="1" applyBorder="1">
      <alignment vertical="top"/>
    </xf>
    <xf numFmtId="164" fontId="12" fillId="10" borderId="3" xfId="0" applyFont="1" applyFill="1" applyBorder="1">
      <alignment vertical="top"/>
    </xf>
    <xf numFmtId="0" fontId="8" fillId="10" borderId="0" xfId="6" applyFont="1" applyFill="1"/>
    <xf numFmtId="0" fontId="1" fillId="10" borderId="0" xfId="6" applyFont="1" applyFill="1"/>
    <xf numFmtId="170" fontId="11" fillId="10" borderId="0" xfId="0" applyNumberFormat="1" applyFont="1" applyFill="1">
      <alignment vertical="top"/>
    </xf>
    <xf numFmtId="164" fontId="11" fillId="10" borderId="0" xfId="0" applyNumberFormat="1" applyFont="1" applyFill="1">
      <alignment vertical="top"/>
    </xf>
    <xf numFmtId="165" fontId="11" fillId="10" borderId="0" xfId="1" applyFont="1" applyFill="1">
      <alignment vertical="top"/>
    </xf>
    <xf numFmtId="164" fontId="19" fillId="10" borderId="0" xfId="6" applyNumberFormat="1" applyFont="1" applyFill="1"/>
    <xf numFmtId="165" fontId="19" fillId="10" borderId="0" xfId="1" applyFont="1" applyFill="1">
      <alignment vertical="top"/>
    </xf>
    <xf numFmtId="164" fontId="19" fillId="0" borderId="0" xfId="6" applyNumberFormat="1" applyFont="1"/>
    <xf numFmtId="0" fontId="19" fillId="0" borderId="0" xfId="6" quotePrefix="1" applyFont="1"/>
    <xf numFmtId="0" fontId="8" fillId="5" borderId="0" xfId="6" applyFont="1" applyFill="1" applyBorder="1"/>
    <xf numFmtId="0" fontId="1" fillId="5" borderId="0" xfId="6" applyFont="1" applyFill="1"/>
    <xf numFmtId="164" fontId="10" fillId="7" borderId="0" xfId="0" applyFont="1" applyFill="1">
      <alignment vertical="top"/>
    </xf>
    <xf numFmtId="164" fontId="6" fillId="7" borderId="1" xfId="0" applyFont="1" applyFill="1" applyBorder="1">
      <alignment vertical="top"/>
    </xf>
    <xf numFmtId="164" fontId="6" fillId="7" borderId="4" xfId="0" applyFont="1" applyFill="1" applyBorder="1">
      <alignment vertical="top"/>
    </xf>
    <xf numFmtId="164" fontId="17" fillId="9" borderId="0" xfId="0" applyFont="1" applyFill="1" applyAlignment="1">
      <alignment horizontal="right" vertical="top"/>
    </xf>
    <xf numFmtId="165" fontId="19" fillId="7" borderId="0" xfId="1" applyFont="1" applyFill="1">
      <alignment vertical="top"/>
    </xf>
    <xf numFmtId="164" fontId="6" fillId="9" borderId="2" xfId="0" applyFont="1" applyFill="1" applyBorder="1">
      <alignment vertical="top"/>
    </xf>
    <xf numFmtId="164" fontId="6" fillId="7" borderId="3" xfId="0" applyFont="1" applyFill="1" applyBorder="1">
      <alignment vertical="top"/>
    </xf>
    <xf numFmtId="165" fontId="19" fillId="0" borderId="0" xfId="1" applyFont="1" applyFill="1">
      <alignment vertical="top"/>
    </xf>
    <xf numFmtId="164" fontId="4" fillId="0" borderId="0" xfId="0" applyFont="1" applyFill="1" applyBorder="1">
      <alignment vertical="top"/>
    </xf>
    <xf numFmtId="164" fontId="17" fillId="0" borderId="0" xfId="0" applyFont="1" applyFill="1" applyBorder="1">
      <alignment vertical="top"/>
    </xf>
    <xf numFmtId="164" fontId="17" fillId="6" borderId="0" xfId="0" applyNumberFormat="1" applyFont="1" applyFill="1" applyBorder="1">
      <alignment vertical="top"/>
    </xf>
    <xf numFmtId="164" fontId="12" fillId="10" borderId="0" xfId="6" applyNumberFormat="1" applyFont="1" applyFill="1"/>
    <xf numFmtId="165" fontId="11" fillId="0" borderId="0" xfId="1" applyFont="1" applyFill="1">
      <alignment vertical="top"/>
    </xf>
    <xf numFmtId="164" fontId="14" fillId="8" borderId="0" xfId="0" applyFont="1" applyFill="1" applyBorder="1" applyAlignment="1">
      <alignment horizontal="right" vertical="top" readingOrder="1"/>
    </xf>
    <xf numFmtId="165" fontId="10" fillId="7" borderId="0" xfId="1" applyFont="1" applyFill="1">
      <alignment vertical="top"/>
    </xf>
    <xf numFmtId="164" fontId="18" fillId="7" borderId="0" xfId="0" applyFont="1" applyFill="1">
      <alignment vertical="top"/>
    </xf>
    <xf numFmtId="164" fontId="11" fillId="0" borderId="0" xfId="6" applyNumberFormat="1" applyFont="1" applyBorder="1"/>
    <xf numFmtId="164" fontId="11" fillId="6" borderId="0" xfId="6" applyNumberFormat="1" applyFont="1" applyFill="1" applyBorder="1"/>
    <xf numFmtId="164" fontId="5" fillId="12" borderId="0" xfId="0" applyFont="1" applyFill="1">
      <alignment vertical="top"/>
    </xf>
    <xf numFmtId="164" fontId="11" fillId="0" borderId="0" xfId="0" applyFont="1" applyBorder="1">
      <alignment vertical="top"/>
    </xf>
    <xf numFmtId="164" fontId="18" fillId="7" borderId="0" xfId="0" applyFont="1" applyFill="1" applyBorder="1">
      <alignment vertical="top"/>
    </xf>
    <xf numFmtId="164" fontId="11" fillId="0" borderId="0" xfId="0" applyFont="1" applyFill="1" applyBorder="1">
      <alignment vertical="top"/>
    </xf>
    <xf numFmtId="164" fontId="11" fillId="4" borderId="0" xfId="0" applyFont="1" applyFill="1" applyBorder="1">
      <alignment vertical="top"/>
    </xf>
    <xf numFmtId="170" fontId="11" fillId="4" borderId="0" xfId="0" applyNumberFormat="1" applyFont="1" applyFill="1" applyBorder="1">
      <alignment vertical="top"/>
    </xf>
    <xf numFmtId="164" fontId="11" fillId="7" borderId="0" xfId="0" applyFont="1" applyFill="1" applyBorder="1">
      <alignment vertical="top"/>
    </xf>
    <xf numFmtId="0" fontId="8" fillId="0" borderId="5" xfId="6" applyFont="1" applyBorder="1"/>
    <xf numFmtId="164" fontId="12" fillId="0" borderId="6" xfId="0" applyFont="1" applyFill="1" applyBorder="1">
      <alignment vertical="top"/>
    </xf>
    <xf numFmtId="164" fontId="21" fillId="2" borderId="0" xfId="0" applyFont="1" applyFill="1">
      <alignment vertical="top"/>
    </xf>
    <xf numFmtId="0" fontId="1" fillId="3" borderId="0" xfId="6" applyFont="1" applyFill="1"/>
    <xf numFmtId="0" fontId="22" fillId="3" borderId="0" xfId="6" applyFont="1" applyFill="1"/>
    <xf numFmtId="164" fontId="7" fillId="12" borderId="0" xfId="0" applyFont="1" applyFill="1" applyAlignment="1">
      <alignment horizontal="left" vertical="top" wrapText="1"/>
    </xf>
  </cellXfs>
  <cellStyles count="9">
    <cellStyle name="DateLong" xfId="3" xr:uid="{6E480D10-B4F1-49B8-8621-AEBE31EF4B42}"/>
    <cellStyle name="DateShort" xfId="4" xr:uid="{FE8FCC69-68A2-43CF-8409-53716F60D3F1}"/>
    <cellStyle name="Factor" xfId="2" xr:uid="{94F78F08-DCF1-4C38-B4AC-3C253090C52D}"/>
    <cellStyle name="Normal" xfId="0" builtinId="0" customBuiltin="1"/>
    <cellStyle name="Normal 2" xfId="6" xr:uid="{8AB22EA6-6103-4E99-B139-E799565D93AA}"/>
    <cellStyle name="Normal 26" xfId="7" xr:uid="{FA4F5DE2-DC21-4741-B198-33E348915A67}"/>
    <cellStyle name="Normal 3" xfId="8" xr:uid="{19E08537-E0C9-43F9-A160-4D92298EFB83}"/>
    <cellStyle name="Percent" xfId="1" builtinId="5" customBuiltin="1"/>
    <cellStyle name="Year" xfId="5" xr:uid="{1742B6EE-31BD-4142-8E81-CFD40E411307}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FF"/>
      <color rgb="FFFFF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9C00-7B83-4F60-8EFD-3119300E3EBA}">
  <sheetPr>
    <tabColor rgb="FFFF0000"/>
  </sheetPr>
  <dimension ref="A1:AO115"/>
  <sheetViews>
    <sheetView tabSelected="1" zoomScale="85" zoomScaleNormal="85" workbookViewId="0">
      <pane xSplit="5" ySplit="13" topLeftCell="S14" activePane="bottomRight" state="frozen"/>
      <selection pane="topRight" activeCell="F1" sqref="F1"/>
      <selection pane="bottomLeft" activeCell="A11" sqref="A11"/>
      <selection pane="bottomRight" activeCell="D15" sqref="D15"/>
    </sheetView>
  </sheetViews>
  <sheetFormatPr defaultColWidth="9.21875" defaultRowHeight="14.4" outlineLevelRow="1" outlineLevelCol="1" x14ac:dyDescent="0.3"/>
  <cols>
    <col min="1" max="1" width="22.33203125" style="6" customWidth="1"/>
    <col min="2" max="2" width="24.77734375" style="4" customWidth="1"/>
    <col min="3" max="3" width="19.21875" style="4" customWidth="1"/>
    <col min="4" max="4" width="21.44140625" style="4" customWidth="1"/>
    <col min="5" max="5" width="17.21875" style="4" customWidth="1"/>
    <col min="6" max="6" width="15.21875" style="4" hidden="1" customWidth="1" outlineLevel="1"/>
    <col min="7" max="7" width="12.44140625" style="4" hidden="1" customWidth="1" outlineLevel="1"/>
    <col min="8" max="8" width="13.44140625" style="4" hidden="1" customWidth="1" outlineLevel="1"/>
    <col min="9" max="9" width="13.77734375" style="4" hidden="1" customWidth="1" outlineLevel="1"/>
    <col min="10" max="10" width="14.33203125" style="4" hidden="1" customWidth="1" outlineLevel="1"/>
    <col min="11" max="11" width="17" style="4" hidden="1" customWidth="1" outlineLevel="1"/>
    <col min="12" max="12" width="20.109375" style="4" hidden="1" customWidth="1" outlineLevel="1"/>
    <col min="13" max="13" width="20.5546875" style="4" hidden="1" customWidth="1" outlineLevel="1"/>
    <col min="14" max="14" width="25.21875" style="4" hidden="1" customWidth="1" outlineLevel="1"/>
    <col min="15" max="15" width="17.77734375" style="4" hidden="1" customWidth="1" outlineLevel="1"/>
    <col min="16" max="16" width="14.88671875" style="4" hidden="1" customWidth="1" outlineLevel="1"/>
    <col min="17" max="17" width="25" style="4" hidden="1" customWidth="1" outlineLevel="1"/>
    <col min="18" max="18" width="12.21875" style="4" hidden="1" customWidth="1" outlineLevel="1"/>
    <col min="19" max="19" width="1.77734375" style="4" customWidth="1" collapsed="1"/>
    <col min="20" max="20" width="15.88671875" style="4" hidden="1" customWidth="1" outlineLevel="1"/>
    <col min="21" max="21" width="16.21875" style="4" hidden="1" customWidth="1" outlineLevel="1"/>
    <col min="22" max="22" width="20.33203125" style="4" hidden="1" customWidth="1" outlineLevel="1"/>
    <col min="23" max="23" width="17.21875" style="4" hidden="1" customWidth="1" outlineLevel="1"/>
    <col min="24" max="24" width="26.33203125" style="4" hidden="1" customWidth="1" outlineLevel="1"/>
    <col min="25" max="25" width="20.5546875" style="4" hidden="1" customWidth="1" outlineLevel="1"/>
    <col min="26" max="26" width="1.5546875" style="4" customWidth="1" collapsed="1"/>
    <col min="27" max="27" width="15" style="4" customWidth="1"/>
    <col min="28" max="28" width="14.44140625" style="4" customWidth="1"/>
    <col min="29" max="29" width="17" style="4" customWidth="1"/>
    <col min="30" max="30" width="17.21875" style="4" customWidth="1"/>
    <col min="31" max="31" width="14.44140625" style="4" customWidth="1"/>
    <col min="32" max="32" width="15.77734375" style="4" customWidth="1"/>
    <col min="33" max="33" width="14.77734375" style="4" customWidth="1"/>
    <col min="34" max="34" width="9.21875" style="4"/>
    <col min="35" max="35" width="15.21875" style="34" customWidth="1"/>
    <col min="36" max="36" width="12" style="34" customWidth="1"/>
    <col min="37" max="37" width="9.21875" style="34"/>
    <col min="38" max="16384" width="9.21875" style="4"/>
  </cols>
  <sheetData>
    <row r="1" spans="1:41" ht="14.4" customHeight="1" x14ac:dyDescent="0.3">
      <c r="A1" s="2" t="s">
        <v>32</v>
      </c>
      <c r="B1" s="1"/>
      <c r="C1" s="1"/>
      <c r="D1" s="91" t="s">
        <v>72</v>
      </c>
      <c r="E1" s="1"/>
      <c r="F1" s="2" t="s">
        <v>57</v>
      </c>
      <c r="G1" s="1"/>
      <c r="H1" s="82"/>
      <c r="I1" s="2" t="s">
        <v>58</v>
      </c>
      <c r="J1" s="1"/>
      <c r="K1" s="82"/>
      <c r="L1" s="2" t="s">
        <v>59</v>
      </c>
      <c r="M1" s="1"/>
      <c r="N1" s="82"/>
      <c r="O1" s="2" t="s">
        <v>59</v>
      </c>
      <c r="P1" s="1"/>
      <c r="Q1" s="82"/>
      <c r="R1" s="1"/>
      <c r="S1" s="1"/>
      <c r="T1" s="2" t="s">
        <v>63</v>
      </c>
      <c r="U1" s="2"/>
      <c r="V1" s="1"/>
      <c r="W1" s="1"/>
      <c r="X1" s="2"/>
      <c r="Y1" s="1"/>
      <c r="Z1" s="1"/>
      <c r="AA1" s="2" t="s">
        <v>71</v>
      </c>
      <c r="AB1" s="2"/>
      <c r="AC1" s="1"/>
      <c r="AD1" s="1"/>
      <c r="AE1" s="2"/>
      <c r="AF1" s="1"/>
      <c r="AG1" s="7"/>
    </row>
    <row r="2" spans="1:41" ht="14.4" customHeight="1" x14ac:dyDescent="0.3">
      <c r="A2" s="2"/>
      <c r="B2" s="1"/>
      <c r="C2" s="1"/>
      <c r="D2" s="3" t="s">
        <v>0</v>
      </c>
      <c r="E2" s="1"/>
      <c r="F2" s="1"/>
      <c r="G2" s="1"/>
      <c r="H2" s="94" t="s">
        <v>54</v>
      </c>
      <c r="I2" s="1" t="s">
        <v>37</v>
      </c>
      <c r="J2" s="1"/>
      <c r="K2" s="94" t="s">
        <v>53</v>
      </c>
      <c r="L2" s="1" t="s">
        <v>60</v>
      </c>
      <c r="M2" s="1"/>
      <c r="N2" s="94" t="s">
        <v>55</v>
      </c>
      <c r="O2" s="1" t="s">
        <v>61</v>
      </c>
      <c r="P2" s="1"/>
      <c r="Q2" s="94" t="s">
        <v>56</v>
      </c>
      <c r="R2" s="1"/>
      <c r="S2" s="1"/>
      <c r="T2" s="2" t="s">
        <v>27</v>
      </c>
      <c r="U2" s="2" t="s">
        <v>41</v>
      </c>
      <c r="V2" s="2" t="s">
        <v>59</v>
      </c>
      <c r="W2" s="2" t="s">
        <v>59</v>
      </c>
      <c r="X2" s="2" t="s">
        <v>59</v>
      </c>
      <c r="Y2" s="2" t="s">
        <v>59</v>
      </c>
      <c r="Z2" s="1"/>
      <c r="AA2" s="1" t="s">
        <v>27</v>
      </c>
      <c r="AB2" s="1" t="s">
        <v>27</v>
      </c>
      <c r="AC2" s="1" t="s">
        <v>42</v>
      </c>
      <c r="AD2" s="1" t="s">
        <v>42</v>
      </c>
      <c r="AE2" s="1" t="s">
        <v>28</v>
      </c>
      <c r="AF2" s="1" t="s">
        <v>29</v>
      </c>
      <c r="AG2" s="13"/>
    </row>
    <row r="3" spans="1:41" ht="14.4" customHeight="1" x14ac:dyDescent="0.3">
      <c r="A3" s="1"/>
      <c r="B3" s="1"/>
      <c r="C3" s="1"/>
      <c r="D3" s="1"/>
      <c r="E3" s="1"/>
      <c r="F3" s="1" t="s">
        <v>15</v>
      </c>
      <c r="G3" s="1" t="s">
        <v>5</v>
      </c>
      <c r="H3" s="94"/>
      <c r="I3" s="1" t="s">
        <v>15</v>
      </c>
      <c r="J3" s="1" t="s">
        <v>5</v>
      </c>
      <c r="K3" s="94"/>
      <c r="L3" s="1" t="s">
        <v>15</v>
      </c>
      <c r="M3" s="1" t="s">
        <v>5</v>
      </c>
      <c r="N3" s="94"/>
      <c r="O3" s="1" t="s">
        <v>15</v>
      </c>
      <c r="P3" s="1" t="s">
        <v>5</v>
      </c>
      <c r="Q3" s="94"/>
      <c r="R3" s="1"/>
      <c r="S3" s="1"/>
      <c r="T3" s="1" t="s">
        <v>34</v>
      </c>
      <c r="U3" s="1" t="s">
        <v>62</v>
      </c>
      <c r="V3" s="1" t="s">
        <v>65</v>
      </c>
      <c r="W3" s="1" t="s">
        <v>65</v>
      </c>
      <c r="X3" s="1" t="s">
        <v>67</v>
      </c>
      <c r="Y3" s="1" t="s">
        <v>69</v>
      </c>
      <c r="Z3" s="1"/>
      <c r="AA3" s="26" t="s">
        <v>34</v>
      </c>
      <c r="AB3" s="1" t="s">
        <v>40</v>
      </c>
      <c r="AC3" s="1" t="s">
        <v>37</v>
      </c>
      <c r="AD3" s="1" t="s">
        <v>37</v>
      </c>
      <c r="AE3" s="1" t="s">
        <v>38</v>
      </c>
      <c r="AF3" s="1" t="s">
        <v>39</v>
      </c>
      <c r="AG3" s="13" t="s">
        <v>0</v>
      </c>
    </row>
    <row r="4" spans="1:41" x14ac:dyDescent="0.3">
      <c r="A4" s="1" t="s">
        <v>31</v>
      </c>
      <c r="B4" s="1" t="s">
        <v>12</v>
      </c>
      <c r="C4" s="1" t="s">
        <v>13</v>
      </c>
      <c r="D4" s="1" t="s">
        <v>14</v>
      </c>
      <c r="E4" s="1" t="s">
        <v>15</v>
      </c>
      <c r="F4" s="1"/>
      <c r="G4" s="3" t="s">
        <v>52</v>
      </c>
      <c r="H4" s="94"/>
      <c r="I4" s="1"/>
      <c r="J4" s="3" t="s">
        <v>52</v>
      </c>
      <c r="K4" s="94"/>
      <c r="L4" s="1"/>
      <c r="M4" s="3" t="s">
        <v>52</v>
      </c>
      <c r="N4" s="94"/>
      <c r="O4" s="1"/>
      <c r="P4" s="3" t="s">
        <v>52</v>
      </c>
      <c r="Q4" s="94"/>
      <c r="R4" s="1" t="s">
        <v>20</v>
      </c>
      <c r="S4" s="1"/>
      <c r="T4" s="1"/>
      <c r="U4" s="1"/>
      <c r="V4" s="1" t="s">
        <v>64</v>
      </c>
      <c r="W4" s="1" t="s">
        <v>66</v>
      </c>
      <c r="X4" s="1" t="s">
        <v>68</v>
      </c>
      <c r="Y4" s="1" t="s">
        <v>70</v>
      </c>
      <c r="Z4" s="1"/>
      <c r="AA4" s="26"/>
      <c r="AB4" s="17"/>
      <c r="AC4" s="1" t="s">
        <v>35</v>
      </c>
      <c r="AD4" s="19" t="s">
        <v>36</v>
      </c>
      <c r="AE4" s="17"/>
      <c r="AF4" s="1" t="s">
        <v>33</v>
      </c>
      <c r="AG4" s="13"/>
      <c r="AI4" s="36"/>
    </row>
    <row r="5" spans="1:41" s="14" customFormat="1" ht="15.6" thickBot="1" x14ac:dyDescent="0.35">
      <c r="A5" s="15"/>
      <c r="B5" s="15"/>
      <c r="C5" s="5"/>
      <c r="D5" s="16"/>
      <c r="E5" s="5"/>
      <c r="F5" s="5"/>
      <c r="G5" s="5"/>
      <c r="H5" s="42"/>
      <c r="I5" s="5"/>
      <c r="J5" s="5"/>
      <c r="K5" s="42"/>
      <c r="L5" s="5"/>
      <c r="M5" s="5"/>
      <c r="N5" s="42"/>
      <c r="O5" s="5"/>
      <c r="P5" s="5"/>
      <c r="Q5" s="42"/>
      <c r="R5" s="5"/>
      <c r="S5" s="5"/>
      <c r="T5" s="5"/>
      <c r="U5" s="5"/>
      <c r="V5" s="5"/>
      <c r="W5" s="5"/>
      <c r="X5" s="5"/>
      <c r="Y5" s="5"/>
      <c r="Z5" s="5"/>
      <c r="AA5" s="40">
        <f t="shared" ref="AA5:AG5" si="0" xml:space="preserve"> SUM( AA15, AA22, AA29, AA36, AA43, AA50, AA57, AA64, AA71,AA79,AA86,AA93,AA101,AA108)</f>
        <v>8626689.2601675633</v>
      </c>
      <c r="AB5" s="40">
        <f t="shared" si="0"/>
        <v>5213372.2629855135</v>
      </c>
      <c r="AC5" s="40">
        <f t="shared" si="0"/>
        <v>3782078.8114648852</v>
      </c>
      <c r="AD5" s="40">
        <f t="shared" si="0"/>
        <v>1890556.5209038635</v>
      </c>
      <c r="AE5" s="40">
        <f t="shared" si="0"/>
        <v>6059624.2627403205</v>
      </c>
      <c r="AF5" s="40">
        <f t="shared" si="0"/>
        <v>3467100.5408947472</v>
      </c>
      <c r="AG5" s="41">
        <f t="shared" si="0"/>
        <v>29455129.110887717</v>
      </c>
      <c r="AI5" s="37"/>
      <c r="AJ5" s="38"/>
      <c r="AK5" s="38"/>
    </row>
    <row r="6" spans="1:41" s="14" customFormat="1" x14ac:dyDescent="0.3">
      <c r="A6" s="28"/>
      <c r="B6" s="29" t="s">
        <v>44</v>
      </c>
      <c r="C6" s="29" t="s">
        <v>45</v>
      </c>
      <c r="D6" s="69" t="s">
        <v>46</v>
      </c>
      <c r="E6" s="67" t="s">
        <v>47</v>
      </c>
      <c r="F6" s="5"/>
      <c r="G6" s="5"/>
      <c r="H6" s="64"/>
      <c r="I6" s="5"/>
      <c r="J6" s="5"/>
      <c r="K6" s="64"/>
      <c r="L6" s="5"/>
      <c r="M6" s="5"/>
      <c r="N6" s="64"/>
      <c r="O6" s="5"/>
      <c r="P6" s="5"/>
      <c r="Q6" s="64"/>
      <c r="R6" s="5"/>
      <c r="S6" s="5"/>
      <c r="T6" s="5"/>
      <c r="U6" s="5"/>
      <c r="V6" s="5"/>
      <c r="W6" s="5"/>
      <c r="X6" s="5"/>
      <c r="Y6" s="5"/>
      <c r="Z6" s="5"/>
      <c r="AA6" s="42"/>
      <c r="AB6" s="42"/>
      <c r="AC6" s="42"/>
      <c r="AD6" s="42"/>
      <c r="AE6" s="42"/>
      <c r="AF6" s="42"/>
      <c r="AG6" s="43"/>
      <c r="AI6" s="93" t="s">
        <v>74</v>
      </c>
      <c r="AJ6" s="31"/>
      <c r="AK6" s="31"/>
      <c r="AL6" s="31"/>
      <c r="AM6" s="31"/>
      <c r="AN6" s="31"/>
      <c r="AO6" s="31"/>
    </row>
    <row r="7" spans="1:41" s="14" customFormat="1" x14ac:dyDescent="0.3">
      <c r="A7" s="64" t="s">
        <v>49</v>
      </c>
      <c r="B7" s="64">
        <f xml:space="preserve"> D15 + D22 + D29 + D36 + D43 + D50 + D57 + D64</f>
        <v>11896135.77</v>
      </c>
      <c r="C7" s="64">
        <f xml:space="preserve"> AG15 + AG22 + AG29 + AG36 + AG43 + AG50 + AG57 + AG64</f>
        <v>12426455.057122936</v>
      </c>
      <c r="D7" s="70">
        <f xml:space="preserve"> C7 - B7</f>
        <v>530319.28712293692</v>
      </c>
      <c r="E7" s="68">
        <f t="shared" ref="E7:E8" si="1" xml:space="preserve"> D7 / C7</f>
        <v>4.2676635024640752E-2</v>
      </c>
      <c r="F7" s="5"/>
      <c r="G7" s="5"/>
      <c r="H7" s="78"/>
      <c r="I7" s="5"/>
      <c r="J7" s="5"/>
      <c r="K7" s="78"/>
      <c r="L7" s="5"/>
      <c r="M7" s="5"/>
      <c r="N7" s="78"/>
      <c r="O7" s="5"/>
      <c r="P7" s="5"/>
      <c r="Q7" s="78"/>
      <c r="R7" s="5"/>
      <c r="S7" s="5"/>
      <c r="T7" s="5"/>
      <c r="U7" s="5"/>
      <c r="V7" s="5"/>
      <c r="W7" s="5"/>
      <c r="X7" s="5"/>
      <c r="Y7" s="5"/>
      <c r="Z7" s="5"/>
      <c r="AA7" s="42"/>
      <c r="AB7" s="42"/>
      <c r="AC7" s="42"/>
      <c r="AD7" s="42"/>
      <c r="AE7" s="42"/>
      <c r="AF7" s="44"/>
      <c r="AG7" s="43"/>
      <c r="AI7" s="92" t="s">
        <v>73</v>
      </c>
      <c r="AJ7" s="92"/>
      <c r="AK7" s="92"/>
      <c r="AL7" s="31"/>
      <c r="AM7" s="31"/>
      <c r="AN7" s="31"/>
      <c r="AO7" s="31"/>
    </row>
    <row r="8" spans="1:41" s="14" customFormat="1" x14ac:dyDescent="0.3">
      <c r="A8" s="64" t="s">
        <v>51</v>
      </c>
      <c r="B8" s="64">
        <f xml:space="preserve"> D71 + D79 + D86</f>
        <v>12294899.943999998</v>
      </c>
      <c r="C8" s="64">
        <f xml:space="preserve"> AG71 + AG79 + AG86</f>
        <v>12928174.574917471</v>
      </c>
      <c r="D8" s="70">
        <f xml:space="preserve"> C8 - B8</f>
        <v>633274.63091747276</v>
      </c>
      <c r="E8" s="68">
        <f t="shared" si="1"/>
        <v>4.8984071745605692E-2</v>
      </c>
      <c r="F8" s="5"/>
      <c r="G8" s="5"/>
      <c r="H8" s="44"/>
      <c r="I8" s="5"/>
      <c r="J8" s="5"/>
      <c r="K8" s="44"/>
      <c r="L8" s="5"/>
      <c r="M8" s="5"/>
      <c r="N8" s="44"/>
      <c r="O8" s="5"/>
      <c r="P8" s="5"/>
      <c r="Q8" s="44"/>
      <c r="R8" s="5"/>
      <c r="S8" s="5"/>
      <c r="T8" s="5"/>
      <c r="U8" s="5"/>
      <c r="V8" s="5"/>
      <c r="W8" s="5"/>
      <c r="X8" s="5"/>
      <c r="Y8" s="5"/>
      <c r="Z8" s="5"/>
      <c r="AA8" s="42"/>
      <c r="AB8" s="42"/>
      <c r="AC8" s="42"/>
      <c r="AD8" s="42"/>
      <c r="AE8" s="42"/>
      <c r="AF8" s="44"/>
      <c r="AG8" s="43"/>
      <c r="AI8" s="39">
        <f xml:space="preserve"> (110-45) / 1878 *AJ8</f>
        <v>3.4611288604898829E-2</v>
      </c>
      <c r="AJ8" s="35">
        <v>1</v>
      </c>
      <c r="AK8" s="35" t="s">
        <v>43</v>
      </c>
      <c r="AL8" s="31"/>
      <c r="AM8" s="31"/>
      <c r="AN8" s="31"/>
      <c r="AO8" s="31"/>
    </row>
    <row r="9" spans="1:41" s="14" customFormat="1" x14ac:dyDescent="0.3">
      <c r="A9" s="64" t="s">
        <v>50</v>
      </c>
      <c r="B9" s="64">
        <f xml:space="preserve"> D93 + D101 + D108</f>
        <v>3873210.4160000002</v>
      </c>
      <c r="C9" s="64">
        <f xml:space="preserve"> AG93 + AG101 + AG108</f>
        <v>4100499.478847309</v>
      </c>
      <c r="D9" s="70">
        <f t="shared" ref="D9" si="2" xml:space="preserve"> C9 - B9</f>
        <v>227289.06284730881</v>
      </c>
      <c r="E9" s="68">
        <f xml:space="preserve"> D9 / C9</f>
        <v>5.5429604129885665E-2</v>
      </c>
      <c r="F9" s="5"/>
      <c r="G9" s="5"/>
      <c r="H9" s="78"/>
      <c r="I9" s="5"/>
      <c r="J9" s="5"/>
      <c r="K9" s="78"/>
      <c r="L9" s="5"/>
      <c r="M9" s="5"/>
      <c r="N9" s="78"/>
      <c r="O9" s="5"/>
      <c r="P9" s="5"/>
      <c r="Q9" s="78"/>
      <c r="R9" s="5"/>
      <c r="S9" s="5"/>
      <c r="T9" s="5"/>
      <c r="U9" s="5"/>
      <c r="V9" s="5"/>
      <c r="W9" s="5"/>
      <c r="X9" s="5"/>
      <c r="Y9" s="5"/>
      <c r="Z9" s="5"/>
      <c r="AA9" s="42"/>
      <c r="AB9" s="42"/>
      <c r="AC9" s="42"/>
      <c r="AD9" s="42"/>
      <c r="AE9" s="42"/>
      <c r="AF9" s="44"/>
      <c r="AG9" s="43"/>
      <c r="AI9" s="93"/>
      <c r="AJ9" s="92"/>
      <c r="AK9" s="92"/>
      <c r="AL9" s="31"/>
      <c r="AM9" s="31"/>
      <c r="AN9" s="31"/>
      <c r="AO9" s="31"/>
    </row>
    <row r="10" spans="1:41" s="14" customFormat="1" ht="15" thickBot="1" x14ac:dyDescent="0.35">
      <c r="A10" s="65" t="s">
        <v>0</v>
      </c>
      <c r="B10" s="65">
        <f>SUM(B7:B9)</f>
        <v>28064246.129999999</v>
      </c>
      <c r="C10" s="65">
        <f>SUM(C7:C9)</f>
        <v>29455129.110887717</v>
      </c>
      <c r="D10" s="66">
        <f xml:space="preserve"> C10 - B10</f>
        <v>1390882.9808877185</v>
      </c>
      <c r="E10" s="68">
        <f xml:space="preserve"> D10 / C10</f>
        <v>4.7220400075367389E-2</v>
      </c>
      <c r="F10" s="5"/>
      <c r="G10" s="5"/>
      <c r="H10" s="78"/>
      <c r="I10" s="5"/>
      <c r="J10" s="5"/>
      <c r="K10" s="78"/>
      <c r="L10" s="5"/>
      <c r="M10" s="5"/>
      <c r="N10" s="78"/>
      <c r="O10" s="5"/>
      <c r="P10" s="5"/>
      <c r="Q10" s="78"/>
      <c r="R10" s="5"/>
      <c r="S10" s="5"/>
      <c r="T10" s="5"/>
      <c r="U10" s="5"/>
      <c r="V10" s="5"/>
      <c r="W10" s="5"/>
      <c r="X10" s="5"/>
      <c r="Y10" s="5"/>
      <c r="Z10" s="5"/>
      <c r="AA10" s="42"/>
      <c r="AB10" s="42"/>
      <c r="AC10" s="42"/>
      <c r="AD10" s="42"/>
      <c r="AE10" s="42"/>
      <c r="AF10" s="42"/>
      <c r="AG10" s="43"/>
      <c r="AI10" s="38"/>
      <c r="AJ10" s="38"/>
      <c r="AK10" s="38"/>
    </row>
    <row r="11" spans="1:41" s="14" customFormat="1" ht="14.4" hidden="1" customHeight="1" outlineLevel="1" x14ac:dyDescent="0.3">
      <c r="A11" s="73" t="s">
        <v>48</v>
      </c>
      <c r="B11" s="73">
        <f xml:space="preserve"> SUM( D15, D22, D29, D36, D43, D50, D57, D64, D71,D79,D86,D93,D101,D108)</f>
        <v>28064246.129999999</v>
      </c>
      <c r="C11" s="73">
        <f xml:space="preserve"> SUM( AG15, AG22, AG29, AG36, AG43, AG50, AG57, AG64, AG71,AG79,AG86,AG93,AG101,AG108)</f>
        <v>29455129.110887717</v>
      </c>
      <c r="D11" s="73">
        <f xml:space="preserve"> SUM( AI15, AI22, AI29, AI36, AI43, AI50, AI57, AI64, AI71,AI79,AI86,AI93,AI101,AI108)</f>
        <v>1390882.9808877159</v>
      </c>
      <c r="F11" s="5"/>
      <c r="G11" s="5"/>
      <c r="H11" s="73"/>
      <c r="I11" s="5"/>
      <c r="J11" s="5"/>
      <c r="K11" s="73"/>
      <c r="L11" s="5"/>
      <c r="M11" s="5"/>
      <c r="N11" s="73"/>
      <c r="O11" s="5"/>
      <c r="P11" s="5"/>
      <c r="Q11" s="7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I11" s="38"/>
      <c r="AJ11" s="38"/>
      <c r="AK11" s="38"/>
    </row>
    <row r="12" spans="1:41" s="14" customFormat="1" ht="14.4" hidden="1" customHeight="1" outlineLevel="1" x14ac:dyDescent="0.3">
      <c r="A12" s="73" t="s">
        <v>1</v>
      </c>
      <c r="B12" s="74">
        <f t="shared" ref="B12:C12" si="3" xml:space="preserve"> ROUND(B10 - B11, 3)</f>
        <v>0</v>
      </c>
      <c r="C12" s="74">
        <f t="shared" si="3"/>
        <v>0</v>
      </c>
      <c r="D12" s="74">
        <f xml:space="preserve"> ROUND(D10 - D11, 3)</f>
        <v>0</v>
      </c>
      <c r="E12" s="7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72"/>
      <c r="AI12" s="38"/>
      <c r="AJ12" s="38"/>
      <c r="AK12" s="38"/>
    </row>
    <row r="13" spans="1:41" s="32" customFormat="1" ht="4.95" customHeight="1" collapsed="1" x14ac:dyDescent="0.3">
      <c r="A13" s="62"/>
      <c r="AI13" s="63"/>
      <c r="AJ13" s="63"/>
      <c r="AK13" s="63"/>
    </row>
    <row r="14" spans="1:41" s="14" customFormat="1" x14ac:dyDescent="0.3">
      <c r="A14" s="5"/>
      <c r="B14" s="5"/>
      <c r="C14" s="5"/>
      <c r="D14" s="5"/>
      <c r="E14" s="5"/>
      <c r="F14" s="5"/>
      <c r="G14" s="5"/>
      <c r="H14" s="42"/>
      <c r="I14" s="5"/>
      <c r="J14" s="5"/>
      <c r="K14" s="42"/>
      <c r="L14" s="5"/>
      <c r="M14" s="5"/>
      <c r="N14" s="42"/>
      <c r="O14" s="5"/>
      <c r="P14" s="5"/>
      <c r="Q14" s="42"/>
      <c r="R14" s="5"/>
      <c r="S14" s="5"/>
      <c r="T14" s="5"/>
      <c r="U14" s="5"/>
      <c r="V14" s="5"/>
      <c r="W14" s="5"/>
      <c r="X14" s="5"/>
      <c r="Y14" s="5"/>
      <c r="Z14" s="5"/>
      <c r="AA14" s="42"/>
      <c r="AB14" s="42"/>
      <c r="AC14" s="42"/>
      <c r="AD14" s="42"/>
      <c r="AE14" s="42"/>
      <c r="AF14" s="42"/>
      <c r="AG14" s="43"/>
      <c r="AI14" s="38"/>
      <c r="AJ14" s="38"/>
      <c r="AK14" s="38"/>
    </row>
    <row r="15" spans="1:41" s="53" customFormat="1" ht="15" x14ac:dyDescent="0.35">
      <c r="A15" s="47" t="s">
        <v>30</v>
      </c>
      <c r="B15" s="75" t="s">
        <v>16</v>
      </c>
      <c r="C15" s="48"/>
      <c r="D15" s="49">
        <v>3336479.87</v>
      </c>
      <c r="E15" s="49">
        <v>70795.932241565519</v>
      </c>
      <c r="F15" s="49">
        <f t="shared" ref="F15:F20" si="4" xml:space="preserve"> E15</f>
        <v>70795.932241565519</v>
      </c>
      <c r="G15" s="49">
        <v>47.128129602354399</v>
      </c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9" t="s">
        <v>2</v>
      </c>
      <c r="S15" s="49"/>
      <c r="T15" s="49"/>
      <c r="U15" s="49"/>
      <c r="V15" s="49"/>
      <c r="W15" s="49"/>
      <c r="X15" s="49"/>
      <c r="Y15" s="49"/>
      <c r="Z15" s="49"/>
      <c r="AA15" s="51">
        <f t="shared" ref="AA15:AF15" si="5">SUM(AA16:AA20)</f>
        <v>3861753.2027814863</v>
      </c>
      <c r="AB15" s="51">
        <f t="shared" si="5"/>
        <v>0</v>
      </c>
      <c r="AC15" s="51">
        <f t="shared" si="5"/>
        <v>0</v>
      </c>
      <c r="AD15" s="51">
        <f t="shared" si="5"/>
        <v>0</v>
      </c>
      <c r="AE15" s="51">
        <f t="shared" si="5"/>
        <v>0</v>
      </c>
      <c r="AF15" s="51">
        <f t="shared" si="5"/>
        <v>0</v>
      </c>
      <c r="AG15" s="52">
        <f t="shared" ref="AG15:AG20" si="6">SUM(AA15:AF15) * (1 + $AI$8)</f>
        <v>3995413.4574038489</v>
      </c>
      <c r="AI15" s="58">
        <f xml:space="preserve"> IF( AG15 &lt;&gt; 0, AG15- D15, 0)</f>
        <v>658933.58740384877</v>
      </c>
      <c r="AJ15" s="59">
        <f xml:space="preserve"> AI15 / D15</f>
        <v>0.19749364991788448</v>
      </c>
      <c r="AK15" s="54"/>
    </row>
    <row r="16" spans="1:41" ht="15" outlineLevel="1" x14ac:dyDescent="0.35">
      <c r="A16" s="8"/>
      <c r="B16" s="9"/>
      <c r="C16" s="9" t="s">
        <v>7</v>
      </c>
      <c r="D16" s="11">
        <v>280483.14999999997</v>
      </c>
      <c r="E16" s="11">
        <v>5951.5018390625019</v>
      </c>
      <c r="F16" s="11">
        <f t="shared" si="4"/>
        <v>5951.5018390625019</v>
      </c>
      <c r="G16" s="23">
        <v>47.128129602356388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11" t="s">
        <v>2</v>
      </c>
      <c r="S16" s="11"/>
      <c r="T16" s="20">
        <v>60.1</v>
      </c>
      <c r="U16" s="12"/>
      <c r="V16" s="12"/>
      <c r="W16" s="12"/>
      <c r="X16" s="12"/>
      <c r="Y16" s="12"/>
      <c r="Z16" s="11"/>
      <c r="AA16" s="46">
        <f xml:space="preserve"> E16 * T16</f>
        <v>357685.26052765636</v>
      </c>
      <c r="AB16" s="46"/>
      <c r="AC16" s="46"/>
      <c r="AD16" s="46"/>
      <c r="AE16" s="46"/>
      <c r="AF16" s="46"/>
      <c r="AG16" s="45">
        <f t="shared" si="6"/>
        <v>370065.20830949751</v>
      </c>
      <c r="AI16" s="36"/>
      <c r="AJ16" s="36"/>
    </row>
    <row r="17" spans="1:37" ht="15" outlineLevel="1" x14ac:dyDescent="0.35">
      <c r="A17" s="8"/>
      <c r="B17" s="9"/>
      <c r="C17" s="9" t="s">
        <v>8</v>
      </c>
      <c r="D17" s="11">
        <v>1028228.78</v>
      </c>
      <c r="E17" s="11">
        <v>21817.729425625326</v>
      </c>
      <c r="F17" s="11">
        <f t="shared" si="4"/>
        <v>21817.729425625326</v>
      </c>
      <c r="G17" s="23">
        <v>47.128129602355706</v>
      </c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11" t="s">
        <v>2</v>
      </c>
      <c r="S17" s="11"/>
      <c r="T17" s="20">
        <v>50.88</v>
      </c>
      <c r="U17" s="12"/>
      <c r="V17" s="12"/>
      <c r="W17" s="12"/>
      <c r="X17" s="12"/>
      <c r="Y17" s="12"/>
      <c r="Z17" s="11"/>
      <c r="AA17" s="46">
        <f xml:space="preserve"> E17 * T17</f>
        <v>1110086.0731758166</v>
      </c>
      <c r="AB17" s="46"/>
      <c r="AC17" s="46"/>
      <c r="AD17" s="46"/>
      <c r="AE17" s="46"/>
      <c r="AF17" s="46"/>
      <c r="AG17" s="45">
        <f t="shared" si="6"/>
        <v>1148507.5826307836</v>
      </c>
      <c r="AI17" s="36"/>
      <c r="AJ17" s="36"/>
    </row>
    <row r="18" spans="1:37" ht="15" outlineLevel="1" x14ac:dyDescent="0.35">
      <c r="A18" s="8"/>
      <c r="B18" s="9"/>
      <c r="C18" s="9" t="s">
        <v>10</v>
      </c>
      <c r="D18" s="11">
        <v>113850.02</v>
      </c>
      <c r="E18" s="11">
        <v>2216.1291118749987</v>
      </c>
      <c r="F18" s="11">
        <f t="shared" si="4"/>
        <v>2216.1291118749987</v>
      </c>
      <c r="G18" s="23">
        <v>51.373369624513892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11" t="s">
        <v>2</v>
      </c>
      <c r="S18" s="11"/>
      <c r="T18" s="20">
        <v>67.08</v>
      </c>
      <c r="U18" s="12"/>
      <c r="V18" s="12"/>
      <c r="W18" s="12"/>
      <c r="X18" s="12"/>
      <c r="Y18" s="12"/>
      <c r="Z18" s="11"/>
      <c r="AA18" s="46">
        <f xml:space="preserve"> E18 * T18</f>
        <v>148657.94082457491</v>
      </c>
      <c r="AB18" s="46"/>
      <c r="AC18" s="46"/>
      <c r="AD18" s="46"/>
      <c r="AE18" s="46"/>
      <c r="AF18" s="46"/>
      <c r="AG18" s="45">
        <f t="shared" si="6"/>
        <v>153803.18371786425</v>
      </c>
      <c r="AI18" s="36"/>
      <c r="AJ18" s="36"/>
    </row>
    <row r="19" spans="1:37" ht="15" outlineLevel="1" x14ac:dyDescent="0.35">
      <c r="A19" s="8"/>
      <c r="B19" s="9"/>
      <c r="C19" s="9" t="s">
        <v>9</v>
      </c>
      <c r="D19" s="11">
        <v>1011118.91</v>
      </c>
      <c r="E19" s="11">
        <v>21454.679371562455</v>
      </c>
      <c r="F19" s="11">
        <f t="shared" si="4"/>
        <v>21454.679371562455</v>
      </c>
      <c r="G19" s="23">
        <v>47.128129602356509</v>
      </c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11" t="s">
        <v>2</v>
      </c>
      <c r="S19" s="11"/>
      <c r="T19" s="20">
        <v>60.1</v>
      </c>
      <c r="U19" s="12"/>
      <c r="V19" s="12"/>
      <c r="W19" s="12"/>
      <c r="X19" s="12"/>
      <c r="Y19" s="12"/>
      <c r="Z19" s="11"/>
      <c r="AA19" s="46">
        <f xml:space="preserve"> E19 * T19</f>
        <v>1289426.2302309035</v>
      </c>
      <c r="AB19" s="46"/>
      <c r="AC19" s="46"/>
      <c r="AD19" s="46"/>
      <c r="AE19" s="46"/>
      <c r="AF19" s="46"/>
      <c r="AG19" s="45">
        <f t="shared" si="6"/>
        <v>1334054.9336201521</v>
      </c>
      <c r="AI19" s="36"/>
      <c r="AJ19" s="36"/>
    </row>
    <row r="20" spans="1:37" ht="15" outlineLevel="1" x14ac:dyDescent="0.35">
      <c r="A20" s="8"/>
      <c r="B20" s="9"/>
      <c r="C20" s="9" t="s">
        <v>11</v>
      </c>
      <c r="D20" s="11">
        <v>902799.01</v>
      </c>
      <c r="E20" s="11">
        <v>19156.266493437583</v>
      </c>
      <c r="F20" s="11">
        <f t="shared" si="4"/>
        <v>19156.266493437583</v>
      </c>
      <c r="G20" s="23">
        <v>47.128129602356204</v>
      </c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11" t="s">
        <v>2</v>
      </c>
      <c r="S20" s="11"/>
      <c r="T20" s="20">
        <v>49.9</v>
      </c>
      <c r="U20" s="12"/>
      <c r="V20" s="12"/>
      <c r="W20" s="12"/>
      <c r="X20" s="12"/>
      <c r="Y20" s="12"/>
      <c r="Z20" s="11"/>
      <c r="AA20" s="46">
        <f xml:space="preserve"> E20 * T20</f>
        <v>955897.6980225353</v>
      </c>
      <c r="AB20" s="46"/>
      <c r="AC20" s="46"/>
      <c r="AD20" s="46"/>
      <c r="AE20" s="46"/>
      <c r="AF20" s="46"/>
      <c r="AG20" s="45">
        <f t="shared" si="6"/>
        <v>988982.54912555171</v>
      </c>
      <c r="AI20" s="36"/>
      <c r="AJ20" s="36"/>
    </row>
    <row r="21" spans="1:37" ht="4.95" customHeight="1" x14ac:dyDescent="0.35">
      <c r="A21" s="8"/>
      <c r="B21" s="10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46"/>
      <c r="AB21" s="46"/>
      <c r="AC21" s="46"/>
      <c r="AD21" s="46"/>
      <c r="AE21" s="46"/>
      <c r="AF21" s="46"/>
      <c r="AG21" s="45"/>
      <c r="AI21" s="36"/>
      <c r="AJ21" s="36"/>
    </row>
    <row r="22" spans="1:37" s="53" customFormat="1" ht="15" x14ac:dyDescent="0.35">
      <c r="A22" s="47" t="s">
        <v>30</v>
      </c>
      <c r="B22" s="75" t="s">
        <v>17</v>
      </c>
      <c r="C22" s="48"/>
      <c r="D22" s="49">
        <v>4786577.2100000009</v>
      </c>
      <c r="E22" s="49">
        <v>73200.13345923333</v>
      </c>
      <c r="F22" s="49">
        <f t="shared" ref="F22:F27" si="7" xml:space="preserve"> E22</f>
        <v>73200.13345923333</v>
      </c>
      <c r="G22" s="49">
        <v>65.390279823270333</v>
      </c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49" t="s">
        <v>2</v>
      </c>
      <c r="S22" s="49"/>
      <c r="T22" s="49"/>
      <c r="U22" s="49"/>
      <c r="V22" s="49"/>
      <c r="W22" s="49"/>
      <c r="X22" s="49"/>
      <c r="Y22" s="49"/>
      <c r="Z22" s="49"/>
      <c r="AA22" s="51">
        <f t="shared" ref="AA22:AF22" si="8">SUM(AA23:AA27)</f>
        <v>4300548.828984946</v>
      </c>
      <c r="AB22" s="51">
        <f t="shared" si="8"/>
        <v>0</v>
      </c>
      <c r="AC22" s="51">
        <f t="shared" si="8"/>
        <v>0</v>
      </c>
      <c r="AD22" s="51">
        <f t="shared" si="8"/>
        <v>0</v>
      </c>
      <c r="AE22" s="51">
        <f t="shared" si="8"/>
        <v>0</v>
      </c>
      <c r="AF22" s="51">
        <f t="shared" si="8"/>
        <v>0</v>
      </c>
      <c r="AG22" s="52">
        <f t="shared" ref="AG22:AG27" si="9">SUM(AA22:AF22) * (1 + $AI$8)</f>
        <v>4449396.3656644039</v>
      </c>
      <c r="AI22" s="58">
        <f xml:space="preserve"> IF( AG22 &lt;&gt; 0, AG22- D22, 0)</f>
        <v>-337180.84433559701</v>
      </c>
      <c r="AJ22" s="59">
        <f xml:space="preserve"> AI22 / D22</f>
        <v>-7.0442997060857382E-2</v>
      </c>
      <c r="AK22" s="54"/>
    </row>
    <row r="23" spans="1:37" ht="15" outlineLevel="1" x14ac:dyDescent="0.35">
      <c r="A23" s="8"/>
      <c r="B23" s="9"/>
      <c r="C23" s="9" t="s">
        <v>7</v>
      </c>
      <c r="D23" s="11">
        <v>2379369.6999999997</v>
      </c>
      <c r="E23" s="11">
        <v>36387.207799549491</v>
      </c>
      <c r="F23" s="11">
        <f t="shared" si="7"/>
        <v>36387.207799549491</v>
      </c>
      <c r="G23" s="23">
        <v>65.390279823269609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11" t="s">
        <v>2</v>
      </c>
      <c r="S23" s="11"/>
      <c r="T23" s="20">
        <v>60.1</v>
      </c>
      <c r="U23" s="12"/>
      <c r="V23" s="12"/>
      <c r="W23" s="12"/>
      <c r="X23" s="12"/>
      <c r="Y23" s="12"/>
      <c r="Z23" s="11"/>
      <c r="AA23" s="46">
        <f xml:space="preserve"> E23 * T23</f>
        <v>2186871.1887529246</v>
      </c>
      <c r="AB23" s="46"/>
      <c r="AC23" s="46"/>
      <c r="AD23" s="46"/>
      <c r="AE23" s="46"/>
      <c r="AF23" s="46"/>
      <c r="AG23" s="45">
        <f t="shared" si="9"/>
        <v>2262561.6186085902</v>
      </c>
      <c r="AI23" s="36"/>
      <c r="AJ23" s="36"/>
    </row>
    <row r="24" spans="1:37" ht="15" outlineLevel="1" x14ac:dyDescent="0.35">
      <c r="A24" s="8"/>
      <c r="B24" s="9"/>
      <c r="C24" s="9" t="s">
        <v>8</v>
      </c>
      <c r="D24" s="11">
        <v>896389.26</v>
      </c>
      <c r="E24" s="11">
        <v>14540.062627728023</v>
      </c>
      <c r="F24" s="11">
        <f t="shared" si="7"/>
        <v>14540.062627728023</v>
      </c>
      <c r="G24" s="23">
        <v>61.649614788493281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11" t="s">
        <v>2</v>
      </c>
      <c r="S24" s="11"/>
      <c r="T24" s="20">
        <v>50.88</v>
      </c>
      <c r="U24" s="12"/>
      <c r="V24" s="12"/>
      <c r="W24" s="12"/>
      <c r="X24" s="12"/>
      <c r="Y24" s="12"/>
      <c r="Z24" s="11"/>
      <c r="AA24" s="46">
        <f xml:space="preserve"> E24 * T24</f>
        <v>739798.38649880188</v>
      </c>
      <c r="AB24" s="46"/>
      <c r="AC24" s="46"/>
      <c r="AD24" s="46"/>
      <c r="AE24" s="46"/>
      <c r="AF24" s="46"/>
      <c r="AG24" s="45">
        <f t="shared" si="9"/>
        <v>765403.76196335035</v>
      </c>
      <c r="AI24" s="36"/>
      <c r="AJ24" s="36"/>
    </row>
    <row r="25" spans="1:37" ht="15" outlineLevel="1" x14ac:dyDescent="0.35">
      <c r="A25" s="8"/>
      <c r="B25" s="9"/>
      <c r="C25" s="9" t="s">
        <v>10</v>
      </c>
      <c r="D25" s="11">
        <v>611642.78</v>
      </c>
      <c r="E25" s="11">
        <v>8932.4147499999999</v>
      </c>
      <c r="F25" s="11">
        <f t="shared" si="7"/>
        <v>8932.4147499999999</v>
      </c>
      <c r="G25" s="23">
        <v>68.474516367480589</v>
      </c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11" t="s">
        <v>2</v>
      </c>
      <c r="S25" s="11"/>
      <c r="T25" s="20">
        <v>67.08</v>
      </c>
      <c r="U25" s="12"/>
      <c r="V25" s="12"/>
      <c r="W25" s="12"/>
      <c r="X25" s="12"/>
      <c r="Y25" s="12"/>
      <c r="Z25" s="11"/>
      <c r="AA25" s="46">
        <f xml:space="preserve"> E25 * T25</f>
        <v>599186.38142999995</v>
      </c>
      <c r="AB25" s="46"/>
      <c r="AC25" s="46"/>
      <c r="AD25" s="46"/>
      <c r="AE25" s="46"/>
      <c r="AF25" s="46"/>
      <c r="AG25" s="45">
        <f t="shared" si="9"/>
        <v>619924.99420579872</v>
      </c>
      <c r="AI25" s="36"/>
      <c r="AJ25" s="36"/>
    </row>
    <row r="26" spans="1:37" ht="15" outlineLevel="1" x14ac:dyDescent="0.35">
      <c r="A26" s="8"/>
      <c r="B26" s="9"/>
      <c r="C26" s="9" t="s">
        <v>9</v>
      </c>
      <c r="D26" s="11">
        <v>567502.72</v>
      </c>
      <c r="E26" s="11">
        <v>8678.7015063062863</v>
      </c>
      <c r="F26" s="11">
        <f t="shared" si="7"/>
        <v>8678.7015063062863</v>
      </c>
      <c r="G26" s="23">
        <v>65.390279823269665</v>
      </c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11" t="s">
        <v>2</v>
      </c>
      <c r="S26" s="11"/>
      <c r="T26" s="20">
        <v>60.1</v>
      </c>
      <c r="U26" s="12"/>
      <c r="V26" s="12"/>
      <c r="W26" s="12"/>
      <c r="X26" s="12"/>
      <c r="Y26" s="12"/>
      <c r="Z26" s="11"/>
      <c r="AA26" s="46">
        <f xml:space="preserve"> E26 * T26</f>
        <v>521589.96052900783</v>
      </c>
      <c r="AB26" s="46"/>
      <c r="AC26" s="46"/>
      <c r="AD26" s="46"/>
      <c r="AE26" s="46"/>
      <c r="AF26" s="46"/>
      <c r="AG26" s="45">
        <f t="shared" si="9"/>
        <v>539642.86118629505</v>
      </c>
      <c r="AI26" s="36"/>
      <c r="AJ26" s="36"/>
    </row>
    <row r="27" spans="1:37" ht="15" outlineLevel="1" x14ac:dyDescent="0.35">
      <c r="A27" s="8"/>
      <c r="B27" s="9"/>
      <c r="C27" s="9" t="s">
        <v>11</v>
      </c>
      <c r="D27" s="11">
        <v>331672.75</v>
      </c>
      <c r="E27" s="11">
        <v>5072.2026407657631</v>
      </c>
      <c r="F27" s="11">
        <f t="shared" si="7"/>
        <v>5072.2026407657631</v>
      </c>
      <c r="G27" s="23">
        <v>65.390279823269552</v>
      </c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11" t="s">
        <v>2</v>
      </c>
      <c r="S27" s="11"/>
      <c r="T27" s="20">
        <v>49.9</v>
      </c>
      <c r="U27" s="12"/>
      <c r="V27" s="12"/>
      <c r="W27" s="12"/>
      <c r="X27" s="12"/>
      <c r="Y27" s="12"/>
      <c r="Z27" s="11"/>
      <c r="AA27" s="46">
        <f xml:space="preserve"> E27 * T27</f>
        <v>253102.91177421156</v>
      </c>
      <c r="AB27" s="46"/>
      <c r="AC27" s="46"/>
      <c r="AD27" s="46"/>
      <c r="AE27" s="46"/>
      <c r="AF27" s="46"/>
      <c r="AG27" s="45">
        <f t="shared" si="9"/>
        <v>261863.12970036906</v>
      </c>
      <c r="AI27" s="36"/>
      <c r="AJ27" s="36"/>
    </row>
    <row r="28" spans="1:37" ht="4.95" customHeight="1" x14ac:dyDescent="0.35">
      <c r="A28" s="8"/>
      <c r="B28" s="10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46"/>
      <c r="AB28" s="46"/>
      <c r="AC28" s="46"/>
      <c r="AD28" s="46"/>
      <c r="AE28" s="46"/>
      <c r="AF28" s="46"/>
      <c r="AG28" s="45"/>
      <c r="AI28" s="60"/>
      <c r="AJ28" s="36"/>
    </row>
    <row r="29" spans="1:37" s="53" customFormat="1" ht="15" x14ac:dyDescent="0.35">
      <c r="A29" s="47" t="s">
        <v>30</v>
      </c>
      <c r="B29" s="75" t="s">
        <v>18</v>
      </c>
      <c r="C29" s="48"/>
      <c r="D29" s="49">
        <v>1528265.74</v>
      </c>
      <c r="E29" s="49">
        <v>53800.813801842203</v>
      </c>
      <c r="F29" s="49">
        <f t="shared" ref="F29:F34" si="10" xml:space="preserve"> E29</f>
        <v>53800.813801842203</v>
      </c>
      <c r="G29" s="55">
        <v>28.405996712779658</v>
      </c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49" t="s">
        <v>4</v>
      </c>
      <c r="S29" s="49"/>
      <c r="T29" s="49"/>
      <c r="U29" s="49"/>
      <c r="V29" s="49"/>
      <c r="W29" s="49"/>
      <c r="X29" s="49"/>
      <c r="Y29" s="49"/>
      <c r="Z29" s="49"/>
      <c r="AA29" s="51">
        <f t="shared" ref="AA29:AF29" si="11">SUM(AA30:AA34)</f>
        <v>0</v>
      </c>
      <c r="AB29" s="51">
        <f t="shared" si="11"/>
        <v>1716459.6188965754</v>
      </c>
      <c r="AC29" s="51">
        <f t="shared" si="11"/>
        <v>0</v>
      </c>
      <c r="AD29" s="51">
        <f t="shared" si="11"/>
        <v>0</v>
      </c>
      <c r="AE29" s="51">
        <f t="shared" si="11"/>
        <v>0</v>
      </c>
      <c r="AF29" s="51">
        <f t="shared" si="11"/>
        <v>0</v>
      </c>
      <c r="AG29" s="52">
        <f t="shared" ref="AG29:AG34" si="12">SUM(AA29:AF29) * (1 + $AI$8)</f>
        <v>1775868.4981448594</v>
      </c>
      <c r="AI29" s="58">
        <f xml:space="preserve"> IF( AG29 &lt;&gt; 0, AG29- D29, 0)</f>
        <v>247602.75814485946</v>
      </c>
      <c r="AJ29" s="59">
        <f xml:space="preserve"> AI29 / D29</f>
        <v>0.16201551318219007</v>
      </c>
      <c r="AK29" s="54"/>
    </row>
    <row r="30" spans="1:37" ht="15" outlineLevel="1" x14ac:dyDescent="0.35">
      <c r="A30" s="8"/>
      <c r="B30" s="9"/>
      <c r="C30" s="9" t="s">
        <v>7</v>
      </c>
      <c r="D30" s="11">
        <v>455740.04</v>
      </c>
      <c r="E30" s="11">
        <v>15817.901382260727</v>
      </c>
      <c r="F30" s="11">
        <f t="shared" si="10"/>
        <v>15817.901382260727</v>
      </c>
      <c r="G30" s="23">
        <v>28.811662747568899</v>
      </c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11" t="s">
        <v>4</v>
      </c>
      <c r="S30" s="11"/>
      <c r="T30" s="20"/>
      <c r="U30" s="20">
        <v>34.04</v>
      </c>
      <c r="V30" s="12"/>
      <c r="W30" s="12"/>
      <c r="X30" s="12"/>
      <c r="Y30" s="12"/>
      <c r="Z30" s="11"/>
      <c r="AA30" s="46"/>
      <c r="AB30" s="46">
        <f xml:space="preserve"> E30 * U30</f>
        <v>538441.36305215512</v>
      </c>
      <c r="AC30" s="46"/>
      <c r="AD30" s="46"/>
      <c r="AE30" s="46"/>
      <c r="AF30" s="46"/>
      <c r="AG30" s="45">
        <f t="shared" si="12"/>
        <v>557077.51246556838</v>
      </c>
      <c r="AI30" s="36"/>
      <c r="AJ30" s="36"/>
    </row>
    <row r="31" spans="1:37" ht="15" outlineLevel="1" x14ac:dyDescent="0.35">
      <c r="A31" s="8"/>
      <c r="B31" s="9"/>
      <c r="C31" s="9" t="s">
        <v>8</v>
      </c>
      <c r="D31" s="11">
        <v>351143.38</v>
      </c>
      <c r="E31" s="11">
        <v>12380.702185602575</v>
      </c>
      <c r="F31" s="11">
        <f t="shared" si="10"/>
        <v>12380.702185602575</v>
      </c>
      <c r="G31" s="23">
        <v>28.362153837150043</v>
      </c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11" t="s">
        <v>4</v>
      </c>
      <c r="S31" s="11"/>
      <c r="T31" s="20"/>
      <c r="U31" s="20">
        <v>32.64</v>
      </c>
      <c r="V31" s="12"/>
      <c r="W31" s="12"/>
      <c r="X31" s="12"/>
      <c r="Y31" s="12"/>
      <c r="Z31" s="11"/>
      <c r="AA31" s="46"/>
      <c r="AB31" s="46">
        <f xml:space="preserve"> E31 * U31</f>
        <v>404106.11933806806</v>
      </c>
      <c r="AC31" s="46"/>
      <c r="AD31" s="46"/>
      <c r="AE31" s="46"/>
      <c r="AF31" s="46"/>
      <c r="AG31" s="45">
        <f t="shared" si="12"/>
        <v>418092.7528614836</v>
      </c>
      <c r="AI31" s="36"/>
      <c r="AJ31" s="36"/>
    </row>
    <row r="32" spans="1:37" ht="15" outlineLevel="1" x14ac:dyDescent="0.35">
      <c r="A32" s="8"/>
      <c r="B32" s="9"/>
      <c r="C32" s="9" t="s">
        <v>10</v>
      </c>
      <c r="D32" s="11">
        <v>28223.200000000001</v>
      </c>
      <c r="E32" s="11">
        <v>545.56173913043472</v>
      </c>
      <c r="F32" s="11">
        <f t="shared" si="10"/>
        <v>545.56173913043472</v>
      </c>
      <c r="G32" s="23">
        <v>51.73236679864074</v>
      </c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11" t="s">
        <v>4</v>
      </c>
      <c r="S32" s="11"/>
      <c r="T32" s="12"/>
      <c r="U32" s="20">
        <v>34.04</v>
      </c>
      <c r="V32" s="12"/>
      <c r="W32" s="12"/>
      <c r="X32" s="12"/>
      <c r="Y32" s="12"/>
      <c r="Z32" s="11"/>
      <c r="AA32" s="46"/>
      <c r="AB32" s="46">
        <f xml:space="preserve"> E32 * U32</f>
        <v>18570.921599999998</v>
      </c>
      <c r="AC32" s="46"/>
      <c r="AD32" s="46"/>
      <c r="AE32" s="46"/>
      <c r="AF32" s="46"/>
      <c r="AG32" s="45">
        <f t="shared" si="12"/>
        <v>19213.685127156547</v>
      </c>
      <c r="AI32" s="36"/>
      <c r="AJ32" s="36"/>
    </row>
    <row r="33" spans="1:37" ht="15" outlineLevel="1" x14ac:dyDescent="0.35">
      <c r="A33" s="8"/>
      <c r="B33" s="9"/>
      <c r="C33" s="9" t="s">
        <v>9</v>
      </c>
      <c r="D33" s="11">
        <v>61597.32</v>
      </c>
      <c r="E33" s="11">
        <v>2202.425109915062</v>
      </c>
      <c r="F33" s="11">
        <f t="shared" si="10"/>
        <v>2202.425109915062</v>
      </c>
      <c r="G33" s="23">
        <v>27.967952110015464</v>
      </c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11" t="s">
        <v>4</v>
      </c>
      <c r="S33" s="11"/>
      <c r="T33" s="20"/>
      <c r="U33" s="20">
        <v>34.04</v>
      </c>
      <c r="V33" s="12"/>
      <c r="W33" s="12"/>
      <c r="X33" s="12"/>
      <c r="Y33" s="12"/>
      <c r="Z33" s="11"/>
      <c r="AA33" s="46"/>
      <c r="AB33" s="46">
        <f xml:space="preserve"> E33 * U33</f>
        <v>74970.550741508705</v>
      </c>
      <c r="AC33" s="46"/>
      <c r="AD33" s="46"/>
      <c r="AE33" s="46"/>
      <c r="AF33" s="46"/>
      <c r="AG33" s="45">
        <f t="shared" si="12"/>
        <v>77565.378110091275</v>
      </c>
      <c r="AI33" s="36"/>
      <c r="AJ33" s="36"/>
    </row>
    <row r="34" spans="1:37" ht="15" outlineLevel="1" x14ac:dyDescent="0.35">
      <c r="A34" s="8"/>
      <c r="B34" s="9"/>
      <c r="C34" s="9" t="s">
        <v>11</v>
      </c>
      <c r="D34" s="11">
        <v>631561.80000000005</v>
      </c>
      <c r="E34" s="11">
        <v>22299.923440342296</v>
      </c>
      <c r="F34" s="11">
        <f t="shared" si="10"/>
        <v>22299.923440342296</v>
      </c>
      <c r="G34" s="23">
        <v>28.321254182310582</v>
      </c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11" t="s">
        <v>4</v>
      </c>
      <c r="S34" s="11"/>
      <c r="T34" s="12"/>
      <c r="U34" s="20">
        <v>30.51</v>
      </c>
      <c r="V34" s="12"/>
      <c r="W34" s="12"/>
      <c r="X34" s="12"/>
      <c r="Y34" s="12"/>
      <c r="Z34" s="11"/>
      <c r="AA34" s="46"/>
      <c r="AB34" s="46">
        <f xml:space="preserve"> E34 * U34</f>
        <v>680370.6641648435</v>
      </c>
      <c r="AC34" s="46"/>
      <c r="AD34" s="46"/>
      <c r="AE34" s="46"/>
      <c r="AF34" s="46"/>
      <c r="AG34" s="45">
        <f t="shared" si="12"/>
        <v>703919.1695805596</v>
      </c>
      <c r="AI34" s="36"/>
      <c r="AJ34" s="36"/>
    </row>
    <row r="35" spans="1:37" ht="4.95" customHeight="1" x14ac:dyDescent="0.35">
      <c r="A35" s="8"/>
      <c r="B35" s="10"/>
      <c r="C35" s="10"/>
      <c r="D35" s="11"/>
      <c r="E35" s="11"/>
      <c r="F35" s="11"/>
      <c r="G35" s="23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46"/>
      <c r="AB35" s="46"/>
      <c r="AC35" s="46"/>
      <c r="AD35" s="46"/>
      <c r="AE35" s="46"/>
      <c r="AF35" s="46"/>
      <c r="AG35" s="45"/>
      <c r="AI35" s="36"/>
      <c r="AJ35" s="36"/>
    </row>
    <row r="36" spans="1:37" s="53" customFormat="1" ht="15" x14ac:dyDescent="0.35">
      <c r="A36" s="47" t="s">
        <v>30</v>
      </c>
      <c r="B36" s="75" t="s">
        <v>19</v>
      </c>
      <c r="C36" s="48"/>
      <c r="D36" s="49">
        <v>1600363.43</v>
      </c>
      <c r="E36" s="49">
        <v>34265.579252593583</v>
      </c>
      <c r="F36" s="49">
        <f t="shared" ref="F36:F41" si="13" xml:space="preserve"> E36</f>
        <v>34265.579252593583</v>
      </c>
      <c r="G36" s="55">
        <v>46.704695058638691</v>
      </c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49" t="s">
        <v>4</v>
      </c>
      <c r="S36" s="49"/>
      <c r="T36" s="49"/>
      <c r="U36" s="49"/>
      <c r="V36" s="49"/>
      <c r="W36" s="49"/>
      <c r="X36" s="49"/>
      <c r="Y36" s="49"/>
      <c r="Z36" s="49"/>
      <c r="AA36" s="51">
        <f t="shared" ref="AA36:AF36" si="14">SUM(AA37:AA41)</f>
        <v>0</v>
      </c>
      <c r="AB36" s="51">
        <f t="shared" si="14"/>
        <v>1573823.0259926966</v>
      </c>
      <c r="AC36" s="51">
        <f t="shared" si="14"/>
        <v>0</v>
      </c>
      <c r="AD36" s="51">
        <f t="shared" si="14"/>
        <v>0</v>
      </c>
      <c r="AE36" s="51">
        <f t="shared" si="14"/>
        <v>0</v>
      </c>
      <c r="AF36" s="51">
        <f t="shared" si="14"/>
        <v>0</v>
      </c>
      <c r="AG36" s="52">
        <f t="shared" ref="AG36:AG41" si="15">SUM(AA36:AF36) * (1 + $AI$8)</f>
        <v>1628295.0689583651</v>
      </c>
      <c r="AI36" s="58">
        <f xml:space="preserve"> IF( AG36 &lt;&gt; 0, AG36- D36, 0)</f>
        <v>27931.638958365191</v>
      </c>
      <c r="AJ36" s="59">
        <f xml:space="preserve"> AI36 / D36</f>
        <v>1.7453309938708854E-2</v>
      </c>
      <c r="AK36" s="54"/>
    </row>
    <row r="37" spans="1:37" ht="15" outlineLevel="1" x14ac:dyDescent="0.35">
      <c r="A37" s="8"/>
      <c r="B37" s="9"/>
      <c r="C37" s="9" t="s">
        <v>7</v>
      </c>
      <c r="D37" s="11">
        <v>142947.45000000001</v>
      </c>
      <c r="E37" s="11">
        <v>2909.2832629461136</v>
      </c>
      <c r="F37" s="11">
        <f t="shared" si="13"/>
        <v>2909.2832629461136</v>
      </c>
      <c r="G37" s="23">
        <v>49.134937054992335</v>
      </c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11" t="s">
        <v>4</v>
      </c>
      <c r="S37" s="11"/>
      <c r="T37" s="20"/>
      <c r="U37" s="20">
        <v>49.04</v>
      </c>
      <c r="V37" s="12"/>
      <c r="W37" s="12"/>
      <c r="X37" s="20"/>
      <c r="Y37" s="12"/>
      <c r="Z37" s="11"/>
      <c r="AA37" s="46"/>
      <c r="AB37" s="46">
        <f xml:space="preserve"> E37 * U37</f>
        <v>142671.25121487741</v>
      </c>
      <c r="AC37" s="46"/>
      <c r="AD37" s="46"/>
      <c r="AE37" s="46"/>
      <c r="AF37" s="46"/>
      <c r="AG37" s="45">
        <f t="shared" si="15"/>
        <v>147609.28706629755</v>
      </c>
      <c r="AI37" s="36"/>
      <c r="AJ37" s="36"/>
    </row>
    <row r="38" spans="1:37" ht="15" outlineLevel="1" x14ac:dyDescent="0.35">
      <c r="A38" s="8"/>
      <c r="B38" s="9"/>
      <c r="C38" s="9" t="s">
        <v>8</v>
      </c>
      <c r="D38" s="11">
        <v>413782.5</v>
      </c>
      <c r="E38" s="11">
        <v>8975.4115324233844</v>
      </c>
      <c r="F38" s="11">
        <f t="shared" si="13"/>
        <v>8975.4115324233844</v>
      </c>
      <c r="G38" s="23">
        <v>46.101785807282937</v>
      </c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11" t="s">
        <v>4</v>
      </c>
      <c r="S38" s="11"/>
      <c r="T38" s="20"/>
      <c r="U38" s="20">
        <v>47.27</v>
      </c>
      <c r="V38" s="12"/>
      <c r="W38" s="12"/>
      <c r="X38" s="20"/>
      <c r="Y38" s="12"/>
      <c r="Z38" s="11"/>
      <c r="AA38" s="46"/>
      <c r="AB38" s="46">
        <f xml:space="preserve"> E38 * U38</f>
        <v>424267.70313765341</v>
      </c>
      <c r="AC38" s="46"/>
      <c r="AD38" s="46"/>
      <c r="AE38" s="46"/>
      <c r="AF38" s="46"/>
      <c r="AG38" s="45">
        <f t="shared" si="15"/>
        <v>438952.15505668829</v>
      </c>
      <c r="AI38" s="36"/>
      <c r="AJ38" s="36"/>
    </row>
    <row r="39" spans="1:37" ht="15" outlineLevel="1" x14ac:dyDescent="0.35">
      <c r="A39" s="8"/>
      <c r="B39" s="9"/>
      <c r="C39" s="9" t="s">
        <v>10</v>
      </c>
      <c r="D39" s="11">
        <v>0</v>
      </c>
      <c r="E39" s="11">
        <v>0</v>
      </c>
      <c r="F39" s="11">
        <f t="shared" si="13"/>
        <v>0</v>
      </c>
      <c r="G39" s="23">
        <v>0</v>
      </c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11" t="s">
        <v>4</v>
      </c>
      <c r="S39" s="11"/>
      <c r="T39" s="12"/>
      <c r="U39" s="20">
        <v>49.04</v>
      </c>
      <c r="V39" s="12"/>
      <c r="W39" s="12"/>
      <c r="X39" s="12"/>
      <c r="Y39" s="12"/>
      <c r="Z39" s="11"/>
      <c r="AA39" s="46"/>
      <c r="AB39" s="46">
        <f xml:space="preserve"> E39 * U39</f>
        <v>0</v>
      </c>
      <c r="AC39" s="46"/>
      <c r="AD39" s="46"/>
      <c r="AE39" s="46"/>
      <c r="AF39" s="46"/>
      <c r="AG39" s="45">
        <f t="shared" si="15"/>
        <v>0</v>
      </c>
      <c r="AI39" s="36"/>
      <c r="AJ39" s="36"/>
    </row>
    <row r="40" spans="1:37" ht="15" outlineLevel="1" x14ac:dyDescent="0.35">
      <c r="A40" s="8"/>
      <c r="B40" s="9"/>
      <c r="C40" s="9" t="s">
        <v>9</v>
      </c>
      <c r="D40" s="11">
        <v>159861.34</v>
      </c>
      <c r="E40" s="11">
        <v>2496.1252155347806</v>
      </c>
      <c r="F40" s="11">
        <f t="shared" si="13"/>
        <v>2496.1252155347806</v>
      </c>
      <c r="G40" s="23">
        <v>64.043798366000885</v>
      </c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11" t="s">
        <v>4</v>
      </c>
      <c r="S40" s="11"/>
      <c r="T40" s="20"/>
      <c r="U40" s="20">
        <v>49.04</v>
      </c>
      <c r="V40" s="12"/>
      <c r="W40" s="12"/>
      <c r="X40" s="20"/>
      <c r="Y40" s="12"/>
      <c r="Z40" s="11"/>
      <c r="AA40" s="46"/>
      <c r="AB40" s="46">
        <f xml:space="preserve"> E40 * U40</f>
        <v>122409.98056982564</v>
      </c>
      <c r="AC40" s="46"/>
      <c r="AD40" s="46"/>
      <c r="AE40" s="46"/>
      <c r="AF40" s="46"/>
      <c r="AG40" s="45">
        <f t="shared" si="15"/>
        <v>126646.74773544793</v>
      </c>
      <c r="AI40" s="36"/>
      <c r="AJ40" s="36"/>
    </row>
    <row r="41" spans="1:37" ht="15" outlineLevel="1" x14ac:dyDescent="0.35">
      <c r="A41" s="8"/>
      <c r="B41" s="9"/>
      <c r="C41" s="9" t="s">
        <v>11</v>
      </c>
      <c r="D41" s="11">
        <v>883772.14</v>
      </c>
      <c r="E41" s="11">
        <v>19884.759241689302</v>
      </c>
      <c r="F41" s="11">
        <f t="shared" si="13"/>
        <v>19884.759241689302</v>
      </c>
      <c r="G41" s="23">
        <v>44.444699041018886</v>
      </c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11" t="s">
        <v>4</v>
      </c>
      <c r="S41" s="11"/>
      <c r="T41" s="12"/>
      <c r="U41" s="20">
        <v>44.48</v>
      </c>
      <c r="V41" s="12"/>
      <c r="W41" s="12"/>
      <c r="X41" s="20"/>
      <c r="Y41" s="12"/>
      <c r="Z41" s="11"/>
      <c r="AA41" s="46"/>
      <c r="AB41" s="46">
        <f xml:space="preserve"> E41 * U41</f>
        <v>884474.09107034013</v>
      </c>
      <c r="AC41" s="46"/>
      <c r="AD41" s="46"/>
      <c r="AE41" s="46"/>
      <c r="AF41" s="46"/>
      <c r="AG41" s="45">
        <f t="shared" si="15"/>
        <v>915086.87909993122</v>
      </c>
      <c r="AI41" s="36"/>
      <c r="AJ41" s="36"/>
    </row>
    <row r="42" spans="1:37" ht="4.95" customHeight="1" x14ac:dyDescent="0.35">
      <c r="A42" s="8"/>
      <c r="B42" s="10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46"/>
      <c r="AB42" s="46"/>
      <c r="AC42" s="46"/>
      <c r="AD42" s="46"/>
      <c r="AE42" s="46"/>
      <c r="AF42" s="46"/>
      <c r="AG42" s="45"/>
      <c r="AI42" s="36"/>
      <c r="AJ42" s="36"/>
    </row>
    <row r="43" spans="1:37" s="53" customFormat="1" ht="15" x14ac:dyDescent="0.35">
      <c r="A43" s="47" t="s">
        <v>6</v>
      </c>
      <c r="B43" s="75" t="s">
        <v>16</v>
      </c>
      <c r="C43" s="48"/>
      <c r="D43" s="49">
        <v>62597.64</v>
      </c>
      <c r="E43" s="49">
        <v>1235.5755104651164</v>
      </c>
      <c r="F43" s="49">
        <f t="shared" ref="F43:F48" si="16" xml:space="preserve"> E43</f>
        <v>1235.5755104651164</v>
      </c>
      <c r="G43" s="49">
        <v>50.662739322533149</v>
      </c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49" t="s">
        <v>2</v>
      </c>
      <c r="S43" s="49"/>
      <c r="T43" s="49"/>
      <c r="U43" s="49"/>
      <c r="V43" s="49"/>
      <c r="W43" s="49"/>
      <c r="X43" s="49"/>
      <c r="Y43" s="49"/>
      <c r="Z43" s="49"/>
      <c r="AA43" s="51">
        <f t="shared" ref="AA43:AF43" si="17">SUM(AA44:AA48)</f>
        <v>66164.608460267453</v>
      </c>
      <c r="AB43" s="51">
        <f t="shared" si="17"/>
        <v>0</v>
      </c>
      <c r="AC43" s="51">
        <f t="shared" si="17"/>
        <v>0</v>
      </c>
      <c r="AD43" s="51">
        <f t="shared" si="17"/>
        <v>0</v>
      </c>
      <c r="AE43" s="51">
        <f t="shared" si="17"/>
        <v>0</v>
      </c>
      <c r="AF43" s="51">
        <f t="shared" si="17"/>
        <v>0</v>
      </c>
      <c r="AG43" s="52">
        <f t="shared" ref="AG43:AG48" si="18">SUM(AA43:AF43) * (1 + $AI$8)</f>
        <v>68454.650819115894</v>
      </c>
      <c r="AI43" s="58">
        <f xml:space="preserve"> IF( AG43 &lt;&gt; 0, AG43- D43, 0)</f>
        <v>5857.0108191158943</v>
      </c>
      <c r="AJ43" s="59">
        <f xml:space="preserve"> AI43 / D43</f>
        <v>9.3566000557143911E-2</v>
      </c>
      <c r="AK43" s="54"/>
    </row>
    <row r="44" spans="1:37" ht="15" outlineLevel="1" x14ac:dyDescent="0.35">
      <c r="A44" s="8"/>
      <c r="B44" s="9"/>
      <c r="C44" s="9" t="s">
        <v>7</v>
      </c>
      <c r="D44" s="11">
        <v>19270.439999999999</v>
      </c>
      <c r="E44" s="11">
        <v>380.36711511627908</v>
      </c>
      <c r="F44" s="11">
        <f t="shared" si="16"/>
        <v>380.36711511627908</v>
      </c>
      <c r="G44" s="11">
        <v>50.662739322533142</v>
      </c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11" t="s">
        <v>2</v>
      </c>
      <c r="S44" s="11"/>
      <c r="T44" s="20">
        <v>60.1</v>
      </c>
      <c r="U44" s="12"/>
      <c r="V44" s="12"/>
      <c r="W44" s="12"/>
      <c r="X44" s="12"/>
      <c r="Y44" s="12"/>
      <c r="Z44" s="11"/>
      <c r="AA44" s="46">
        <f xml:space="preserve"> E44 * T44</f>
        <v>22860.063618488373</v>
      </c>
      <c r="AB44" s="46"/>
      <c r="AC44" s="46"/>
      <c r="AD44" s="46"/>
      <c r="AE44" s="46"/>
      <c r="AF44" s="46"/>
      <c r="AG44" s="45">
        <f t="shared" si="18"/>
        <v>23651.279877914221</v>
      </c>
      <c r="AI44" s="36"/>
      <c r="AJ44" s="36"/>
    </row>
    <row r="45" spans="1:37" ht="15" outlineLevel="1" x14ac:dyDescent="0.35">
      <c r="A45" s="8"/>
      <c r="B45" s="9"/>
      <c r="C45" s="9" t="s">
        <v>8</v>
      </c>
      <c r="D45" s="11">
        <v>29950.2</v>
      </c>
      <c r="E45" s="11">
        <v>591.16819186046507</v>
      </c>
      <c r="F45" s="11">
        <f t="shared" si="16"/>
        <v>591.16819186046507</v>
      </c>
      <c r="G45" s="11">
        <v>50.662739322533149</v>
      </c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11" t="s">
        <v>2</v>
      </c>
      <c r="S45" s="11"/>
      <c r="T45" s="20">
        <v>50.88</v>
      </c>
      <c r="U45" s="12"/>
      <c r="V45" s="12"/>
      <c r="W45" s="12"/>
      <c r="X45" s="12"/>
      <c r="Y45" s="12"/>
      <c r="Z45" s="11"/>
      <c r="AA45" s="46">
        <f xml:space="preserve"> E45 * T45</f>
        <v>30078.637601860464</v>
      </c>
      <c r="AB45" s="46"/>
      <c r="AC45" s="46"/>
      <c r="AD45" s="46"/>
      <c r="AE45" s="46"/>
      <c r="AF45" s="46"/>
      <c r="AG45" s="45">
        <f t="shared" si="18"/>
        <v>31119.698008740619</v>
      </c>
      <c r="AI45" s="36"/>
      <c r="AJ45" s="36"/>
    </row>
    <row r="46" spans="1:37" ht="15" outlineLevel="1" x14ac:dyDescent="0.35">
      <c r="A46" s="8"/>
      <c r="B46" s="9"/>
      <c r="C46" s="9" t="s">
        <v>10</v>
      </c>
      <c r="D46" s="11">
        <v>5325.76</v>
      </c>
      <c r="E46" s="11">
        <v>123.33693374329158</v>
      </c>
      <c r="F46" s="11">
        <f t="shared" si="16"/>
        <v>123.33693374329158</v>
      </c>
      <c r="G46" s="11">
        <v>45.753559155621019</v>
      </c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11" t="s">
        <v>2</v>
      </c>
      <c r="S46" s="11"/>
      <c r="T46" s="20">
        <v>67.08</v>
      </c>
      <c r="U46" s="12"/>
      <c r="V46" s="12"/>
      <c r="W46" s="12"/>
      <c r="X46" s="12"/>
      <c r="Y46" s="12"/>
      <c r="Z46" s="11"/>
      <c r="AA46" s="46">
        <f xml:space="preserve"> E46 * T46</f>
        <v>8273.4415154999988</v>
      </c>
      <c r="AB46" s="46"/>
      <c r="AC46" s="46"/>
      <c r="AD46" s="46"/>
      <c r="AE46" s="46"/>
      <c r="AF46" s="46"/>
      <c r="AG46" s="45">
        <f t="shared" si="18"/>
        <v>8559.7959875487213</v>
      </c>
      <c r="AI46" s="36"/>
      <c r="AJ46" s="36"/>
    </row>
    <row r="47" spans="1:37" ht="15" outlineLevel="1" x14ac:dyDescent="0.35">
      <c r="A47" s="8"/>
      <c r="B47" s="9"/>
      <c r="C47" s="9" t="s">
        <v>9</v>
      </c>
      <c r="D47" s="11">
        <v>4174.8</v>
      </c>
      <c r="E47" s="11">
        <v>82.403755813953467</v>
      </c>
      <c r="F47" s="11">
        <f t="shared" si="16"/>
        <v>82.403755813953467</v>
      </c>
      <c r="G47" s="11">
        <v>50.662739322533142</v>
      </c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11" t="s">
        <v>2</v>
      </c>
      <c r="S47" s="11"/>
      <c r="T47" s="20">
        <v>60.1</v>
      </c>
      <c r="U47" s="12"/>
      <c r="V47" s="12"/>
      <c r="W47" s="12"/>
      <c r="X47" s="12"/>
      <c r="Y47" s="12"/>
      <c r="Z47" s="11"/>
      <c r="AA47" s="46">
        <f xml:space="preserve"> E47 * T47</f>
        <v>4952.4657244186037</v>
      </c>
      <c r="AB47" s="46"/>
      <c r="AC47" s="46"/>
      <c r="AD47" s="46"/>
      <c r="AE47" s="46"/>
      <c r="AF47" s="46"/>
      <c r="AG47" s="45">
        <f t="shared" si="18"/>
        <v>5123.8769449123256</v>
      </c>
      <c r="AI47" s="36"/>
      <c r="AJ47" s="36"/>
    </row>
    <row r="48" spans="1:37" ht="15" outlineLevel="1" x14ac:dyDescent="0.35">
      <c r="A48" s="8"/>
      <c r="B48" s="9"/>
      <c r="C48" s="9" t="s">
        <v>11</v>
      </c>
      <c r="D48" s="11">
        <v>0</v>
      </c>
      <c r="E48" s="11">
        <v>0</v>
      </c>
      <c r="F48" s="11">
        <f t="shared" si="16"/>
        <v>0</v>
      </c>
      <c r="G48" s="11">
        <v>0</v>
      </c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11" t="s">
        <v>2</v>
      </c>
      <c r="S48" s="11"/>
      <c r="T48" s="20">
        <v>49.9</v>
      </c>
      <c r="U48" s="12"/>
      <c r="V48" s="12"/>
      <c r="W48" s="12"/>
      <c r="X48" s="12"/>
      <c r="Y48" s="12"/>
      <c r="Z48" s="11"/>
      <c r="AA48" s="46">
        <f xml:space="preserve"> E48 * T48</f>
        <v>0</v>
      </c>
      <c r="AB48" s="46"/>
      <c r="AC48" s="46"/>
      <c r="AD48" s="46"/>
      <c r="AE48" s="46"/>
      <c r="AF48" s="46"/>
      <c r="AG48" s="45">
        <f t="shared" si="18"/>
        <v>0</v>
      </c>
      <c r="AI48" s="36"/>
      <c r="AJ48" s="36"/>
    </row>
    <row r="49" spans="1:37" ht="4.95" customHeight="1" x14ac:dyDescent="0.35">
      <c r="A49" s="8"/>
      <c r="B49" s="10"/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46"/>
      <c r="AB49" s="46"/>
      <c r="AC49" s="46"/>
      <c r="AD49" s="46"/>
      <c r="AE49" s="46"/>
      <c r="AF49" s="46"/>
      <c r="AG49" s="45"/>
      <c r="AI49" s="36"/>
      <c r="AJ49" s="36"/>
    </row>
    <row r="50" spans="1:37" s="53" customFormat="1" ht="15" x14ac:dyDescent="0.35">
      <c r="A50" s="47" t="s">
        <v>6</v>
      </c>
      <c r="B50" s="75" t="s">
        <v>17</v>
      </c>
      <c r="C50" s="48"/>
      <c r="D50" s="49">
        <v>465591.56</v>
      </c>
      <c r="E50" s="49">
        <v>6647.6261706942214</v>
      </c>
      <c r="F50" s="49">
        <f t="shared" ref="F50:F55" si="19" xml:space="preserve"> E50</f>
        <v>6647.6261706942214</v>
      </c>
      <c r="G50" s="49">
        <v>67.746686303387349</v>
      </c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49" t="s">
        <v>2</v>
      </c>
      <c r="S50" s="49"/>
      <c r="T50" s="49"/>
      <c r="U50" s="49"/>
      <c r="V50" s="49"/>
      <c r="W50" s="49"/>
      <c r="X50" s="49"/>
      <c r="Y50" s="49"/>
      <c r="Z50" s="49"/>
      <c r="AA50" s="51">
        <f t="shared" ref="AA50:AF50" si="20">SUM(AA51:AA55)</f>
        <v>398222.61994086334</v>
      </c>
      <c r="AB50" s="51">
        <f t="shared" si="20"/>
        <v>0</v>
      </c>
      <c r="AC50" s="51">
        <f t="shared" si="20"/>
        <v>0</v>
      </c>
      <c r="AD50" s="51">
        <f t="shared" si="20"/>
        <v>0</v>
      </c>
      <c r="AE50" s="51"/>
      <c r="AF50" s="51">
        <f t="shared" si="20"/>
        <v>0</v>
      </c>
      <c r="AG50" s="52">
        <f t="shared" ref="AG50:AG55" si="21">SUM(AA50:AF50) * (1 + $AI$8)</f>
        <v>412005.61796863552</v>
      </c>
      <c r="AI50" s="58">
        <f xml:space="preserve"> IF( AG50 &lt;&gt; 0, AG50- D50, 0)</f>
        <v>-53585.94203136448</v>
      </c>
      <c r="AJ50" s="59">
        <f xml:space="preserve"> AI50 / D50</f>
        <v>-0.11509216797521948</v>
      </c>
      <c r="AK50" s="54"/>
    </row>
    <row r="51" spans="1:37" ht="15" outlineLevel="1" x14ac:dyDescent="0.35">
      <c r="A51" s="8"/>
      <c r="B51" s="9"/>
      <c r="C51" s="9" t="s">
        <v>7</v>
      </c>
      <c r="D51" s="11">
        <v>277317</v>
      </c>
      <c r="E51" s="11">
        <v>3958.5102630100678</v>
      </c>
      <c r="F51" s="11">
        <f t="shared" si="19"/>
        <v>3958.5102630100678</v>
      </c>
      <c r="G51" s="11">
        <v>68.532155130093273</v>
      </c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11" t="s">
        <v>2</v>
      </c>
      <c r="S51" s="11"/>
      <c r="T51" s="20">
        <v>60.1</v>
      </c>
      <c r="U51" s="12"/>
      <c r="V51" s="12"/>
      <c r="W51" s="12"/>
      <c r="X51" s="12"/>
      <c r="Y51" s="12"/>
      <c r="Z51" s="11"/>
      <c r="AA51" s="46">
        <f xml:space="preserve"> E51 * T51</f>
        <v>237906.46680690508</v>
      </c>
      <c r="AB51" s="46"/>
      <c r="AC51" s="46"/>
      <c r="AD51" s="46"/>
      <c r="AE51" s="46"/>
      <c r="AF51" s="46"/>
      <c r="AG51" s="45">
        <f t="shared" si="21"/>
        <v>246140.71619053066</v>
      </c>
      <c r="AI51" s="36"/>
      <c r="AJ51" s="36"/>
    </row>
    <row r="52" spans="1:37" ht="15" outlineLevel="1" x14ac:dyDescent="0.35">
      <c r="A52" s="8"/>
      <c r="B52" s="9"/>
      <c r="C52" s="9" t="s">
        <v>8</v>
      </c>
      <c r="D52" s="11">
        <v>63607.71</v>
      </c>
      <c r="E52" s="11">
        <v>910.56477697803814</v>
      </c>
      <c r="F52" s="11">
        <f t="shared" si="19"/>
        <v>910.56477697803814</v>
      </c>
      <c r="G52" s="11">
        <v>62.052037309769275</v>
      </c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11" t="s">
        <v>2</v>
      </c>
      <c r="S52" s="11"/>
      <c r="T52" s="20">
        <v>50.88</v>
      </c>
      <c r="U52" s="12"/>
      <c r="V52" s="12"/>
      <c r="W52" s="12"/>
      <c r="X52" s="12"/>
      <c r="Y52" s="12"/>
      <c r="Z52" s="11"/>
      <c r="AA52" s="46">
        <f xml:space="preserve"> E52 * T52</f>
        <v>46329.535852642584</v>
      </c>
      <c r="AB52" s="46"/>
      <c r="AC52" s="46"/>
      <c r="AD52" s="46"/>
      <c r="AE52" s="46"/>
      <c r="AF52" s="46"/>
      <c r="AG52" s="45">
        <f t="shared" si="21"/>
        <v>47933.0607889694</v>
      </c>
      <c r="AI52" s="36"/>
      <c r="AJ52" s="36"/>
    </row>
    <row r="53" spans="1:37" ht="15" outlineLevel="1" x14ac:dyDescent="0.35">
      <c r="A53" s="8"/>
      <c r="B53" s="9"/>
      <c r="C53" s="9" t="s">
        <v>10</v>
      </c>
      <c r="D53" s="11">
        <v>28937.360000000001</v>
      </c>
      <c r="E53" s="11">
        <v>415.32672485426599</v>
      </c>
      <c r="F53" s="11">
        <f t="shared" si="19"/>
        <v>415.32672485426599</v>
      </c>
      <c r="G53" s="11">
        <v>67.746686303387335</v>
      </c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11" t="s">
        <v>2</v>
      </c>
      <c r="S53" s="11"/>
      <c r="T53" s="20">
        <v>67.08</v>
      </c>
      <c r="U53" s="12"/>
      <c r="V53" s="12"/>
      <c r="W53" s="12"/>
      <c r="X53" s="12"/>
      <c r="Y53" s="12"/>
      <c r="Z53" s="11"/>
      <c r="AA53" s="46">
        <f xml:space="preserve"> E53 * T53</f>
        <v>27860.116703224161</v>
      </c>
      <c r="AB53" s="46"/>
      <c r="AC53" s="46"/>
      <c r="AD53" s="46"/>
      <c r="AE53" s="46"/>
      <c r="AF53" s="46"/>
      <c r="AG53" s="45">
        <f t="shared" si="21"/>
        <v>28824.391243005615</v>
      </c>
      <c r="AI53" s="36"/>
      <c r="AJ53" s="36"/>
    </row>
    <row r="54" spans="1:37" ht="15" outlineLevel="1" x14ac:dyDescent="0.35">
      <c r="A54" s="8"/>
      <c r="B54" s="9"/>
      <c r="C54" s="9" t="s">
        <v>9</v>
      </c>
      <c r="D54" s="11">
        <v>69383.850000000006</v>
      </c>
      <c r="E54" s="11">
        <v>1029.6431242513031</v>
      </c>
      <c r="F54" s="11">
        <f t="shared" si="19"/>
        <v>1029.6431242513031</v>
      </c>
      <c r="G54" s="11">
        <v>62.052037309769275</v>
      </c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11" t="s">
        <v>2</v>
      </c>
      <c r="S54" s="11"/>
      <c r="T54" s="20">
        <v>60.1</v>
      </c>
      <c r="U54" s="12"/>
      <c r="V54" s="12"/>
      <c r="W54" s="12"/>
      <c r="X54" s="12"/>
      <c r="Y54" s="12"/>
      <c r="Z54" s="11"/>
      <c r="AA54" s="46">
        <f xml:space="preserve"> E54 * T54</f>
        <v>61881.551767503319</v>
      </c>
      <c r="AB54" s="46"/>
      <c r="AC54" s="46"/>
      <c r="AD54" s="46"/>
      <c r="AE54" s="46"/>
      <c r="AF54" s="46"/>
      <c r="AG54" s="45">
        <f t="shared" si="21"/>
        <v>64023.352015047363</v>
      </c>
      <c r="AI54" s="36"/>
      <c r="AJ54" s="36"/>
    </row>
    <row r="55" spans="1:37" ht="15" outlineLevel="1" x14ac:dyDescent="0.35">
      <c r="A55" s="8"/>
      <c r="B55" s="9"/>
      <c r="C55" s="9" t="s">
        <v>11</v>
      </c>
      <c r="D55" s="11">
        <v>34061.040000000001</v>
      </c>
      <c r="E55" s="11">
        <v>485.87071764705877</v>
      </c>
      <c r="F55" s="11">
        <f t="shared" si="19"/>
        <v>485.87071764705877</v>
      </c>
      <c r="G55" s="11">
        <v>70.103092783505161</v>
      </c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11" t="s">
        <v>2</v>
      </c>
      <c r="S55" s="11"/>
      <c r="T55" s="20">
        <v>49.9</v>
      </c>
      <c r="U55" s="12"/>
      <c r="V55" s="12"/>
      <c r="W55" s="12"/>
      <c r="X55" s="12"/>
      <c r="Y55" s="12"/>
      <c r="Z55" s="11"/>
      <c r="AA55" s="46">
        <f xml:space="preserve"> E55 * T55</f>
        <v>24244.94881058823</v>
      </c>
      <c r="AB55" s="46"/>
      <c r="AC55" s="46"/>
      <c r="AD55" s="46"/>
      <c r="AE55" s="46"/>
      <c r="AF55" s="46"/>
      <c r="AG55" s="45">
        <f t="shared" si="21"/>
        <v>25084.097731082496</v>
      </c>
      <c r="AI55" s="36"/>
      <c r="AJ55" s="36"/>
    </row>
    <row r="56" spans="1:37" ht="4.95" customHeight="1" x14ac:dyDescent="0.35">
      <c r="A56" s="8"/>
      <c r="B56" s="10"/>
      <c r="C56" s="10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46"/>
      <c r="AB56" s="46"/>
      <c r="AC56" s="46"/>
      <c r="AD56" s="46"/>
      <c r="AE56" s="46"/>
      <c r="AF56" s="46"/>
      <c r="AG56" s="45"/>
      <c r="AI56" s="36"/>
      <c r="AJ56" s="36"/>
    </row>
    <row r="57" spans="1:37" s="53" customFormat="1" ht="15" x14ac:dyDescent="0.35">
      <c r="A57" s="47" t="s">
        <v>6</v>
      </c>
      <c r="B57" s="75" t="s">
        <v>18</v>
      </c>
      <c r="C57" s="48"/>
      <c r="D57" s="49">
        <v>99473.12</v>
      </c>
      <c r="E57" s="49">
        <v>2517.6063690410651</v>
      </c>
      <c r="F57" s="49">
        <f t="shared" ref="F57:F62" si="22" xml:space="preserve"> E57</f>
        <v>2517.6063690410651</v>
      </c>
      <c r="G57" s="49">
        <v>35.438341759715989</v>
      </c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49" t="s">
        <v>3</v>
      </c>
      <c r="S57" s="49"/>
      <c r="T57" s="49"/>
      <c r="U57" s="49"/>
      <c r="V57" s="49"/>
      <c r="W57" s="49"/>
      <c r="X57" s="49"/>
      <c r="Y57" s="49"/>
      <c r="Z57" s="49"/>
      <c r="AA57" s="51">
        <f t="shared" ref="AA57:AF57" si="23">SUM(AA58:AA62)</f>
        <v>0</v>
      </c>
      <c r="AB57" s="51">
        <f t="shared" si="23"/>
        <v>79425.846622884987</v>
      </c>
      <c r="AC57" s="51">
        <f t="shared" si="23"/>
        <v>0</v>
      </c>
      <c r="AD57" s="51">
        <f t="shared" si="23"/>
        <v>0</v>
      </c>
      <c r="AE57" s="51"/>
      <c r="AF57" s="51">
        <f t="shared" si="23"/>
        <v>0</v>
      </c>
      <c r="AG57" s="52">
        <f t="shared" ref="AG57:AG62" si="24">SUM(AA57:AF57) * (1 + $AI$8)</f>
        <v>82174.877523038085</v>
      </c>
      <c r="AI57" s="58">
        <f xml:space="preserve"> IF( AG57 &lt;&gt; 0, AG57- D57, 0)</f>
        <v>-17298.24247696191</v>
      </c>
      <c r="AJ57" s="59">
        <f xml:space="preserve"> AI57 / D57</f>
        <v>-0.1738986620401764</v>
      </c>
      <c r="AK57" s="54"/>
    </row>
    <row r="58" spans="1:37" ht="15" outlineLevel="1" x14ac:dyDescent="0.35">
      <c r="A58" s="8"/>
      <c r="B58" s="9"/>
      <c r="C58" s="9" t="s">
        <v>7</v>
      </c>
      <c r="D58" s="11">
        <v>57053.48</v>
      </c>
      <c r="E58" s="11">
        <v>1396.850225480769</v>
      </c>
      <c r="F58" s="11">
        <f t="shared" si="22"/>
        <v>1396.850225480769</v>
      </c>
      <c r="G58" s="11">
        <v>40.844378988708897</v>
      </c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11" t="s">
        <v>3</v>
      </c>
      <c r="S58" s="11"/>
      <c r="T58" s="20"/>
      <c r="U58" s="20">
        <v>34.04</v>
      </c>
      <c r="V58" s="12"/>
      <c r="W58" s="12"/>
      <c r="X58" s="12"/>
      <c r="Y58" s="12"/>
      <c r="Z58" s="11"/>
      <c r="AA58" s="46"/>
      <c r="AB58" s="46">
        <f xml:space="preserve"> E58 * U58</f>
        <v>47548.781675365375</v>
      </c>
      <c r="AC58" s="46"/>
      <c r="AD58" s="46"/>
      <c r="AE58" s="46"/>
      <c r="AF58" s="46"/>
      <c r="AG58" s="45">
        <f t="shared" si="24"/>
        <v>49194.506280742768</v>
      </c>
      <c r="AI58" s="36"/>
      <c r="AJ58" s="36"/>
    </row>
    <row r="59" spans="1:37" ht="15" outlineLevel="1" x14ac:dyDescent="0.35">
      <c r="A59" s="8"/>
      <c r="B59" s="9"/>
      <c r="C59" s="9" t="s">
        <v>8</v>
      </c>
      <c r="D59" s="11">
        <v>22775.599999999999</v>
      </c>
      <c r="E59" s="11">
        <v>639.8077123102961</v>
      </c>
      <c r="F59" s="11">
        <f t="shared" si="22"/>
        <v>639.8077123102961</v>
      </c>
      <c r="G59" s="11">
        <v>31.834316940387385</v>
      </c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11" t="s">
        <v>3</v>
      </c>
      <c r="S59" s="11"/>
      <c r="T59" s="20"/>
      <c r="U59" s="20">
        <v>32.64</v>
      </c>
      <c r="V59" s="12"/>
      <c r="W59" s="12"/>
      <c r="X59" s="12"/>
      <c r="Y59" s="12"/>
      <c r="Z59" s="11"/>
      <c r="AA59" s="46"/>
      <c r="AB59" s="46">
        <f xml:space="preserve"> E59 * U59</f>
        <v>20883.323729808064</v>
      </c>
      <c r="AC59" s="46"/>
      <c r="AD59" s="46"/>
      <c r="AE59" s="46"/>
      <c r="AF59" s="46"/>
      <c r="AG59" s="45">
        <f t="shared" si="24"/>
        <v>21606.122474449981</v>
      </c>
      <c r="AI59" s="36"/>
      <c r="AJ59" s="36"/>
    </row>
    <row r="60" spans="1:37" ht="15" outlineLevel="1" x14ac:dyDescent="0.35">
      <c r="A60" s="8"/>
      <c r="B60" s="9"/>
      <c r="C60" s="9" t="s">
        <v>10</v>
      </c>
      <c r="D60" s="11">
        <v>2205.36</v>
      </c>
      <c r="E60" s="11">
        <v>53.994210576923081</v>
      </c>
      <c r="F60" s="11">
        <f t="shared" si="22"/>
        <v>53.994210576923081</v>
      </c>
      <c r="G60" s="11">
        <v>40.84437898870889</v>
      </c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11" t="s">
        <v>3</v>
      </c>
      <c r="S60" s="11"/>
      <c r="T60" s="12"/>
      <c r="U60" s="20">
        <v>34.04</v>
      </c>
      <c r="V60" s="12"/>
      <c r="W60" s="12"/>
      <c r="X60" s="12"/>
      <c r="Y60" s="12"/>
      <c r="Z60" s="11"/>
      <c r="AA60" s="46"/>
      <c r="AB60" s="46">
        <f xml:space="preserve"> E60 * U60</f>
        <v>1837.9629280384615</v>
      </c>
      <c r="AC60" s="46"/>
      <c r="AD60" s="46"/>
      <c r="AE60" s="46"/>
      <c r="AF60" s="46"/>
      <c r="AG60" s="45">
        <f t="shared" si="24"/>
        <v>1901.5771933859055</v>
      </c>
      <c r="AI60" s="36"/>
      <c r="AJ60" s="36"/>
    </row>
    <row r="61" spans="1:37" ht="15" outlineLevel="1" x14ac:dyDescent="0.35">
      <c r="A61" s="8"/>
      <c r="B61" s="9"/>
      <c r="C61" s="9" t="s">
        <v>9</v>
      </c>
      <c r="D61" s="11">
        <v>10985.96</v>
      </c>
      <c r="E61" s="11">
        <v>268.97116009615382</v>
      </c>
      <c r="F61" s="11">
        <f t="shared" si="22"/>
        <v>268.97116009615382</v>
      </c>
      <c r="G61" s="11">
        <v>40.84437898870889</v>
      </c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11" t="s">
        <v>3</v>
      </c>
      <c r="S61" s="11"/>
      <c r="T61" s="20"/>
      <c r="U61" s="20">
        <v>34.04</v>
      </c>
      <c r="V61" s="12"/>
      <c r="W61" s="12"/>
      <c r="X61" s="12"/>
      <c r="Y61" s="12"/>
      <c r="Z61" s="11"/>
      <c r="AA61" s="46"/>
      <c r="AB61" s="46">
        <f xml:space="preserve"> E61 * U61</f>
        <v>9155.7782896730751</v>
      </c>
      <c r="AC61" s="46"/>
      <c r="AD61" s="46"/>
      <c r="AE61" s="46"/>
      <c r="AF61" s="46"/>
      <c r="AG61" s="45">
        <f t="shared" si="24"/>
        <v>9472.6715744594167</v>
      </c>
      <c r="AI61" s="36"/>
      <c r="AJ61" s="36"/>
    </row>
    <row r="62" spans="1:37" ht="15" outlineLevel="1" x14ac:dyDescent="0.35">
      <c r="A62" s="8"/>
      <c r="B62" s="9"/>
      <c r="C62" s="9" t="s">
        <v>11</v>
      </c>
      <c r="D62" s="11">
        <v>0</v>
      </c>
      <c r="E62" s="11">
        <v>0</v>
      </c>
      <c r="F62" s="11">
        <f t="shared" si="22"/>
        <v>0</v>
      </c>
      <c r="G62" s="11">
        <v>0</v>
      </c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11" t="s">
        <v>3</v>
      </c>
      <c r="S62" s="11"/>
      <c r="T62" s="12"/>
      <c r="U62" s="20">
        <v>30.51</v>
      </c>
      <c r="V62" s="12"/>
      <c r="W62" s="12"/>
      <c r="X62" s="20"/>
      <c r="Y62" s="12"/>
      <c r="Z62" s="11"/>
      <c r="AA62" s="46"/>
      <c r="AB62" s="46">
        <f xml:space="preserve"> E62 * U62</f>
        <v>0</v>
      </c>
      <c r="AC62" s="46"/>
      <c r="AD62" s="46"/>
      <c r="AE62" s="46"/>
      <c r="AF62" s="46"/>
      <c r="AG62" s="45">
        <f t="shared" si="24"/>
        <v>0</v>
      </c>
      <c r="AI62" s="36"/>
      <c r="AJ62" s="36"/>
    </row>
    <row r="63" spans="1:37" ht="4.95" customHeight="1" x14ac:dyDescent="0.35">
      <c r="A63" s="8"/>
      <c r="B63" s="10"/>
      <c r="C63" s="10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46"/>
      <c r="AB63" s="46"/>
      <c r="AC63" s="46"/>
      <c r="AD63" s="46"/>
      <c r="AE63" s="46"/>
      <c r="AF63" s="46"/>
      <c r="AG63" s="45"/>
      <c r="AI63" s="36"/>
      <c r="AJ63" s="36"/>
    </row>
    <row r="64" spans="1:37" s="53" customFormat="1" ht="15" x14ac:dyDescent="0.35">
      <c r="A64" s="47" t="s">
        <v>6</v>
      </c>
      <c r="B64" s="75" t="s">
        <v>19</v>
      </c>
      <c r="C64" s="48"/>
      <c r="D64" s="49">
        <v>16787.2</v>
      </c>
      <c r="E64" s="49">
        <v>368.60713969614375</v>
      </c>
      <c r="F64" s="49">
        <f t="shared" ref="F64:F69" si="25" xml:space="preserve"> E64</f>
        <v>368.60713969614375</v>
      </c>
      <c r="G64" s="49">
        <v>49.592538046146295</v>
      </c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49" t="s">
        <v>3</v>
      </c>
      <c r="S64" s="49"/>
      <c r="T64" s="49"/>
      <c r="U64" s="49"/>
      <c r="V64" s="49"/>
      <c r="W64" s="49"/>
      <c r="X64" s="49"/>
      <c r="Y64" s="49"/>
      <c r="Z64" s="49"/>
      <c r="AA64" s="51">
        <f t="shared" ref="AA64:AF64" si="26">SUM(AA65:AA69)</f>
        <v>0</v>
      </c>
      <c r="AB64" s="51">
        <f t="shared" si="26"/>
        <v>14349.853712391197</v>
      </c>
      <c r="AC64" s="51">
        <f t="shared" si="26"/>
        <v>0</v>
      </c>
      <c r="AD64" s="51">
        <f t="shared" si="26"/>
        <v>0</v>
      </c>
      <c r="AE64" s="51"/>
      <c r="AF64" s="51">
        <f t="shared" si="26"/>
        <v>0</v>
      </c>
      <c r="AG64" s="52">
        <f t="shared" ref="AG64:AG69" si="27">SUM(AA64:AF64) * (1 + $AI$8)</f>
        <v>14846.520640668849</v>
      </c>
      <c r="AI64" s="58">
        <f xml:space="preserve"> IF( AG64 &lt;&gt; 0, AG64- D64, 0)</f>
        <v>-1940.6793593311522</v>
      </c>
      <c r="AJ64" s="59">
        <f xml:space="preserve"> AI64 / D64</f>
        <v>-0.11560470830937572</v>
      </c>
      <c r="AK64" s="54"/>
    </row>
    <row r="65" spans="1:37" ht="15" outlineLevel="1" x14ac:dyDescent="0.35">
      <c r="A65" s="8"/>
      <c r="B65" s="9"/>
      <c r="C65" s="9" t="s">
        <v>7</v>
      </c>
      <c r="D65" s="11">
        <v>612.6</v>
      </c>
      <c r="E65" s="11">
        <v>14.998391826923074</v>
      </c>
      <c r="F65" s="11">
        <f t="shared" si="25"/>
        <v>14.998391826923074</v>
      </c>
      <c r="G65" s="11">
        <v>40.84437898870889</v>
      </c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11" t="s">
        <v>3</v>
      </c>
      <c r="S65" s="11"/>
      <c r="T65" s="20"/>
      <c r="U65" s="20">
        <v>49.04</v>
      </c>
      <c r="V65" s="12"/>
      <c r="W65" s="12"/>
      <c r="X65" s="20"/>
      <c r="Y65" s="12"/>
      <c r="Z65" s="11"/>
      <c r="AA65" s="46"/>
      <c r="AB65" s="46">
        <f xml:space="preserve"> E65 * U65</f>
        <v>735.5211351923075</v>
      </c>
      <c r="AC65" s="46"/>
      <c r="AD65" s="46"/>
      <c r="AE65" s="46"/>
      <c r="AF65" s="46"/>
      <c r="AG65" s="45">
        <f t="shared" si="27"/>
        <v>760.9784694774512</v>
      </c>
      <c r="AI65" s="36"/>
      <c r="AJ65" s="36"/>
    </row>
    <row r="66" spans="1:37" ht="15" outlineLevel="1" x14ac:dyDescent="0.35">
      <c r="A66" s="8"/>
      <c r="B66" s="9"/>
      <c r="C66" s="9" t="s">
        <v>8</v>
      </c>
      <c r="D66" s="11">
        <v>0</v>
      </c>
      <c r="E66" s="11">
        <v>0</v>
      </c>
      <c r="F66" s="11">
        <f t="shared" si="25"/>
        <v>0</v>
      </c>
      <c r="G66" s="11">
        <v>0</v>
      </c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11" t="s">
        <v>3</v>
      </c>
      <c r="S66" s="11"/>
      <c r="T66" s="20"/>
      <c r="U66" s="20">
        <v>47.27</v>
      </c>
      <c r="V66" s="12"/>
      <c r="W66" s="12"/>
      <c r="X66" s="20"/>
      <c r="Y66" s="12"/>
      <c r="Z66" s="11"/>
      <c r="AA66" s="46"/>
      <c r="AB66" s="46">
        <f xml:space="preserve"> E66 * U66</f>
        <v>0</v>
      </c>
      <c r="AC66" s="46"/>
      <c r="AD66" s="46"/>
      <c r="AE66" s="46"/>
      <c r="AF66" s="46"/>
      <c r="AG66" s="45">
        <f t="shared" si="27"/>
        <v>0</v>
      </c>
      <c r="AI66" s="36"/>
      <c r="AJ66" s="36"/>
    </row>
    <row r="67" spans="1:37" ht="15" outlineLevel="1" x14ac:dyDescent="0.35">
      <c r="A67" s="8"/>
      <c r="B67" s="9"/>
      <c r="C67" s="9" t="s">
        <v>10</v>
      </c>
      <c r="D67" s="11">
        <v>0</v>
      </c>
      <c r="E67" s="11">
        <v>0</v>
      </c>
      <c r="F67" s="11">
        <f t="shared" si="25"/>
        <v>0</v>
      </c>
      <c r="G67" s="11">
        <v>0</v>
      </c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11" t="s">
        <v>3</v>
      </c>
      <c r="S67" s="11"/>
      <c r="T67" s="12"/>
      <c r="U67" s="20">
        <v>49.04</v>
      </c>
      <c r="V67" s="12"/>
      <c r="W67" s="12"/>
      <c r="X67" s="12"/>
      <c r="Y67" s="12"/>
      <c r="Z67" s="11"/>
      <c r="AA67" s="46"/>
      <c r="AB67" s="46">
        <f xml:space="preserve"> E67 * U67</f>
        <v>0</v>
      </c>
      <c r="AC67" s="46"/>
      <c r="AD67" s="46"/>
      <c r="AE67" s="46"/>
      <c r="AF67" s="46"/>
      <c r="AG67" s="45">
        <f t="shared" si="27"/>
        <v>0</v>
      </c>
      <c r="AI67" s="36"/>
      <c r="AJ67" s="36"/>
    </row>
    <row r="68" spans="1:37" ht="15" outlineLevel="1" x14ac:dyDescent="0.35">
      <c r="A68" s="8"/>
      <c r="B68" s="9"/>
      <c r="C68" s="9" t="s">
        <v>9</v>
      </c>
      <c r="D68" s="11">
        <v>18625</v>
      </c>
      <c r="E68" s="11">
        <v>277.61689594614376</v>
      </c>
      <c r="F68" s="11">
        <f t="shared" si="25"/>
        <v>277.61689594614376</v>
      </c>
      <c r="G68" s="11">
        <v>67.088856161021113</v>
      </c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11" t="s">
        <v>3</v>
      </c>
      <c r="S68" s="11"/>
      <c r="T68" s="20"/>
      <c r="U68" s="20">
        <v>49.04</v>
      </c>
      <c r="V68" s="12"/>
      <c r="W68" s="12"/>
      <c r="X68" s="20"/>
      <c r="Y68" s="12"/>
      <c r="Z68" s="11"/>
      <c r="AA68" s="46"/>
      <c r="AB68" s="46">
        <f xml:space="preserve"> E68 * U68</f>
        <v>13614.332577198889</v>
      </c>
      <c r="AC68" s="46"/>
      <c r="AD68" s="46"/>
      <c r="AE68" s="46"/>
      <c r="AF68" s="46"/>
      <c r="AG68" s="45">
        <f t="shared" si="27"/>
        <v>14085.542171191397</v>
      </c>
      <c r="AI68" s="36"/>
      <c r="AJ68" s="36"/>
    </row>
    <row r="69" spans="1:37" ht="15" outlineLevel="1" x14ac:dyDescent="0.35">
      <c r="A69" s="8"/>
      <c r="B69" s="9"/>
      <c r="C69" s="9" t="s">
        <v>11</v>
      </c>
      <c r="D69" s="11">
        <v>0</v>
      </c>
      <c r="E69" s="11">
        <v>0</v>
      </c>
      <c r="F69" s="11">
        <f t="shared" si="25"/>
        <v>0</v>
      </c>
      <c r="G69" s="11">
        <v>0</v>
      </c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11" t="s">
        <v>3</v>
      </c>
      <c r="S69" s="11"/>
      <c r="T69" s="12"/>
      <c r="U69" s="20">
        <v>44.48</v>
      </c>
      <c r="V69" s="12"/>
      <c r="W69" s="12"/>
      <c r="X69" s="20"/>
      <c r="Y69" s="12"/>
      <c r="Z69" s="11"/>
      <c r="AA69" s="46"/>
      <c r="AB69" s="46">
        <f xml:space="preserve"> E69 * U69</f>
        <v>0</v>
      </c>
      <c r="AC69" s="46"/>
      <c r="AD69" s="46"/>
      <c r="AE69" s="46"/>
      <c r="AF69" s="46"/>
      <c r="AG69" s="45">
        <f t="shared" si="27"/>
        <v>0</v>
      </c>
      <c r="AI69" s="36"/>
      <c r="AJ69" s="36"/>
    </row>
    <row r="70" spans="1:37" ht="4.95" customHeight="1" x14ac:dyDescent="0.35">
      <c r="A70" s="8"/>
      <c r="B70" s="10"/>
      <c r="C70" s="10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46"/>
      <c r="AB70" s="46"/>
      <c r="AC70" s="46"/>
      <c r="AD70" s="46"/>
      <c r="AE70" s="46"/>
      <c r="AF70" s="46"/>
      <c r="AG70" s="45"/>
      <c r="AI70" s="60"/>
      <c r="AJ70" s="36"/>
    </row>
    <row r="71" spans="1:37" s="53" customFormat="1" ht="15" x14ac:dyDescent="0.35">
      <c r="A71" s="47" t="s">
        <v>6</v>
      </c>
      <c r="B71" s="75" t="s">
        <v>21</v>
      </c>
      <c r="C71" s="48"/>
      <c r="D71" s="49">
        <v>374021.98</v>
      </c>
      <c r="E71" s="49">
        <v>4736.8566696142188</v>
      </c>
      <c r="F71" s="50"/>
      <c r="G71" s="50"/>
      <c r="H71" s="50"/>
      <c r="I71" s="49"/>
      <c r="J71" s="49"/>
      <c r="K71" s="50"/>
      <c r="L71" s="49"/>
      <c r="M71" s="56"/>
      <c r="N71" s="50"/>
      <c r="O71" s="50"/>
      <c r="P71" s="50"/>
      <c r="Q71" s="50"/>
      <c r="R71" s="49" t="s">
        <v>3</v>
      </c>
      <c r="S71" s="49"/>
      <c r="T71" s="49"/>
      <c r="U71" s="49"/>
      <c r="V71" s="49"/>
      <c r="W71" s="49"/>
      <c r="X71" s="49"/>
      <c r="Y71" s="49"/>
      <c r="Z71" s="49"/>
      <c r="AA71" s="51">
        <f t="shared" ref="AA71" si="28">SUM(AA72:AA76)</f>
        <v>0</v>
      </c>
      <c r="AB71" s="51">
        <f t="shared" ref="AB71:AF71" si="29">SUM(AB72:AB76)</f>
        <v>0</v>
      </c>
      <c r="AC71" s="51">
        <f t="shared" si="29"/>
        <v>133260.53405225213</v>
      </c>
      <c r="AD71" s="51">
        <f t="shared" si="29"/>
        <v>31077.093676967455</v>
      </c>
      <c r="AE71" s="51">
        <f>SUM(AE72:AE76)</f>
        <v>233208.37261149051</v>
      </c>
      <c r="AF71" s="51">
        <f t="shared" si="29"/>
        <v>0</v>
      </c>
      <c r="AG71" s="52">
        <f t="shared" ref="AG71:AG76" si="30">SUM(AA71:AF71)</f>
        <v>397546.0003407101</v>
      </c>
      <c r="AI71" s="58">
        <f xml:space="preserve"> IF( AG71 &lt;&gt; 0, AG71- D71, 0)</f>
        <v>23524.020340710122</v>
      </c>
      <c r="AJ71" s="59">
        <f xml:space="preserve"> AI71 / D71</f>
        <v>6.2894753780807541E-2</v>
      </c>
      <c r="AK71" s="54"/>
    </row>
    <row r="72" spans="1:37" ht="15" outlineLevel="1" x14ac:dyDescent="0.35">
      <c r="A72" s="8"/>
      <c r="B72" s="9"/>
      <c r="C72" s="9" t="s">
        <v>7</v>
      </c>
      <c r="D72" s="11">
        <v>57486</v>
      </c>
      <c r="E72" s="11">
        <v>714.89</v>
      </c>
      <c r="F72" s="77"/>
      <c r="G72" s="77"/>
      <c r="H72" s="77"/>
      <c r="I72" s="11">
        <f xml:space="preserve"> E72</f>
        <v>714.89</v>
      </c>
      <c r="J72" s="11">
        <f t="shared" ref="J72:J76" si="31">V72 + W72</f>
        <v>37.270000000000003</v>
      </c>
      <c r="K72" s="77"/>
      <c r="L72" s="11">
        <f xml:space="preserve"> (D72 - (E72 * J72)) / M72</f>
        <v>654.42974207187524</v>
      </c>
      <c r="M72" s="18">
        <f xml:space="preserve"> G$16</f>
        <v>47.128129602356388</v>
      </c>
      <c r="N72" s="77"/>
      <c r="O72" s="77"/>
      <c r="P72" s="77"/>
      <c r="Q72" s="77"/>
      <c r="R72" s="11" t="s">
        <v>3</v>
      </c>
      <c r="S72" s="11"/>
      <c r="T72" s="20"/>
      <c r="U72" s="20"/>
      <c r="V72" s="20">
        <v>30.16</v>
      </c>
      <c r="W72" s="20">
        <v>7.11</v>
      </c>
      <c r="X72" s="20">
        <v>56.59</v>
      </c>
      <c r="Y72" s="12"/>
      <c r="Z72" s="11"/>
      <c r="AA72" s="46"/>
      <c r="AB72" s="46"/>
      <c r="AC72" s="46">
        <f xml:space="preserve"> I72 * V72</f>
        <v>21561.082399999999</v>
      </c>
      <c r="AD72" s="46">
        <f xml:space="preserve"> I72 * W72</f>
        <v>5082.8679000000002</v>
      </c>
      <c r="AE72" s="46">
        <f xml:space="preserve"> L72 * X72</f>
        <v>37034.179103847418</v>
      </c>
      <c r="AF72" s="46">
        <f xml:space="preserve"> O72 * Y72</f>
        <v>0</v>
      </c>
      <c r="AG72" s="45">
        <f t="shared" si="30"/>
        <v>63678.129403847415</v>
      </c>
      <c r="AI72" s="36"/>
      <c r="AJ72" s="36"/>
    </row>
    <row r="73" spans="1:37" ht="15" outlineLevel="1" x14ac:dyDescent="0.35">
      <c r="A73" s="8"/>
      <c r="B73" s="9"/>
      <c r="C73" s="9" t="s">
        <v>8</v>
      </c>
      <c r="D73" s="11">
        <v>192023.1</v>
      </c>
      <c r="E73" s="11">
        <v>2472.0036290378794</v>
      </c>
      <c r="F73" s="77"/>
      <c r="G73" s="77"/>
      <c r="H73" s="77"/>
      <c r="I73" s="11">
        <f xml:space="preserve"> E73</f>
        <v>2472.0036290378794</v>
      </c>
      <c r="J73" s="11">
        <f t="shared" si="31"/>
        <v>32.799999999999997</v>
      </c>
      <c r="K73" s="77"/>
      <c r="L73" s="11">
        <f xml:space="preserve"> (D73 - (E73 * J73)) / M73</f>
        <v>2354.0374274053975</v>
      </c>
      <c r="M73" s="18">
        <f xml:space="preserve"> G$17</f>
        <v>47.128129602355706</v>
      </c>
      <c r="N73" s="77"/>
      <c r="O73" s="77"/>
      <c r="P73" s="77"/>
      <c r="Q73" s="77"/>
      <c r="R73" s="11" t="s">
        <v>3</v>
      </c>
      <c r="S73" s="11"/>
      <c r="T73" s="20"/>
      <c r="U73" s="20"/>
      <c r="V73" s="20">
        <v>26.62</v>
      </c>
      <c r="W73" s="20">
        <v>6.18</v>
      </c>
      <c r="X73" s="20">
        <v>48.73</v>
      </c>
      <c r="Y73" s="12"/>
      <c r="Z73" s="11"/>
      <c r="AA73" s="46"/>
      <c r="AB73" s="46"/>
      <c r="AC73" s="46">
        <f xml:space="preserve"> I73 * V73</f>
        <v>65804.736604988357</v>
      </c>
      <c r="AD73" s="46">
        <f xml:space="preserve"> I73 * W73</f>
        <v>15276.982427454093</v>
      </c>
      <c r="AE73" s="46">
        <f xml:space="preserve"> L73 * X73</f>
        <v>114712.24383746501</v>
      </c>
      <c r="AF73" s="46">
        <f xml:space="preserve"> O73 * Y73</f>
        <v>0</v>
      </c>
      <c r="AG73" s="45">
        <f t="shared" si="30"/>
        <v>195793.96286990744</v>
      </c>
      <c r="AI73" s="36"/>
      <c r="AJ73" s="36"/>
    </row>
    <row r="74" spans="1:37" ht="15" outlineLevel="1" x14ac:dyDescent="0.35">
      <c r="A74" s="8"/>
      <c r="B74" s="9"/>
      <c r="C74" s="9" t="s">
        <v>10</v>
      </c>
      <c r="D74" s="11">
        <v>76015.600000000006</v>
      </c>
      <c r="E74" s="11">
        <v>946.85584057634185</v>
      </c>
      <c r="F74" s="77"/>
      <c r="G74" s="77"/>
      <c r="H74" s="77"/>
      <c r="I74" s="11">
        <f xml:space="preserve"> E74</f>
        <v>946.85584057634185</v>
      </c>
      <c r="J74" s="11">
        <f t="shared" si="31"/>
        <v>36.050000000000004</v>
      </c>
      <c r="K74" s="77"/>
      <c r="L74" s="11">
        <f xml:space="preserve"> (D74 - (E74 * J74)) / M74</f>
        <v>815.23651754465141</v>
      </c>
      <c r="M74" s="18">
        <f xml:space="preserve"> G$18</f>
        <v>51.373369624513892</v>
      </c>
      <c r="N74" s="77"/>
      <c r="O74" s="77"/>
      <c r="P74" s="77"/>
      <c r="Q74" s="77"/>
      <c r="R74" s="11" t="s">
        <v>3</v>
      </c>
      <c r="S74" s="11"/>
      <c r="T74" s="20"/>
      <c r="U74" s="20"/>
      <c r="V74" s="20">
        <v>29.26</v>
      </c>
      <c r="W74" s="20">
        <v>6.79</v>
      </c>
      <c r="X74" s="20">
        <v>61.6</v>
      </c>
      <c r="Y74" s="12"/>
      <c r="Z74" s="11"/>
      <c r="AA74" s="46"/>
      <c r="AB74" s="46"/>
      <c r="AC74" s="46">
        <f xml:space="preserve"> I74 * V74</f>
        <v>27705.001895263766</v>
      </c>
      <c r="AD74" s="46">
        <f xml:space="preserve"> I74 * W74</f>
        <v>6429.1511575133609</v>
      </c>
      <c r="AE74" s="46">
        <f xml:space="preserve"> L74 * X74</f>
        <v>50218.569480750528</v>
      </c>
      <c r="AF74" s="46">
        <f xml:space="preserve"> O74 * Y74</f>
        <v>0</v>
      </c>
      <c r="AG74" s="45">
        <f t="shared" si="30"/>
        <v>84352.722533527645</v>
      </c>
      <c r="AI74" s="36"/>
      <c r="AJ74" s="36"/>
    </row>
    <row r="75" spans="1:37" ht="15" outlineLevel="1" x14ac:dyDescent="0.35">
      <c r="A75" s="8"/>
      <c r="B75" s="9"/>
      <c r="C75" s="9" t="s">
        <v>9</v>
      </c>
      <c r="D75" s="11">
        <v>48497.279999999999</v>
      </c>
      <c r="E75" s="11">
        <v>603.10720000000003</v>
      </c>
      <c r="F75" s="77"/>
      <c r="G75" s="77"/>
      <c r="H75" s="77"/>
      <c r="I75" s="11">
        <f xml:space="preserve"> E75</f>
        <v>603.10720000000003</v>
      </c>
      <c r="J75" s="11">
        <f t="shared" si="31"/>
        <v>37.270000000000003</v>
      </c>
      <c r="K75" s="77"/>
      <c r="L75" s="11">
        <f xml:space="preserve"> (D75 - (E75 * J75)) / M75</f>
        <v>552.10072785699867</v>
      </c>
      <c r="M75" s="18">
        <f xml:space="preserve"> G$19</f>
        <v>47.128129602356509</v>
      </c>
      <c r="N75" s="77"/>
      <c r="O75" s="77"/>
      <c r="P75" s="77"/>
      <c r="Q75" s="77"/>
      <c r="R75" s="11" t="s">
        <v>3</v>
      </c>
      <c r="S75" s="11"/>
      <c r="T75" s="20"/>
      <c r="U75" s="20"/>
      <c r="V75" s="20">
        <v>30.16</v>
      </c>
      <c r="W75" s="20">
        <v>7.11</v>
      </c>
      <c r="X75" s="20">
        <v>56.59</v>
      </c>
      <c r="Y75" s="12"/>
      <c r="Z75" s="11"/>
      <c r="AA75" s="46"/>
      <c r="AB75" s="46"/>
      <c r="AC75" s="46">
        <f xml:space="preserve"> I75 * V75</f>
        <v>18189.713152</v>
      </c>
      <c r="AD75" s="46">
        <f xml:space="preserve"> I75 * W75</f>
        <v>4288.0921920000001</v>
      </c>
      <c r="AE75" s="46">
        <f xml:space="preserve"> L75 * X75</f>
        <v>31243.380189427557</v>
      </c>
      <c r="AF75" s="46">
        <f xml:space="preserve"> O75 * Y75</f>
        <v>0</v>
      </c>
      <c r="AG75" s="45">
        <f t="shared" si="30"/>
        <v>53721.185533427561</v>
      </c>
      <c r="AI75" s="36"/>
      <c r="AJ75" s="36"/>
    </row>
    <row r="76" spans="1:37" ht="15" outlineLevel="1" x14ac:dyDescent="0.35">
      <c r="A76" s="8"/>
      <c r="B76" s="9"/>
      <c r="C76" s="9" t="s">
        <v>11</v>
      </c>
      <c r="D76" s="11">
        <v>0</v>
      </c>
      <c r="E76" s="11">
        <v>0</v>
      </c>
      <c r="F76" s="77"/>
      <c r="G76" s="77"/>
      <c r="H76" s="77"/>
      <c r="I76" s="11">
        <f xml:space="preserve"> E76</f>
        <v>0</v>
      </c>
      <c r="J76" s="11">
        <f t="shared" si="31"/>
        <v>32.799999999999997</v>
      </c>
      <c r="K76" s="77"/>
      <c r="L76" s="11">
        <f xml:space="preserve"> IFERROR((D76 - (E76 * J76)) / M76, 0)</f>
        <v>0</v>
      </c>
      <c r="M76" s="18">
        <f xml:space="preserve"> G$20</f>
        <v>47.128129602356204</v>
      </c>
      <c r="N76" s="77"/>
      <c r="O76" s="77"/>
      <c r="P76" s="77"/>
      <c r="Q76" s="77"/>
      <c r="R76" s="11" t="s">
        <v>3</v>
      </c>
      <c r="S76" s="11"/>
      <c r="T76" s="20"/>
      <c r="U76" s="20"/>
      <c r="V76" s="20">
        <v>26.62</v>
      </c>
      <c r="W76" s="20">
        <v>6.18</v>
      </c>
      <c r="X76" s="20">
        <v>48.73</v>
      </c>
      <c r="Y76" s="12"/>
      <c r="Z76" s="11"/>
      <c r="AA76" s="46"/>
      <c r="AB76" s="46"/>
      <c r="AC76" s="46">
        <f xml:space="preserve"> I76 * V76</f>
        <v>0</v>
      </c>
      <c r="AD76" s="46">
        <f xml:space="preserve"> I76 * W76</f>
        <v>0</v>
      </c>
      <c r="AE76" s="46">
        <f xml:space="preserve"> L76 * X76</f>
        <v>0</v>
      </c>
      <c r="AF76" s="46">
        <f xml:space="preserve"> O76 * Y76</f>
        <v>0</v>
      </c>
      <c r="AG76" s="45">
        <f t="shared" si="30"/>
        <v>0</v>
      </c>
      <c r="AI76" s="36"/>
      <c r="AJ76" s="36"/>
    </row>
    <row r="77" spans="1:37" ht="4.2" customHeight="1" x14ac:dyDescent="0.35">
      <c r="A77" s="8"/>
      <c r="B77" s="10"/>
      <c r="C77" s="10"/>
      <c r="D77" s="11"/>
      <c r="E77" s="11"/>
      <c r="F77" s="11"/>
      <c r="G77" s="11"/>
      <c r="H77" s="11"/>
      <c r="I77" s="23"/>
      <c r="J77" s="23"/>
      <c r="K77" s="11"/>
      <c r="L77" s="23"/>
      <c r="M77" s="23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46"/>
      <c r="AB77" s="46"/>
      <c r="AC77" s="46"/>
      <c r="AD77" s="46"/>
      <c r="AE77" s="46"/>
      <c r="AF77" s="46"/>
      <c r="AG77" s="45"/>
      <c r="AI77" s="36"/>
      <c r="AJ77" s="36"/>
    </row>
    <row r="78" spans="1:37" ht="12" customHeight="1" outlineLevel="1" x14ac:dyDescent="0.35">
      <c r="A78" s="8"/>
      <c r="B78" s="10"/>
      <c r="C78" s="10"/>
      <c r="D78" s="11"/>
      <c r="E78" s="11"/>
      <c r="F78" s="21"/>
      <c r="G78" s="23"/>
      <c r="H78" s="46"/>
      <c r="I78" s="21"/>
      <c r="J78" s="27"/>
      <c r="K78" s="46"/>
      <c r="L78" s="24"/>
      <c r="M78" s="23"/>
      <c r="N78" s="46"/>
      <c r="O78" s="76"/>
      <c r="P78" s="76"/>
      <c r="Q78" s="46"/>
      <c r="R78" s="11"/>
      <c r="S78" s="11"/>
      <c r="T78" s="11"/>
      <c r="U78" s="11"/>
      <c r="V78" s="11"/>
      <c r="W78" s="11"/>
      <c r="X78" s="11"/>
      <c r="Y78" s="11"/>
      <c r="Z78" s="11"/>
      <c r="AA78" s="46"/>
      <c r="AB78" s="46"/>
      <c r="AC78" s="46"/>
      <c r="AD78" s="46"/>
      <c r="AE78" s="46"/>
      <c r="AF78" s="46"/>
      <c r="AG78" s="45"/>
      <c r="AI78" s="36"/>
      <c r="AJ78" s="36"/>
    </row>
    <row r="79" spans="1:37" s="53" customFormat="1" ht="15" x14ac:dyDescent="0.35">
      <c r="A79" s="47" t="s">
        <v>6</v>
      </c>
      <c r="B79" s="75" t="s">
        <v>22</v>
      </c>
      <c r="C79" s="48"/>
      <c r="D79" s="49">
        <v>7860197.6619749991</v>
      </c>
      <c r="E79" s="49">
        <v>54297.657000514948</v>
      </c>
      <c r="G79" s="49"/>
      <c r="H79" s="49"/>
      <c r="I79" s="57"/>
      <c r="J79" s="49"/>
      <c r="K79" s="49"/>
      <c r="L79" s="49"/>
      <c r="M79" s="56"/>
      <c r="N79" s="49"/>
      <c r="O79" s="49"/>
      <c r="P79" s="49"/>
      <c r="Q79" s="49"/>
      <c r="R79" s="49" t="s">
        <v>3</v>
      </c>
      <c r="S79" s="49"/>
      <c r="T79" s="49"/>
      <c r="U79" s="49"/>
      <c r="V79" s="49"/>
      <c r="W79" s="49"/>
      <c r="X79" s="49"/>
      <c r="Y79" s="49"/>
      <c r="Z79" s="49"/>
      <c r="AA79" s="51">
        <f t="shared" ref="AA79" si="32">SUM(AA80:AA84)</f>
        <v>0</v>
      </c>
      <c r="AB79" s="51">
        <f>SUM(AB80:AB84)</f>
        <v>888678.87894331431</v>
      </c>
      <c r="AC79" s="51">
        <f t="shared" ref="AC79:AE79" si="33">SUM(AC80:AC84)</f>
        <v>1611314.1622887314</v>
      </c>
      <c r="AD79" s="51">
        <f t="shared" si="33"/>
        <v>756784.70641665009</v>
      </c>
      <c r="AE79" s="51">
        <f t="shared" si="33"/>
        <v>3314551.970645769</v>
      </c>
      <c r="AF79" s="51">
        <f>SUM(AF80:AF84)</f>
        <v>1790624.1345062172</v>
      </c>
      <c r="AG79" s="52">
        <f t="shared" ref="AG79:AG84" si="34">SUM(AA79:AF79)</f>
        <v>8361953.8528006822</v>
      </c>
      <c r="AI79" s="58">
        <f xml:space="preserve"> IF( AG79 &lt;&gt; 0, AG79- D79, 0)</f>
        <v>501756.19082568306</v>
      </c>
      <c r="AJ79" s="59">
        <f xml:space="preserve"> AI79 / D79</f>
        <v>6.3835060185955791E-2</v>
      </c>
      <c r="AK79" s="54"/>
    </row>
    <row r="80" spans="1:37" ht="15" outlineLevel="1" x14ac:dyDescent="0.35">
      <c r="A80" s="8"/>
      <c r="B80" s="81">
        <f xml:space="preserve"> D80 - H80 - K80 - N80 - Q80</f>
        <v>0</v>
      </c>
      <c r="C80" s="9" t="s">
        <v>7</v>
      </c>
      <c r="D80" s="11">
        <v>5438501.4800749999</v>
      </c>
      <c r="E80" s="11">
        <v>36999.129875480117</v>
      </c>
      <c r="F80" s="33">
        <f xml:space="preserve"> E80 * ( G80 / U80)</f>
        <v>17859.390882832111</v>
      </c>
      <c r="G80" s="11">
        <v>16.431026018654883</v>
      </c>
      <c r="H80" s="79">
        <f xml:space="preserve"> E80 * G80</f>
        <v>607933.665651605</v>
      </c>
      <c r="I80" s="11">
        <f xml:space="preserve"> E80</f>
        <v>36999.129875480117</v>
      </c>
      <c r="J80" s="11">
        <f t="shared" ref="J80:J84" si="35">V80 + W80</f>
        <v>44.38</v>
      </c>
      <c r="K80" s="79">
        <f xml:space="preserve"> I80 * J80</f>
        <v>1642021.3838738077</v>
      </c>
      <c r="L80" s="11">
        <f xml:space="preserve"> (D80 - H80 - K80 - Q80) / M80</f>
        <v>38905.196194314616</v>
      </c>
      <c r="M80" s="18">
        <f xml:space="preserve"> G$44</f>
        <v>50.662739322533142</v>
      </c>
      <c r="N80" s="79">
        <f xml:space="preserve"> L80 * M80</f>
        <v>1971043.8130845698</v>
      </c>
      <c r="O80" s="11">
        <v>31218.015832436347</v>
      </c>
      <c r="P80" s="11">
        <f xml:space="preserve"> Y80 * ( 1 - $P$78)</f>
        <v>39</v>
      </c>
      <c r="Q80" s="79">
        <f xml:space="preserve"> O80 * P80</f>
        <v>1217502.6174650176</v>
      </c>
      <c r="R80" s="11" t="s">
        <v>3</v>
      </c>
      <c r="S80" s="11"/>
      <c r="T80" s="20"/>
      <c r="U80" s="20">
        <f xml:space="preserve"> U$58</f>
        <v>34.04</v>
      </c>
      <c r="V80" s="20">
        <v>30.16</v>
      </c>
      <c r="W80" s="20">
        <v>14.22</v>
      </c>
      <c r="X80" s="20">
        <v>56.59</v>
      </c>
      <c r="Y80" s="12">
        <v>39</v>
      </c>
      <c r="Z80" s="11"/>
      <c r="AA80" s="46"/>
      <c r="AB80" s="46">
        <f xml:space="preserve"> (F80 * U80) * ( 1 + $AI$8)</f>
        <v>628975.03320610675</v>
      </c>
      <c r="AC80" s="46">
        <f xml:space="preserve"> I80 * V80</f>
        <v>1115893.7570444804</v>
      </c>
      <c r="AD80" s="46">
        <f xml:space="preserve"> I80 * W80</f>
        <v>526127.62682932732</v>
      </c>
      <c r="AE80" s="46">
        <f xml:space="preserve"> (L80 * X80) * ( 1 + $AI$8)</f>
        <v>2277846.8249586057</v>
      </c>
      <c r="AF80" s="46">
        <f xml:space="preserve"> O80 * Y80</f>
        <v>1217502.6174650176</v>
      </c>
      <c r="AG80" s="45">
        <f t="shared" si="34"/>
        <v>5766345.8595035374</v>
      </c>
      <c r="AI80" s="60"/>
      <c r="AJ80" s="36"/>
    </row>
    <row r="81" spans="1:37" ht="15" outlineLevel="1" x14ac:dyDescent="0.35">
      <c r="A81" s="8"/>
      <c r="B81" s="81">
        <f t="shared" ref="B81:B84" si="36" xml:space="preserve"> D81 - H81 - K81 - N81 - Q81</f>
        <v>0</v>
      </c>
      <c r="C81" s="9" t="s">
        <v>8</v>
      </c>
      <c r="D81" s="11">
        <v>704321.47912000038</v>
      </c>
      <c r="E81" s="11">
        <v>5044.6791702059945</v>
      </c>
      <c r="F81" s="33">
        <f xml:space="preserve"> E81 * ( G81 / U81)</f>
        <v>2310.7049470313468</v>
      </c>
      <c r="G81" s="11">
        <v>14.950685053777839</v>
      </c>
      <c r="H81" s="79">
        <f xml:space="preserve"> E81 * G81</f>
        <v>75421.40947110315</v>
      </c>
      <c r="I81" s="11">
        <f xml:space="preserve"> E81</f>
        <v>5044.6791702059945</v>
      </c>
      <c r="J81" s="11">
        <f t="shared" si="35"/>
        <v>38.97</v>
      </c>
      <c r="K81" s="79">
        <f xml:space="preserve"> I81 * J81</f>
        <v>196591.14726292761</v>
      </c>
      <c r="L81" s="11">
        <f xml:space="preserve"> (D81 - H81 - K81 - Q81) / M81</f>
        <v>5256.475508479537</v>
      </c>
      <c r="M81" s="18">
        <f xml:space="preserve"> G$45</f>
        <v>50.662739322533149</v>
      </c>
      <c r="N81" s="79">
        <f xml:space="preserve"> L81 * M81</f>
        <v>266307.44844137866</v>
      </c>
      <c r="O81" s="11">
        <v>4256.4480498613075</v>
      </c>
      <c r="P81" s="11">
        <f t="shared" ref="P81:P84" si="37" xml:space="preserve"> Y81 * ( 1 - $P$78)</f>
        <v>39</v>
      </c>
      <c r="Q81" s="79">
        <f xml:space="preserve"> O81 * P81</f>
        <v>166001.47394459098</v>
      </c>
      <c r="R81" s="11" t="s">
        <v>3</v>
      </c>
      <c r="S81" s="11"/>
      <c r="T81" s="20"/>
      <c r="U81" s="20">
        <f xml:space="preserve"> U$59</f>
        <v>32.64</v>
      </c>
      <c r="V81" s="20">
        <v>26.62</v>
      </c>
      <c r="W81" s="20">
        <v>12.35</v>
      </c>
      <c r="X81" s="20">
        <v>48.73</v>
      </c>
      <c r="Y81" s="12">
        <v>39</v>
      </c>
      <c r="Z81" s="11"/>
      <c r="AA81" s="46"/>
      <c r="AB81" s="46">
        <f xml:space="preserve"> (F81 * U81) * ( 1 + $AI$8)</f>
        <v>78031.841641295759</v>
      </c>
      <c r="AC81" s="46">
        <f xml:space="preserve"> I81 * V81</f>
        <v>134289.35951088357</v>
      </c>
      <c r="AD81" s="46">
        <f xml:space="preserve"> I81 * W81</f>
        <v>62301.787752044031</v>
      </c>
      <c r="AE81" s="46">
        <f xml:space="preserve"> (L81 * X81) * ( 1 + $AI$8)</f>
        <v>265013.6656652331</v>
      </c>
      <c r="AF81" s="46">
        <f xml:space="preserve"> O81 * Y81</f>
        <v>166001.47394459098</v>
      </c>
      <c r="AG81" s="45">
        <f t="shared" si="34"/>
        <v>705638.12851404748</v>
      </c>
      <c r="AI81" s="60"/>
      <c r="AJ81" s="36"/>
    </row>
    <row r="82" spans="1:37" ht="15" outlineLevel="1" x14ac:dyDescent="0.35">
      <c r="A82" s="8"/>
      <c r="B82" s="81">
        <f t="shared" si="36"/>
        <v>0</v>
      </c>
      <c r="C82" s="9" t="s">
        <v>10</v>
      </c>
      <c r="D82" s="11">
        <v>1052048.1505</v>
      </c>
      <c r="E82" s="11">
        <v>7962.9605665164654</v>
      </c>
      <c r="F82" s="33">
        <f xml:space="preserve"> E82 * ( G82 / U82)</f>
        <v>2649.7464860051341</v>
      </c>
      <c r="G82" s="11">
        <v>11.327115038455245</v>
      </c>
      <c r="H82" s="79">
        <f xml:space="preserve"> E82 * G82</f>
        <v>90197.370383614762</v>
      </c>
      <c r="I82" s="11">
        <f xml:space="preserve"> E82</f>
        <v>7962.9605665164654</v>
      </c>
      <c r="J82" s="11">
        <f t="shared" si="35"/>
        <v>42.85</v>
      </c>
      <c r="K82" s="79">
        <f xml:space="preserve"> I82 * J82</f>
        <v>341212.86027523055</v>
      </c>
      <c r="L82" s="11">
        <f xml:space="preserve"> (D82 - H82 - K82 - Q82) / M82</f>
        <v>7837.7891319776363</v>
      </c>
      <c r="M82" s="18">
        <f xml:space="preserve"> G$46</f>
        <v>45.753559155621019</v>
      </c>
      <c r="N82" s="79">
        <f xml:space="preserve"> L82 * M82</f>
        <v>358606.74869922228</v>
      </c>
      <c r="O82" s="11">
        <v>6718.7479779982677</v>
      </c>
      <c r="P82" s="11">
        <f t="shared" si="37"/>
        <v>39</v>
      </c>
      <c r="Q82" s="79">
        <f xml:space="preserve"> O82 * P82</f>
        <v>262031.17114193243</v>
      </c>
      <c r="R82" s="11" t="s">
        <v>3</v>
      </c>
      <c r="S82" s="11"/>
      <c r="T82" s="20"/>
      <c r="U82" s="20">
        <f xml:space="preserve"> U$60</f>
        <v>34.04</v>
      </c>
      <c r="V82" s="20">
        <v>29.26</v>
      </c>
      <c r="W82" s="20">
        <v>13.59</v>
      </c>
      <c r="X82" s="20">
        <v>61.6</v>
      </c>
      <c r="Y82" s="12">
        <v>39</v>
      </c>
      <c r="Z82" s="11"/>
      <c r="AA82" s="46"/>
      <c r="AB82" s="46">
        <f xml:space="preserve"> (F82 * U82) * ( 1 + $AI$8)</f>
        <v>93319.217601365002</v>
      </c>
      <c r="AC82" s="46">
        <f xml:space="preserve"> I82 * V82</f>
        <v>232996.2261762718</v>
      </c>
      <c r="AD82" s="46">
        <f xml:space="preserve"> I82 * W82</f>
        <v>108216.63409895876</v>
      </c>
      <c r="AE82" s="46">
        <f xml:space="preserve"> (L82 * X82) * ( 1 + $AI$8)</f>
        <v>499518.41100076941</v>
      </c>
      <c r="AF82" s="46">
        <f xml:space="preserve"> O82 * Y82</f>
        <v>262031.17114193243</v>
      </c>
      <c r="AG82" s="45">
        <f t="shared" si="34"/>
        <v>1196081.6600192974</v>
      </c>
      <c r="AI82" s="60"/>
      <c r="AJ82" s="36"/>
    </row>
    <row r="83" spans="1:37" ht="15" outlineLevel="1" x14ac:dyDescent="0.35">
      <c r="A83" s="8"/>
      <c r="B83" s="81">
        <f t="shared" si="36"/>
        <v>0</v>
      </c>
      <c r="C83" s="9" t="s">
        <v>9</v>
      </c>
      <c r="D83" s="11">
        <v>449024.71988000011</v>
      </c>
      <c r="E83" s="11">
        <v>3040.4011964069518</v>
      </c>
      <c r="F83" s="33">
        <f xml:space="preserve"> E83 * ( G83 / U83)</f>
        <v>1729.8683322767181</v>
      </c>
      <c r="G83" s="11">
        <v>19.367417069920752</v>
      </c>
      <c r="H83" s="79">
        <f xml:space="preserve"> E83 * G83</f>
        <v>58884.718030699478</v>
      </c>
      <c r="I83" s="11">
        <f xml:space="preserve"> E83</f>
        <v>3040.4011964069518</v>
      </c>
      <c r="J83" s="11">
        <f t="shared" si="35"/>
        <v>44.38</v>
      </c>
      <c r="K83" s="79">
        <f xml:space="preserve"> I83 * J83</f>
        <v>134933.00509654052</v>
      </c>
      <c r="L83" s="11">
        <f xml:space="preserve"> (D83 - H83 - K83 - Q83) / M83</f>
        <v>3062.5820269154742</v>
      </c>
      <c r="M83" s="18">
        <f xml:space="preserve"> G$47</f>
        <v>50.662739322533142</v>
      </c>
      <c r="N83" s="79">
        <f xml:space="preserve"> L83 * M83</f>
        <v>155158.79488349386</v>
      </c>
      <c r="O83" s="11">
        <v>2565.3385094683658</v>
      </c>
      <c r="P83" s="11">
        <f t="shared" si="37"/>
        <v>39</v>
      </c>
      <c r="Q83" s="79">
        <f xml:space="preserve"> O83 * P83</f>
        <v>100048.20186926627</v>
      </c>
      <c r="R83" s="11" t="s">
        <v>3</v>
      </c>
      <c r="S83" s="11"/>
      <c r="T83" s="20"/>
      <c r="U83" s="20">
        <f xml:space="preserve"> U$61</f>
        <v>34.04</v>
      </c>
      <c r="V83" s="20">
        <v>30.16</v>
      </c>
      <c r="W83" s="20">
        <v>14.22</v>
      </c>
      <c r="X83" s="20">
        <v>56.59</v>
      </c>
      <c r="Y83" s="12">
        <v>39</v>
      </c>
      <c r="Z83" s="11"/>
      <c r="AA83" s="46"/>
      <c r="AB83" s="46">
        <f xml:space="preserve"> (F83 * U83) * ( 1 + $AI$8)</f>
        <v>60922.794000878115</v>
      </c>
      <c r="AC83" s="46">
        <f xml:space="preserve"> I83 * V83</f>
        <v>91698.500083633669</v>
      </c>
      <c r="AD83" s="46">
        <f xml:space="preserve"> I83 * W83</f>
        <v>43234.505012906855</v>
      </c>
      <c r="AE83" s="46">
        <f xml:space="preserve"> (L83 * X83) * ( 1 + $AI$8)</f>
        <v>179310.05183323429</v>
      </c>
      <c r="AF83" s="46">
        <f xml:space="preserve"> O83 * Y83</f>
        <v>100048.20186926627</v>
      </c>
      <c r="AG83" s="45">
        <f t="shared" si="34"/>
        <v>475214.05279991921</v>
      </c>
      <c r="AI83" s="60"/>
      <c r="AJ83" s="36"/>
    </row>
    <row r="84" spans="1:37" ht="15" outlineLevel="1" x14ac:dyDescent="0.35">
      <c r="A84" s="8"/>
      <c r="B84" s="81">
        <f t="shared" si="36"/>
        <v>0</v>
      </c>
      <c r="C84" s="9" t="s">
        <v>11</v>
      </c>
      <c r="D84" s="11">
        <v>218209.87720000002</v>
      </c>
      <c r="E84" s="11">
        <v>1368.7573055395219</v>
      </c>
      <c r="F84" s="33">
        <f xml:space="preserve"> E84 * ( G84 / U84)</f>
        <v>868.97297163033488</v>
      </c>
      <c r="G84" s="11">
        <v>19.369661266568482</v>
      </c>
      <c r="H84" s="79">
        <f xml:space="preserve"> E84 * G84</f>
        <v>26512.365364441517</v>
      </c>
      <c r="I84" s="11">
        <f xml:space="preserve"> E84</f>
        <v>1368.7573055395219</v>
      </c>
      <c r="J84" s="11">
        <f t="shared" si="35"/>
        <v>38.97</v>
      </c>
      <c r="K84" s="79">
        <f xml:space="preserve"> I84 * J84</f>
        <v>53340.472196875169</v>
      </c>
      <c r="L84" s="11">
        <f xml:space="preserve"> (D84 - H84 - K84 - Q84) / M84</f>
        <v>1841.9132246125776</v>
      </c>
      <c r="M84" s="22">
        <f xml:space="preserve"> G$47</f>
        <v>50.662739322533142</v>
      </c>
      <c r="N84" s="79">
        <f xml:space="preserve"> L84 * M84</f>
        <v>93316.369553273456</v>
      </c>
      <c r="O84" s="11">
        <v>1154.8889765489716</v>
      </c>
      <c r="P84" s="11">
        <f t="shared" si="37"/>
        <v>39</v>
      </c>
      <c r="Q84" s="79">
        <f xml:space="preserve"> O84 * P84</f>
        <v>45040.670085409896</v>
      </c>
      <c r="R84" s="11" t="s">
        <v>3</v>
      </c>
      <c r="S84" s="11"/>
      <c r="T84" s="20"/>
      <c r="U84" s="20">
        <f xml:space="preserve"> U$62</f>
        <v>30.51</v>
      </c>
      <c r="V84" s="20">
        <v>26.62</v>
      </c>
      <c r="W84" s="20">
        <v>12.35</v>
      </c>
      <c r="X84" s="20">
        <v>48.73</v>
      </c>
      <c r="Y84" s="12">
        <v>39</v>
      </c>
      <c r="Z84" s="11"/>
      <c r="AA84" s="46"/>
      <c r="AB84" s="46">
        <f xml:space="preserve"> (F84 * U84) * ( 1 + $AI$8)</f>
        <v>27429.992493668728</v>
      </c>
      <c r="AC84" s="46">
        <f xml:space="preserve"> I84 * V84</f>
        <v>36436.319473462077</v>
      </c>
      <c r="AD84" s="46">
        <f xml:space="preserve"> I84 * W84</f>
        <v>16904.152723413095</v>
      </c>
      <c r="AE84" s="46">
        <f xml:space="preserve"> (L84 * X84) * ( 1 + $AI$8)</f>
        <v>92863.017187926336</v>
      </c>
      <c r="AF84" s="46">
        <f xml:space="preserve"> O84 * Y84</f>
        <v>45040.670085409896</v>
      </c>
      <c r="AG84" s="45">
        <f t="shared" si="34"/>
        <v>218674.15196388011</v>
      </c>
      <c r="AI84" s="60"/>
      <c r="AJ84" s="36"/>
    </row>
    <row r="85" spans="1:37" ht="4.95" customHeight="1" x14ac:dyDescent="0.35">
      <c r="A85" s="8"/>
      <c r="B85" s="10"/>
      <c r="C85" s="10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46"/>
      <c r="AB85" s="46"/>
      <c r="AC85" s="46"/>
      <c r="AD85" s="46"/>
      <c r="AE85" s="46"/>
      <c r="AF85" s="46"/>
      <c r="AG85" s="45"/>
      <c r="AI85" s="36"/>
      <c r="AJ85" s="36"/>
    </row>
    <row r="86" spans="1:37" s="53" customFormat="1" ht="15" x14ac:dyDescent="0.35">
      <c r="A86" s="47" t="s">
        <v>6</v>
      </c>
      <c r="B86" s="75" t="s">
        <v>23</v>
      </c>
      <c r="C86" s="48"/>
      <c r="D86" s="49">
        <v>4060680.3020250001</v>
      </c>
      <c r="E86" s="49">
        <v>26757.672020275408</v>
      </c>
      <c r="F86" s="49"/>
      <c r="G86" s="49"/>
      <c r="H86" s="49"/>
      <c r="I86" s="57"/>
      <c r="J86" s="49"/>
      <c r="K86" s="49"/>
      <c r="L86" s="49"/>
      <c r="M86" s="56"/>
      <c r="N86" s="49"/>
      <c r="O86" s="49"/>
      <c r="P86" s="49"/>
      <c r="Q86" s="49"/>
      <c r="R86" s="49" t="s">
        <v>3</v>
      </c>
      <c r="S86" s="49"/>
      <c r="T86" s="49"/>
      <c r="U86" s="49"/>
      <c r="V86" s="49"/>
      <c r="W86" s="49"/>
      <c r="X86" s="49"/>
      <c r="Y86" s="49"/>
      <c r="Z86" s="49"/>
      <c r="AA86" s="51">
        <f t="shared" ref="AA86" si="38">SUM(AA87:AA91)</f>
        <v>0</v>
      </c>
      <c r="AB86" s="51">
        <f t="shared" ref="AB86:AE86" si="39">SUM(AB87:AB91)</f>
        <v>466285.02107604715</v>
      </c>
      <c r="AC86" s="51">
        <f t="shared" si="39"/>
        <v>1312379.9568806249</v>
      </c>
      <c r="AD86" s="51">
        <f t="shared" si="39"/>
        <v>757587.07375381386</v>
      </c>
      <c r="AE86" s="51">
        <f t="shared" si="39"/>
        <v>737062.75009705639</v>
      </c>
      <c r="AF86" s="51">
        <f>SUM(AF87:AF91)</f>
        <v>895359.91996853682</v>
      </c>
      <c r="AG86" s="52">
        <f t="shared" ref="AG86:AG91" si="40">SUM(AA86:AF86)</f>
        <v>4168674.7217760794</v>
      </c>
      <c r="AI86" s="58">
        <f xml:space="preserve"> IF( AG86 &lt;&gt; 0, AG86- D86, 0)</f>
        <v>107994.41975107929</v>
      </c>
      <c r="AJ86" s="59">
        <f xml:space="preserve"> AI86 / D86</f>
        <v>2.659515443686224E-2</v>
      </c>
      <c r="AK86" s="54"/>
    </row>
    <row r="87" spans="1:37" ht="15" outlineLevel="1" x14ac:dyDescent="0.35">
      <c r="A87" s="8"/>
      <c r="B87" s="81">
        <f xml:space="preserve"> D87 - H87 - K87 - N87 - Q87</f>
        <v>0</v>
      </c>
      <c r="C87" s="9" t="s">
        <v>7</v>
      </c>
      <c r="D87" s="11">
        <v>2878967.109925</v>
      </c>
      <c r="E87" s="11">
        <v>18782.667768587002</v>
      </c>
      <c r="F87" s="11">
        <f xml:space="preserve"> E87 * ( G87 / U87)</f>
        <v>8291.2451609663294</v>
      </c>
      <c r="G87" s="11">
        <v>15.0262991794656</v>
      </c>
      <c r="H87" s="79">
        <f xml:space="preserve"> E87 * G87</f>
        <v>282233.98527929385</v>
      </c>
      <c r="I87" s="11">
        <f xml:space="preserve"> E87</f>
        <v>18782.667768587002</v>
      </c>
      <c r="J87" s="11">
        <f t="shared" ref="J87:J91" si="41">V87 + W87</f>
        <v>77.570000000000007</v>
      </c>
      <c r="K87" s="79">
        <f xml:space="preserve"> I87 * J87</f>
        <v>1456971.5388092939</v>
      </c>
      <c r="L87" s="11">
        <f xml:space="preserve"> (D87 - H87 - K87 - Q87) / M87</f>
        <v>10297.398671143579</v>
      </c>
      <c r="M87" s="18">
        <f xml:space="preserve"> G$44</f>
        <v>50.662739322533142</v>
      </c>
      <c r="N87" s="79">
        <f xml:space="preserve"> L87 * M87</f>
        <v>521694.4245763463</v>
      </c>
      <c r="O87" s="11">
        <v>15847.875929745283</v>
      </c>
      <c r="P87" s="11">
        <f xml:space="preserve"> Y87 * ( 1 - $P$78)</f>
        <v>39</v>
      </c>
      <c r="Q87" s="79">
        <f xml:space="preserve"> O87 * P87</f>
        <v>618067.16126006609</v>
      </c>
      <c r="R87" s="11" t="s">
        <v>3</v>
      </c>
      <c r="S87" s="11"/>
      <c r="T87" s="20"/>
      <c r="U87" s="20">
        <f xml:space="preserve"> U$58</f>
        <v>34.04</v>
      </c>
      <c r="V87" s="20">
        <v>49.13</v>
      </c>
      <c r="W87" s="20">
        <v>28.44</v>
      </c>
      <c r="X87" s="20">
        <v>56.59</v>
      </c>
      <c r="Y87" s="12">
        <v>39</v>
      </c>
      <c r="Z87" s="11"/>
      <c r="AA87" s="46"/>
      <c r="AB87" s="46">
        <f xml:space="preserve"> (F87 * U87) * ( 1 + $AI$8)</f>
        <v>292002.46719790623</v>
      </c>
      <c r="AC87" s="46">
        <f xml:space="preserve"> I87 * V87</f>
        <v>922792.46747067943</v>
      </c>
      <c r="AD87" s="46">
        <f xml:space="preserve"> I87 * W87</f>
        <v>534179.07133861433</v>
      </c>
      <c r="AE87" s="46">
        <f xml:space="preserve"> (L87 * X87) * ( 1 + $AI$8)</f>
        <v>602898.81976806687</v>
      </c>
      <c r="AF87" s="46">
        <f xml:space="preserve"> O87 * Y87</f>
        <v>618067.16126006609</v>
      </c>
      <c r="AG87" s="45">
        <f t="shared" si="40"/>
        <v>2969939.9870353332</v>
      </c>
      <c r="AI87" s="36"/>
      <c r="AJ87" s="61"/>
    </row>
    <row r="88" spans="1:37" ht="15" outlineLevel="1" x14ac:dyDescent="0.35">
      <c r="A88" s="8"/>
      <c r="B88" s="81">
        <f t="shared" ref="B88:B91" si="42" xml:space="preserve"> D88 - H88 - K88 - N88 - Q88</f>
        <v>0</v>
      </c>
      <c r="C88" s="9" t="s">
        <v>8</v>
      </c>
      <c r="D88" s="11">
        <v>325895.43288000021</v>
      </c>
      <c r="E88" s="11">
        <v>2477.3247760586437</v>
      </c>
      <c r="F88" s="11">
        <f xml:space="preserve"> E88 * ( G88 / U88)</f>
        <v>1339.1210589923978</v>
      </c>
      <c r="G88" s="11">
        <v>17.643593519882181</v>
      </c>
      <c r="H88" s="79">
        <f xml:space="preserve"> E88 * G88</f>
        <v>43708.911365511864</v>
      </c>
      <c r="I88" s="11">
        <f xml:space="preserve"> E88</f>
        <v>2477.3247760586437</v>
      </c>
      <c r="J88" s="11">
        <f t="shared" si="41"/>
        <v>67.760000000000005</v>
      </c>
      <c r="K88" s="79">
        <f xml:space="preserve"> I88 * J88</f>
        <v>167863.52682573372</v>
      </c>
      <c r="L88" s="11">
        <f xml:space="preserve"> (D88 - H88 - K88 - Q88) / M88</f>
        <v>647.48820761030015</v>
      </c>
      <c r="M88" s="18">
        <f xml:space="preserve"> G$45</f>
        <v>50.662739322533149</v>
      </c>
      <c r="N88" s="79">
        <f xml:space="preserve"> L88 * M88</f>
        <v>32803.526276574863</v>
      </c>
      <c r="O88" s="11">
        <v>2090.2427797994806</v>
      </c>
      <c r="P88" s="11">
        <f t="shared" ref="P88:P91" si="43" xml:space="preserve"> Y88 * ( 1 - $P$78)</f>
        <v>39</v>
      </c>
      <c r="Q88" s="79">
        <f xml:space="preserve"> O88 * P88</f>
        <v>81519.468412179747</v>
      </c>
      <c r="R88" s="11" t="s">
        <v>3</v>
      </c>
      <c r="S88" s="11"/>
      <c r="T88" s="20"/>
      <c r="U88" s="20">
        <f xml:space="preserve"> U$59</f>
        <v>32.64</v>
      </c>
      <c r="V88" s="20">
        <v>43.06</v>
      </c>
      <c r="W88" s="20">
        <v>24.7</v>
      </c>
      <c r="X88" s="20">
        <v>48.73</v>
      </c>
      <c r="Y88" s="12">
        <v>39</v>
      </c>
      <c r="Z88" s="11"/>
      <c r="AA88" s="46"/>
      <c r="AB88" s="46">
        <f xml:space="preserve"> (F88 * U88) * ( 1 + $AI$8)</f>
        <v>45221.733111389534</v>
      </c>
      <c r="AC88" s="46">
        <f xml:space="preserve"> I88 * V88</f>
        <v>106673.6048570852</v>
      </c>
      <c r="AD88" s="46">
        <f xml:space="preserve"> I88 * W88</f>
        <v>61189.921968648494</v>
      </c>
      <c r="AE88" s="46">
        <f xml:space="preserve"> (L88 * X88) * ( 1 + $AI$8)</f>
        <v>32644.159208391589</v>
      </c>
      <c r="AF88" s="46">
        <f xml:space="preserve"> O88 * Y88</f>
        <v>81519.468412179747</v>
      </c>
      <c r="AG88" s="45">
        <f t="shared" si="40"/>
        <v>327248.88755769457</v>
      </c>
      <c r="AI88" s="36"/>
      <c r="AJ88" s="36"/>
    </row>
    <row r="89" spans="1:37" ht="15" outlineLevel="1" x14ac:dyDescent="0.35">
      <c r="A89" s="8"/>
      <c r="B89" s="81">
        <f t="shared" si="42"/>
        <v>0</v>
      </c>
      <c r="C89" s="9" t="s">
        <v>10</v>
      </c>
      <c r="D89" s="11">
        <v>439593.89950000006</v>
      </c>
      <c r="E89" s="11">
        <v>3195.2111651068403</v>
      </c>
      <c r="F89" s="11">
        <f xml:space="preserve"> E89 * ( G89 / U89)</f>
        <v>2208.1867217913918</v>
      </c>
      <c r="G89" s="11">
        <v>23.524791359842908</v>
      </c>
      <c r="H89" s="79">
        <f xml:space="preserve"> E89 * G89</f>
        <v>75166.676009778996</v>
      </c>
      <c r="I89" s="11">
        <f xml:space="preserve"> E89</f>
        <v>3195.2111651068403</v>
      </c>
      <c r="J89" s="11">
        <f t="shared" si="41"/>
        <v>74.849999999999994</v>
      </c>
      <c r="K89" s="79">
        <f xml:space="preserve"> I89 * J89</f>
        <v>239161.55570824697</v>
      </c>
      <c r="L89" s="11">
        <f xml:space="preserve"> (D89 - H89 - K89 - Q89) / M89</f>
        <v>439.81825133498739</v>
      </c>
      <c r="M89" s="18">
        <f xml:space="preserve"> G$46</f>
        <v>45.753559155621019</v>
      </c>
      <c r="N89" s="79">
        <f xml:space="preserve"> L89 * M89</f>
        <v>20123.250380177138</v>
      </c>
      <c r="O89" s="11">
        <v>2695.9594205588965</v>
      </c>
      <c r="P89" s="11">
        <f t="shared" si="43"/>
        <v>39</v>
      </c>
      <c r="Q89" s="79">
        <f xml:space="preserve"> O89 * P89</f>
        <v>105142.41740179696</v>
      </c>
      <c r="R89" s="11" t="s">
        <v>3</v>
      </c>
      <c r="S89" s="11"/>
      <c r="T89" s="20"/>
      <c r="U89" s="20">
        <f xml:space="preserve"> U$60</f>
        <v>34.04</v>
      </c>
      <c r="V89" s="20">
        <v>47.68</v>
      </c>
      <c r="W89" s="20">
        <v>27.17</v>
      </c>
      <c r="X89" s="20">
        <v>61.6</v>
      </c>
      <c r="Y89" s="12">
        <v>39</v>
      </c>
      <c r="Z89" s="11"/>
      <c r="AA89" s="46"/>
      <c r="AB89" s="46">
        <f xml:space="preserve"> (F89 * U89) * ( 1 + $AI$8)</f>
        <v>77768.291526624365</v>
      </c>
      <c r="AC89" s="46">
        <f xml:space="preserve"> I89 * V89</f>
        <v>152347.66835229416</v>
      </c>
      <c r="AD89" s="46">
        <f xml:space="preserve"> I89 * W89</f>
        <v>86813.887355952858</v>
      </c>
      <c r="AE89" s="46">
        <f xml:space="preserve"> (L89 * X89) * ( 1 + $AI$8)</f>
        <v>28030.521150363707</v>
      </c>
      <c r="AF89" s="46">
        <f xml:space="preserve"> O89 * Y89</f>
        <v>105142.41740179696</v>
      </c>
      <c r="AG89" s="45">
        <f t="shared" si="40"/>
        <v>450102.7857870321</v>
      </c>
      <c r="AI89" s="36"/>
      <c r="AJ89" s="36"/>
    </row>
    <row r="90" spans="1:37" ht="15" outlineLevel="1" x14ac:dyDescent="0.35">
      <c r="A90" s="30"/>
      <c r="B90" s="81">
        <f t="shared" si="42"/>
        <v>0</v>
      </c>
      <c r="C90" s="9" t="s">
        <v>9</v>
      </c>
      <c r="D90" s="11">
        <v>286666.49212000007</v>
      </c>
      <c r="E90" s="11">
        <v>1971.9501167003937</v>
      </c>
      <c r="F90" s="11">
        <f xml:space="preserve"> E90 * ( G90 / U90)</f>
        <v>1011.2932221277979</v>
      </c>
      <c r="G90" s="11">
        <v>17.457044673539517</v>
      </c>
      <c r="H90" s="79">
        <f xml:space="preserve"> E90 * G90</f>
        <v>34424.421281230236</v>
      </c>
      <c r="I90" s="11">
        <f xml:space="preserve"> E90</f>
        <v>1971.9501167003937</v>
      </c>
      <c r="J90" s="11">
        <f t="shared" si="41"/>
        <v>77.570000000000007</v>
      </c>
      <c r="K90" s="79">
        <f xml:space="preserve"> I90 * J90</f>
        <v>152964.17055244956</v>
      </c>
      <c r="L90" s="11">
        <f xml:space="preserve"> (D90 - H90 - K90 - Q90) / M90</f>
        <v>678.77136567215007</v>
      </c>
      <c r="M90" s="18">
        <f xml:space="preserve"> G$47</f>
        <v>50.662739322533142</v>
      </c>
      <c r="N90" s="79">
        <f xml:space="preserve"> L90 * M90</f>
        <v>34388.41675864796</v>
      </c>
      <c r="O90" s="11">
        <v>1663.8329109659569</v>
      </c>
      <c r="P90" s="11">
        <f t="shared" si="43"/>
        <v>39</v>
      </c>
      <c r="Q90" s="79">
        <f xml:space="preserve"> O90 * P90</f>
        <v>64889.483527672317</v>
      </c>
      <c r="R90" s="11" t="s">
        <v>3</v>
      </c>
      <c r="S90" s="11"/>
      <c r="T90" s="20"/>
      <c r="U90" s="20">
        <f xml:space="preserve"> U$61</f>
        <v>34.04</v>
      </c>
      <c r="V90" s="20">
        <v>49.13</v>
      </c>
      <c r="W90" s="20">
        <v>28.44</v>
      </c>
      <c r="X90" s="20">
        <v>56.59</v>
      </c>
      <c r="Y90" s="12">
        <v>39</v>
      </c>
      <c r="Z90" s="11"/>
      <c r="AA90" s="46"/>
      <c r="AB90" s="46">
        <f xml:space="preserve"> (F90 * U90) * ( 1 + $AI$8)</f>
        <v>35615.894861251516</v>
      </c>
      <c r="AC90" s="46">
        <f xml:space="preserve"> I90 * V90</f>
        <v>96881.90923349034</v>
      </c>
      <c r="AD90" s="46">
        <f xml:space="preserve"> I90 * W90</f>
        <v>56082.261318959201</v>
      </c>
      <c r="AE90" s="46">
        <f xml:space="preserve"> (L90 * X90) * ( 1 + $AI$8)</f>
        <v>39741.149034356175</v>
      </c>
      <c r="AF90" s="46">
        <f xml:space="preserve"> O90 * Y90</f>
        <v>64889.483527672317</v>
      </c>
      <c r="AG90" s="45">
        <f t="shared" si="40"/>
        <v>293210.69797572953</v>
      </c>
      <c r="AI90" s="36"/>
      <c r="AJ90" s="36"/>
    </row>
    <row r="91" spans="1:37" ht="15" outlineLevel="1" x14ac:dyDescent="0.35">
      <c r="A91" s="8"/>
      <c r="B91" s="81">
        <f t="shared" si="42"/>
        <v>0</v>
      </c>
      <c r="C91" s="9" t="s">
        <v>11</v>
      </c>
      <c r="D91" s="11">
        <v>127812.68280000001</v>
      </c>
      <c r="E91" s="11">
        <v>782.26444419591303</v>
      </c>
      <c r="F91" s="11">
        <f xml:space="preserve"> E91 * ( G91 / U91)</f>
        <v>496.63052458063908</v>
      </c>
      <c r="G91" s="21">
        <v>19.369661266568482</v>
      </c>
      <c r="H91" s="79">
        <f xml:space="preserve"> E91 * G91</f>
        <v>15152.197304955298</v>
      </c>
      <c r="I91" s="11">
        <f xml:space="preserve"> E91</f>
        <v>782.26444419591303</v>
      </c>
      <c r="J91" s="11">
        <f t="shared" si="41"/>
        <v>67.760000000000005</v>
      </c>
      <c r="K91" s="79">
        <f xml:space="preserve"> I91 * J91</f>
        <v>53006.238738715074</v>
      </c>
      <c r="L91" s="11">
        <f xml:space="preserve"> (D91 - H91 - K91 - Q91) / M91</f>
        <v>669.38459789173953</v>
      </c>
      <c r="M91" s="22">
        <f xml:space="preserve"> G$47</f>
        <v>50.662739322533142</v>
      </c>
      <c r="N91" s="79">
        <f xml:space="preserve"> L91 * M91</f>
        <v>33912.857389507866</v>
      </c>
      <c r="O91" s="11">
        <v>660.03562479030165</v>
      </c>
      <c r="P91" s="11">
        <f t="shared" si="43"/>
        <v>39</v>
      </c>
      <c r="Q91" s="79">
        <f xml:space="preserve"> O91 * P91</f>
        <v>25741.389366821764</v>
      </c>
      <c r="R91" s="11" t="s">
        <v>3</v>
      </c>
      <c r="S91" s="11"/>
      <c r="T91" s="20"/>
      <c r="U91" s="20">
        <f xml:space="preserve"> U$62</f>
        <v>30.51</v>
      </c>
      <c r="V91" s="20">
        <v>43.06</v>
      </c>
      <c r="W91" s="20">
        <v>24.7</v>
      </c>
      <c r="X91" s="20">
        <v>48.73</v>
      </c>
      <c r="Y91" s="12">
        <v>39</v>
      </c>
      <c r="Z91" s="11"/>
      <c r="AA91" s="46"/>
      <c r="AB91" s="46">
        <f xml:space="preserve"> (F91 * U91) * ( 1 + $AI$8)</f>
        <v>15676.634378875478</v>
      </c>
      <c r="AC91" s="46">
        <f xml:space="preserve"> I91 * V91</f>
        <v>33684.306967076016</v>
      </c>
      <c r="AD91" s="46">
        <f xml:space="preserve"> I91 * W91</f>
        <v>19321.931771639051</v>
      </c>
      <c r="AE91" s="46">
        <f xml:space="preserve"> (L91 * X91) * ( 1 + $AI$8)</f>
        <v>33748.100935877985</v>
      </c>
      <c r="AF91" s="46">
        <f xml:space="preserve"> O91 * Y91</f>
        <v>25741.389366821764</v>
      </c>
      <c r="AG91" s="45">
        <f t="shared" si="40"/>
        <v>128172.36342029029</v>
      </c>
      <c r="AI91" s="36"/>
      <c r="AJ91" s="36"/>
    </row>
    <row r="92" spans="1:37" ht="4.95" customHeight="1" x14ac:dyDescent="0.35">
      <c r="A92" s="8"/>
      <c r="B92" s="10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46"/>
      <c r="AB92" s="46"/>
      <c r="AC92" s="46"/>
      <c r="AD92" s="46"/>
      <c r="AE92" s="46"/>
      <c r="AF92" s="46"/>
      <c r="AG92" s="45"/>
      <c r="AI92" s="36"/>
      <c r="AJ92" s="36"/>
    </row>
    <row r="93" spans="1:37" s="53" customFormat="1" ht="15" x14ac:dyDescent="0.35">
      <c r="A93" s="47" t="s">
        <v>6</v>
      </c>
      <c r="B93" s="75" t="s">
        <v>24</v>
      </c>
      <c r="C93" s="48"/>
      <c r="D93" s="49">
        <v>33460.22</v>
      </c>
      <c r="E93" s="49">
        <v>425.4438698930976</v>
      </c>
      <c r="F93" s="50"/>
      <c r="G93" s="50"/>
      <c r="H93" s="50"/>
      <c r="I93" s="49"/>
      <c r="J93" s="49"/>
      <c r="K93" s="50"/>
      <c r="L93" s="49"/>
      <c r="M93" s="56"/>
      <c r="N93" s="50"/>
      <c r="O93" s="50"/>
      <c r="P93" s="50"/>
      <c r="Q93" s="50"/>
      <c r="R93" s="49" t="s">
        <v>3</v>
      </c>
      <c r="S93" s="49"/>
      <c r="T93" s="49"/>
      <c r="U93" s="49"/>
      <c r="V93" s="49"/>
      <c r="W93" s="49"/>
      <c r="X93" s="49"/>
      <c r="Y93" s="49"/>
      <c r="Z93" s="49"/>
      <c r="AA93" s="51">
        <f t="shared" ref="AA93" si="44">SUM(AA94:AA98)</f>
        <v>0</v>
      </c>
      <c r="AB93" s="51">
        <f t="shared" ref="AB93:AF93" si="45">SUM(AB94:AB98)</f>
        <v>0</v>
      </c>
      <c r="AC93" s="51">
        <f t="shared" si="45"/>
        <v>11859.065688554259</v>
      </c>
      <c r="AD93" s="51">
        <f t="shared" si="45"/>
        <v>2769.4655399393432</v>
      </c>
      <c r="AE93" s="51">
        <f t="shared" si="45"/>
        <v>21268.142061254555</v>
      </c>
      <c r="AF93" s="51">
        <f t="shared" si="45"/>
        <v>0</v>
      </c>
      <c r="AG93" s="52">
        <f>SUM(AG94:AG98)</f>
        <v>35896.673289748156</v>
      </c>
      <c r="AI93" s="58">
        <f xml:space="preserve"> IF( AG93 &lt;&gt; 0, AG93- D93, 0)</f>
        <v>2436.4532897481549</v>
      </c>
      <c r="AJ93" s="59">
        <f xml:space="preserve"> AI93 / D93</f>
        <v>7.2816415724348341E-2</v>
      </c>
      <c r="AK93" s="54"/>
    </row>
    <row r="94" spans="1:37" ht="15" outlineLevel="1" x14ac:dyDescent="0.35">
      <c r="A94" s="8"/>
      <c r="B94" s="9"/>
      <c r="C94" s="9" t="s">
        <v>7</v>
      </c>
      <c r="D94" s="11">
        <v>0</v>
      </c>
      <c r="E94" s="11">
        <v>0</v>
      </c>
      <c r="F94" s="77"/>
      <c r="G94" s="77"/>
      <c r="H94" s="77"/>
      <c r="I94" s="11">
        <f xml:space="preserve"> E94</f>
        <v>0</v>
      </c>
      <c r="J94" s="11">
        <f t="shared" ref="J94:J99" si="46">V94 + W94</f>
        <v>37.270000000000003</v>
      </c>
      <c r="K94" s="77"/>
      <c r="L94" s="11">
        <f xml:space="preserve"> (D94 - (E94 * J94)) / M94</f>
        <v>0</v>
      </c>
      <c r="M94" s="18">
        <f xml:space="preserve"> G$16</f>
        <v>47.128129602356388</v>
      </c>
      <c r="N94" s="77"/>
      <c r="O94" s="77"/>
      <c r="P94" s="77"/>
      <c r="Q94" s="77"/>
      <c r="R94" s="11" t="s">
        <v>3</v>
      </c>
      <c r="S94" s="11"/>
      <c r="T94" s="20"/>
      <c r="U94" s="20"/>
      <c r="V94" s="20">
        <v>30.16</v>
      </c>
      <c r="W94" s="20">
        <v>7.11</v>
      </c>
      <c r="X94" s="20">
        <v>56.59</v>
      </c>
      <c r="Y94" s="12"/>
      <c r="Z94" s="11"/>
      <c r="AA94" s="46"/>
      <c r="AB94" s="46">
        <f xml:space="preserve"> F94 * U94</f>
        <v>0</v>
      </c>
      <c r="AC94" s="46">
        <f xml:space="preserve"> I94 * V94</f>
        <v>0</v>
      </c>
      <c r="AD94" s="46">
        <f xml:space="preserve"> I94 * W94</f>
        <v>0</v>
      </c>
      <c r="AE94" s="46">
        <f xml:space="preserve"> (L94 * X94) * ( 1 + $AI$8)</f>
        <v>0</v>
      </c>
      <c r="AF94" s="46">
        <f xml:space="preserve"> O94 * Y94</f>
        <v>0</v>
      </c>
      <c r="AG94" s="45">
        <f>SUM(AA94:AF94)</f>
        <v>0</v>
      </c>
      <c r="AI94" s="36"/>
      <c r="AJ94" s="36"/>
    </row>
    <row r="95" spans="1:37" ht="15" outlineLevel="1" x14ac:dyDescent="0.35">
      <c r="A95" s="8"/>
      <c r="B95" s="9"/>
      <c r="C95" s="9" t="s">
        <v>8</v>
      </c>
      <c r="D95" s="11">
        <v>21335.9</v>
      </c>
      <c r="E95" s="11">
        <v>274.66706989309773</v>
      </c>
      <c r="F95" s="77"/>
      <c r="G95" s="77"/>
      <c r="H95" s="77"/>
      <c r="I95" s="11">
        <f xml:space="preserve"> E95</f>
        <v>274.66706989309773</v>
      </c>
      <c r="J95" s="11">
        <f t="shared" si="46"/>
        <v>32.799999999999997</v>
      </c>
      <c r="K95" s="77"/>
      <c r="L95" s="11">
        <f xml:space="preserve"> (D95 - (E95 * J95)) / M95</f>
        <v>261.55971415615522</v>
      </c>
      <c r="M95" s="18">
        <f xml:space="preserve"> G$17</f>
        <v>47.128129602355706</v>
      </c>
      <c r="N95" s="77"/>
      <c r="O95" s="77"/>
      <c r="P95" s="77"/>
      <c r="Q95" s="77"/>
      <c r="R95" s="11" t="s">
        <v>3</v>
      </c>
      <c r="S95" s="11"/>
      <c r="T95" s="20"/>
      <c r="U95" s="20"/>
      <c r="V95" s="20">
        <v>26.62</v>
      </c>
      <c r="W95" s="20">
        <v>6.18</v>
      </c>
      <c r="X95" s="20">
        <v>48.73</v>
      </c>
      <c r="Y95" s="12"/>
      <c r="Z95" s="11"/>
      <c r="AA95" s="46"/>
      <c r="AB95" s="46">
        <f xml:space="preserve"> F95 * U95</f>
        <v>0</v>
      </c>
      <c r="AC95" s="46">
        <f xml:space="preserve"> I95 * V95</f>
        <v>7311.6374005542621</v>
      </c>
      <c r="AD95" s="46">
        <f xml:space="preserve"> I95 * W95</f>
        <v>1697.4424919393439</v>
      </c>
      <c r="AE95" s="46">
        <f xml:space="preserve"> (L95 * X95) * ( 1 + $AI$8)</f>
        <v>13186.953601715446</v>
      </c>
      <c r="AF95" s="46">
        <f xml:space="preserve"> O95 * Y95</f>
        <v>0</v>
      </c>
      <c r="AG95" s="45">
        <f>SUM(AA95:AF95)</f>
        <v>22196.033494209052</v>
      </c>
      <c r="AI95" s="36"/>
      <c r="AJ95" s="36"/>
    </row>
    <row r="96" spans="1:37" ht="15" outlineLevel="1" x14ac:dyDescent="0.35">
      <c r="A96" s="8"/>
      <c r="B96" s="9"/>
      <c r="C96" s="9" t="s">
        <v>10</v>
      </c>
      <c r="D96" s="11">
        <v>0</v>
      </c>
      <c r="E96" s="11">
        <v>0</v>
      </c>
      <c r="F96" s="77"/>
      <c r="G96" s="77"/>
      <c r="H96" s="77"/>
      <c r="I96" s="11">
        <f xml:space="preserve"> E96</f>
        <v>0</v>
      </c>
      <c r="J96" s="11">
        <f t="shared" si="46"/>
        <v>36.050000000000004</v>
      </c>
      <c r="K96" s="77"/>
      <c r="L96" s="11">
        <f xml:space="preserve"> (D96 - (E96 * J96)) / M96</f>
        <v>0</v>
      </c>
      <c r="M96" s="18">
        <f xml:space="preserve"> G$18</f>
        <v>51.373369624513892</v>
      </c>
      <c r="N96" s="77"/>
      <c r="O96" s="77"/>
      <c r="P96" s="77"/>
      <c r="Q96" s="77"/>
      <c r="R96" s="11" t="s">
        <v>3</v>
      </c>
      <c r="S96" s="11"/>
      <c r="T96" s="12"/>
      <c r="U96" s="20"/>
      <c r="V96" s="20">
        <v>29.26</v>
      </c>
      <c r="W96" s="20">
        <v>6.79</v>
      </c>
      <c r="X96" s="20">
        <v>61.6</v>
      </c>
      <c r="Y96" s="12"/>
      <c r="Z96" s="11"/>
      <c r="AA96" s="46"/>
      <c r="AB96" s="46">
        <f xml:space="preserve"> F96 * U96</f>
        <v>0</v>
      </c>
      <c r="AC96" s="46">
        <f xml:space="preserve"> I96 * V96</f>
        <v>0</v>
      </c>
      <c r="AD96" s="46">
        <f xml:space="preserve"> I96 * W96</f>
        <v>0</v>
      </c>
      <c r="AE96" s="46">
        <f xml:space="preserve"> (L96 * X96) * ( 1 + $AI$8)</f>
        <v>0</v>
      </c>
      <c r="AF96" s="46">
        <f xml:space="preserve"> O96 * Y96</f>
        <v>0</v>
      </c>
      <c r="AG96" s="45">
        <f>SUM(AA96:AF96)</f>
        <v>0</v>
      </c>
      <c r="AI96" s="36"/>
      <c r="AJ96" s="36"/>
    </row>
    <row r="97" spans="1:37" ht="15" outlineLevel="1" x14ac:dyDescent="0.35">
      <c r="A97" s="8"/>
      <c r="B97" s="9"/>
      <c r="C97" s="9" t="s">
        <v>9</v>
      </c>
      <c r="D97" s="11">
        <v>12124.32</v>
      </c>
      <c r="E97" s="11">
        <v>150.77679999999989</v>
      </c>
      <c r="F97" s="77"/>
      <c r="G97" s="77"/>
      <c r="H97" s="77"/>
      <c r="I97" s="11">
        <f xml:space="preserve"> E97</f>
        <v>150.77679999999989</v>
      </c>
      <c r="J97" s="11">
        <f t="shared" si="46"/>
        <v>37.270000000000003</v>
      </c>
      <c r="K97" s="77"/>
      <c r="L97" s="11">
        <f xml:space="preserve"> (D97 - (E97 * J97)) / M97</f>
        <v>138.02518196424978</v>
      </c>
      <c r="M97" s="18">
        <f xml:space="preserve"> G$19</f>
        <v>47.128129602356509</v>
      </c>
      <c r="N97" s="77"/>
      <c r="O97" s="77"/>
      <c r="P97" s="77"/>
      <c r="Q97" s="77"/>
      <c r="R97" s="11" t="s">
        <v>3</v>
      </c>
      <c r="S97" s="11"/>
      <c r="T97" s="20"/>
      <c r="U97" s="20"/>
      <c r="V97" s="20">
        <v>30.16</v>
      </c>
      <c r="W97" s="20">
        <v>7.11</v>
      </c>
      <c r="X97" s="20">
        <v>56.59</v>
      </c>
      <c r="Y97" s="12"/>
      <c r="Z97" s="11"/>
      <c r="AA97" s="46"/>
      <c r="AB97" s="46">
        <f xml:space="preserve"> F97 * U97</f>
        <v>0</v>
      </c>
      <c r="AC97" s="46">
        <f xml:space="preserve"> I97 * V97</f>
        <v>4547.4282879999964</v>
      </c>
      <c r="AD97" s="46">
        <f xml:space="preserve"> I97 * W97</f>
        <v>1072.0230479999993</v>
      </c>
      <c r="AE97" s="46">
        <f xml:space="preserve"> (L97 * X97) * ( 1 + $AI$8)</f>
        <v>8081.1884595391093</v>
      </c>
      <c r="AF97" s="46">
        <f xml:space="preserve"> O97 * Y97</f>
        <v>0</v>
      </c>
      <c r="AG97" s="45">
        <f>SUM(AA97:AF97)</f>
        <v>13700.639795539104</v>
      </c>
      <c r="AI97" s="36"/>
      <c r="AJ97" s="36"/>
    </row>
    <row r="98" spans="1:37" ht="15" outlineLevel="1" x14ac:dyDescent="0.35">
      <c r="A98" s="8"/>
      <c r="B98" s="9"/>
      <c r="C98" s="9" t="s">
        <v>11</v>
      </c>
      <c r="D98" s="11">
        <v>0</v>
      </c>
      <c r="E98" s="11">
        <v>0</v>
      </c>
      <c r="F98" s="77"/>
      <c r="G98" s="77"/>
      <c r="H98" s="77"/>
      <c r="I98" s="11">
        <f xml:space="preserve"> E98</f>
        <v>0</v>
      </c>
      <c r="J98" s="11">
        <f t="shared" si="46"/>
        <v>32.799999999999997</v>
      </c>
      <c r="K98" s="77"/>
      <c r="L98" s="11">
        <f xml:space="preserve"> IFERROR((D98 - (E98 * J98)) / M98, 0)</f>
        <v>0</v>
      </c>
      <c r="M98" s="18">
        <f xml:space="preserve"> G$20</f>
        <v>47.128129602356204</v>
      </c>
      <c r="N98" s="77"/>
      <c r="O98" s="77"/>
      <c r="P98" s="77"/>
      <c r="Q98" s="77"/>
      <c r="R98" s="11" t="s">
        <v>3</v>
      </c>
      <c r="S98" s="11"/>
      <c r="T98" s="12"/>
      <c r="U98" s="20"/>
      <c r="V98" s="20">
        <v>26.62</v>
      </c>
      <c r="W98" s="20">
        <v>6.18</v>
      </c>
      <c r="X98" s="20">
        <v>48.73</v>
      </c>
      <c r="Y98" s="12"/>
      <c r="Z98" s="11"/>
      <c r="AA98" s="46"/>
      <c r="AB98" s="46">
        <f xml:space="preserve"> F98 * U98</f>
        <v>0</v>
      </c>
      <c r="AC98" s="46">
        <f xml:space="preserve"> I98 * V98</f>
        <v>0</v>
      </c>
      <c r="AD98" s="46">
        <f xml:space="preserve"> I98 * W98</f>
        <v>0</v>
      </c>
      <c r="AE98" s="46">
        <f xml:space="preserve"> (L98 * X98) * ( 1 + $AI$8)</f>
        <v>0</v>
      </c>
      <c r="AF98" s="46">
        <f xml:space="preserve"> O98 * Y98</f>
        <v>0</v>
      </c>
      <c r="AG98" s="45">
        <f>SUM(AA98:AF98)</f>
        <v>0</v>
      </c>
      <c r="AI98" s="36"/>
      <c r="AJ98" s="36"/>
    </row>
    <row r="99" spans="1:37" ht="4.95" customHeight="1" x14ac:dyDescent="0.35">
      <c r="A99" s="8"/>
      <c r="B99" s="10"/>
      <c r="C99" s="10"/>
      <c r="D99" s="11"/>
      <c r="E99" s="11"/>
      <c r="F99" s="11"/>
      <c r="G99" s="11"/>
      <c r="H99" s="11"/>
      <c r="I99" s="11"/>
      <c r="J99" s="11">
        <f t="shared" si="46"/>
        <v>0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46"/>
      <c r="AB99" s="46"/>
      <c r="AC99" s="46"/>
      <c r="AD99" s="46"/>
      <c r="AE99" s="46"/>
      <c r="AF99" s="46"/>
      <c r="AG99" s="45"/>
      <c r="AI99" s="36"/>
      <c r="AJ99" s="36"/>
    </row>
    <row r="100" spans="1:37" ht="12.6" customHeight="1" outlineLevel="1" x14ac:dyDescent="0.35">
      <c r="A100" s="8"/>
      <c r="B100" s="10"/>
      <c r="C100" s="10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46"/>
      <c r="AB100" s="46"/>
      <c r="AC100" s="46"/>
      <c r="AD100" s="46"/>
      <c r="AE100" s="46"/>
      <c r="AF100" s="46"/>
      <c r="AG100" s="45"/>
      <c r="AI100" s="36"/>
      <c r="AJ100" s="36"/>
    </row>
    <row r="101" spans="1:37" s="53" customFormat="1" ht="15" x14ac:dyDescent="0.35">
      <c r="A101" s="47" t="s">
        <v>6</v>
      </c>
      <c r="B101" s="75" t="s">
        <v>25</v>
      </c>
      <c r="C101" s="48"/>
      <c r="D101" s="49">
        <v>3508362.4725000001</v>
      </c>
      <c r="E101" s="49">
        <v>22170.475348080112</v>
      </c>
      <c r="F101" s="49"/>
      <c r="G101" s="49"/>
      <c r="H101" s="49"/>
      <c r="I101" s="49"/>
      <c r="J101" s="49"/>
      <c r="K101" s="49"/>
      <c r="L101" s="49"/>
      <c r="M101" s="56"/>
      <c r="N101" s="49"/>
      <c r="O101" s="49"/>
      <c r="P101" s="49"/>
      <c r="Q101" s="49"/>
      <c r="R101" s="49" t="s">
        <v>3</v>
      </c>
      <c r="S101" s="49"/>
      <c r="T101" s="49"/>
      <c r="U101" s="49"/>
      <c r="V101" s="49"/>
      <c r="W101" s="49"/>
      <c r="X101" s="49"/>
      <c r="Y101" s="49"/>
      <c r="Z101" s="49"/>
      <c r="AA101" s="51">
        <f t="shared" ref="AA101" si="47">SUM(AA102:AA106)</f>
        <v>0</v>
      </c>
      <c r="AB101" s="51">
        <f t="shared" ref="AB101:AE101" si="48">SUM(AB102:AB106)</f>
        <v>442007.31836186396</v>
      </c>
      <c r="AC101" s="51">
        <f t="shared" si="48"/>
        <v>640656.42231641198</v>
      </c>
      <c r="AD101" s="51">
        <f t="shared" si="48"/>
        <v>300470.4974384706</v>
      </c>
      <c r="AE101" s="51">
        <f t="shared" si="48"/>
        <v>1602852.3346895599</v>
      </c>
      <c r="AF101" s="51">
        <f>SUM(AF102:AF106)</f>
        <v>729547.2044227611</v>
      </c>
      <c r="AG101" s="52">
        <f t="shared" ref="AG101:AG106" si="49">SUM(AA101:AF101)</f>
        <v>3715533.7772290674</v>
      </c>
      <c r="AI101" s="58">
        <f xml:space="preserve"> IF( AG101 &lt;&gt; 0, AG101- D101, 0)</f>
        <v>207171.30472906725</v>
      </c>
      <c r="AJ101" s="59">
        <f xml:space="preserve"> AI101 / D101</f>
        <v>5.9050712790642883E-2</v>
      </c>
      <c r="AK101" s="54"/>
    </row>
    <row r="102" spans="1:37" ht="15" outlineLevel="1" x14ac:dyDescent="0.35">
      <c r="A102" s="8"/>
      <c r="B102" s="81">
        <f xml:space="preserve"> D102 - H102 - K102 - N102 - Q102</f>
        <v>0</v>
      </c>
      <c r="C102" s="9" t="s">
        <v>7</v>
      </c>
      <c r="D102" s="11">
        <v>1928624.5625</v>
      </c>
      <c r="E102" s="11">
        <v>12210.194621720446</v>
      </c>
      <c r="F102" s="11">
        <f xml:space="preserve"> E102 * ( G102 / U102)</f>
        <v>6094.57751713374</v>
      </c>
      <c r="G102" s="11">
        <v>16.990672557682867</v>
      </c>
      <c r="H102" s="79">
        <f xml:space="preserve"> E102 * G102</f>
        <v>207459.41868323251</v>
      </c>
      <c r="I102" s="11">
        <f xml:space="preserve"> E102</f>
        <v>12210.194621720446</v>
      </c>
      <c r="J102" s="11">
        <f t="shared" ref="J102:J105" si="50">V102 + W102</f>
        <v>44.38</v>
      </c>
      <c r="K102" s="79">
        <f xml:space="preserve"> I102 * J102</f>
        <v>541888.4373119534</v>
      </c>
      <c r="L102" s="11">
        <f xml:space="preserve"> (D102 - H102 - K102 - Q102) / M102</f>
        <v>15346.288024106614</v>
      </c>
      <c r="M102" s="18">
        <f xml:space="preserve"> G$45</f>
        <v>50.662739322533149</v>
      </c>
      <c r="N102" s="79">
        <f xml:space="preserve"> L102 * M102</f>
        <v>777484.98973382567</v>
      </c>
      <c r="O102" s="11">
        <v>10302.351712076626</v>
      </c>
      <c r="P102" s="11">
        <f xml:space="preserve"> Y102 * ( 1 - $P$78)</f>
        <v>39</v>
      </c>
      <c r="Q102" s="79">
        <f xml:space="preserve"> O102 * P102</f>
        <v>401791.71677098842</v>
      </c>
      <c r="R102" s="11" t="s">
        <v>3</v>
      </c>
      <c r="S102" s="11"/>
      <c r="T102" s="12"/>
      <c r="U102" s="20">
        <f xml:space="preserve"> U$58</f>
        <v>34.04</v>
      </c>
      <c r="V102" s="20">
        <v>30.16</v>
      </c>
      <c r="W102" s="20">
        <v>14.22</v>
      </c>
      <c r="X102" s="20">
        <v>56.59</v>
      </c>
      <c r="Y102" s="12">
        <v>39</v>
      </c>
      <c r="Z102" s="11"/>
      <c r="AA102" s="46"/>
      <c r="AB102" s="46">
        <f xml:space="preserve"> (F102 * U102) * ( 1 + $AI$8)</f>
        <v>214639.85649708239</v>
      </c>
      <c r="AC102" s="46">
        <f xml:space="preserve"> I102 * V102</f>
        <v>368259.46979108866</v>
      </c>
      <c r="AD102" s="46">
        <f xml:space="preserve"> I102 * W102</f>
        <v>173628.96752086474</v>
      </c>
      <c r="AE102" s="46">
        <f xml:space="preserve"> (L102 * X102) * ( 1 + $AI$8)</f>
        <v>898504.48963215528</v>
      </c>
      <c r="AF102" s="46">
        <f xml:space="preserve"> O102 * Y102</f>
        <v>401791.71677098842</v>
      </c>
      <c r="AG102" s="45">
        <f t="shared" si="49"/>
        <v>2056824.5002121795</v>
      </c>
      <c r="AI102" s="36"/>
      <c r="AJ102" s="36"/>
    </row>
    <row r="103" spans="1:37" ht="15" outlineLevel="1" x14ac:dyDescent="0.35">
      <c r="A103" s="8"/>
      <c r="B103" s="81">
        <f t="shared" ref="B103:B106" si="51" xml:space="preserve"> D103 - H103 - K103 - N103 - Q103</f>
        <v>0</v>
      </c>
      <c r="C103" s="9" t="s">
        <v>8</v>
      </c>
      <c r="D103" s="11">
        <v>1260503.926</v>
      </c>
      <c r="E103" s="11">
        <v>7911.049203865563</v>
      </c>
      <c r="F103" s="11">
        <f xml:space="preserve"> E103 * ( G103 / U103)</f>
        <v>5712.0823303440993</v>
      </c>
      <c r="G103" s="11">
        <v>23.567337587956143</v>
      </c>
      <c r="H103" s="79">
        <f xml:space="preserve"> E103 * G103</f>
        <v>186442.36726243139</v>
      </c>
      <c r="I103" s="11">
        <f xml:space="preserve"> E103</f>
        <v>7911.049203865563</v>
      </c>
      <c r="J103" s="11">
        <f t="shared" si="50"/>
        <v>38.97</v>
      </c>
      <c r="K103" s="79">
        <f xml:space="preserve"> I103 * J103</f>
        <v>308293.58747464098</v>
      </c>
      <c r="L103" s="11">
        <f xml:space="preserve"> (D103 - H103 - K103 - Q103) / M103</f>
        <v>11047.118906729476</v>
      </c>
      <c r="M103" s="18">
        <f xml:space="preserve"> G$46</f>
        <v>45.753559155621019</v>
      </c>
      <c r="N103" s="79">
        <f xml:space="preserve"> L103 * M103</f>
        <v>505445.00839822652</v>
      </c>
      <c r="O103" s="11">
        <v>6674.9477657615689</v>
      </c>
      <c r="P103" s="11">
        <f t="shared" ref="P103:P105" si="52" xml:space="preserve"> Y103 * ( 1 - $P$78)</f>
        <v>39</v>
      </c>
      <c r="Q103" s="79">
        <f xml:space="preserve"> O103 * P103</f>
        <v>260322.9628647012</v>
      </c>
      <c r="R103" s="11" t="s">
        <v>3</v>
      </c>
      <c r="S103" s="11"/>
      <c r="T103" s="12"/>
      <c r="U103" s="20">
        <f xml:space="preserve"> U$59</f>
        <v>32.64</v>
      </c>
      <c r="V103" s="20">
        <v>26.62</v>
      </c>
      <c r="W103" s="20">
        <v>12.35</v>
      </c>
      <c r="X103" s="20">
        <v>48.73</v>
      </c>
      <c r="Y103" s="12">
        <v>39</v>
      </c>
      <c r="Z103" s="11"/>
      <c r="AA103" s="46"/>
      <c r="AB103" s="46">
        <f xml:space="preserve"> (F103 * U103) * ( 1 + $AI$8)</f>
        <v>192895.37784393193</v>
      </c>
      <c r="AC103" s="46">
        <f xml:space="preserve"> I103 * V103</f>
        <v>210592.1298069013</v>
      </c>
      <c r="AD103" s="46">
        <f xml:space="preserve"> I103 * W103</f>
        <v>97701.457667739698</v>
      </c>
      <c r="AE103" s="46">
        <f xml:space="preserve"> (L103 * X103) * ( 1 + $AI$8)</f>
        <v>556958.26448526827</v>
      </c>
      <c r="AF103" s="46">
        <f xml:space="preserve"> O103 * Y103</f>
        <v>260322.9628647012</v>
      </c>
      <c r="AG103" s="45">
        <f t="shared" si="49"/>
        <v>1318470.1926685423</v>
      </c>
      <c r="AI103" s="36"/>
      <c r="AJ103" s="36"/>
    </row>
    <row r="104" spans="1:37" ht="15" outlineLevel="1" x14ac:dyDescent="0.35">
      <c r="A104" s="8"/>
      <c r="B104" s="81">
        <f t="shared" si="51"/>
        <v>0</v>
      </c>
      <c r="C104" s="9" t="s">
        <v>10</v>
      </c>
      <c r="D104" s="11">
        <v>0</v>
      </c>
      <c r="E104" s="11">
        <v>0</v>
      </c>
      <c r="F104" s="11">
        <f xml:space="preserve"> E104 * ( G104 / U104)</f>
        <v>0</v>
      </c>
      <c r="G104" s="11">
        <v>0</v>
      </c>
      <c r="H104" s="79">
        <f xml:space="preserve"> E104 * G104</f>
        <v>0</v>
      </c>
      <c r="I104" s="11">
        <f xml:space="preserve"> E104</f>
        <v>0</v>
      </c>
      <c r="J104" s="11"/>
      <c r="K104" s="79">
        <f xml:space="preserve"> I104 * J104</f>
        <v>0</v>
      </c>
      <c r="L104" s="11"/>
      <c r="M104" s="18"/>
      <c r="N104" s="79"/>
      <c r="O104" s="11"/>
      <c r="P104" s="11"/>
      <c r="Q104" s="79"/>
      <c r="R104" s="11" t="s">
        <v>3</v>
      </c>
      <c r="S104" s="11"/>
      <c r="T104" s="12"/>
      <c r="U104" s="20">
        <f xml:space="preserve"> U$60</f>
        <v>34.04</v>
      </c>
      <c r="V104" s="20">
        <v>29.26</v>
      </c>
      <c r="W104" s="20">
        <v>13.59</v>
      </c>
      <c r="X104" s="20">
        <v>61.6</v>
      </c>
      <c r="Y104" s="12">
        <v>39</v>
      </c>
      <c r="Z104" s="11"/>
      <c r="AA104" s="46"/>
      <c r="AB104" s="46">
        <f xml:space="preserve"> (F104 * U104) * ( 1 + $AI$8)</f>
        <v>0</v>
      </c>
      <c r="AC104" s="46">
        <f xml:space="preserve"> I104 * V104</f>
        <v>0</v>
      </c>
      <c r="AD104" s="46">
        <f xml:space="preserve"> I104 * W104</f>
        <v>0</v>
      </c>
      <c r="AE104" s="46">
        <f xml:space="preserve"> (L104 * X104) * ( 1 + $AI$8)</f>
        <v>0</v>
      </c>
      <c r="AF104" s="46">
        <f xml:space="preserve"> O104 * Y104</f>
        <v>0</v>
      </c>
      <c r="AG104" s="45">
        <f t="shared" si="49"/>
        <v>0</v>
      </c>
      <c r="AI104" s="36"/>
      <c r="AJ104" s="36"/>
    </row>
    <row r="105" spans="1:37" ht="15" outlineLevel="1" x14ac:dyDescent="0.35">
      <c r="A105" s="8"/>
      <c r="B105" s="81">
        <f t="shared" si="51"/>
        <v>0</v>
      </c>
      <c r="C105" s="9" t="s">
        <v>9</v>
      </c>
      <c r="D105" s="11">
        <v>319233.984</v>
      </c>
      <c r="E105" s="11">
        <v>2049.2315224941012</v>
      </c>
      <c r="F105" s="11">
        <f xml:space="preserve"> E105 * ( G105 / U105)</f>
        <v>978.8153592297582</v>
      </c>
      <c r="G105" s="11">
        <v>16.259204712812959</v>
      </c>
      <c r="H105" s="79">
        <f xml:space="preserve"> E105 * G105</f>
        <v>33318.874828180968</v>
      </c>
      <c r="I105" s="11">
        <f xml:space="preserve"> E105</f>
        <v>2049.2315224941012</v>
      </c>
      <c r="J105" s="11">
        <f t="shared" si="50"/>
        <v>44.38</v>
      </c>
      <c r="K105" s="79">
        <f xml:space="preserve"> I105 * J105</f>
        <v>90944.894968288223</v>
      </c>
      <c r="L105" s="11">
        <f xml:space="preserve"> (D105 - H105 - K105 - Q105) / M105</f>
        <v>2517.3863695865075</v>
      </c>
      <c r="M105" s="22">
        <f xml:space="preserve"> G$47</f>
        <v>50.662739322533142</v>
      </c>
      <c r="N105" s="79">
        <f xml:space="preserve"> L105 * M105</f>
        <v>127537.6894164593</v>
      </c>
      <c r="O105" s="11">
        <v>1729.039097104398</v>
      </c>
      <c r="P105" s="11">
        <f t="shared" si="52"/>
        <v>39</v>
      </c>
      <c r="Q105" s="79">
        <f xml:space="preserve"> O105 * P105</f>
        <v>67432.524787071525</v>
      </c>
      <c r="R105" s="11" t="s">
        <v>3</v>
      </c>
      <c r="S105" s="11"/>
      <c r="T105" s="12"/>
      <c r="U105" s="20">
        <f xml:space="preserve"> U$61</f>
        <v>34.04</v>
      </c>
      <c r="V105" s="20">
        <v>30.16</v>
      </c>
      <c r="W105" s="20">
        <v>14.22</v>
      </c>
      <c r="X105" s="20">
        <v>56.59</v>
      </c>
      <c r="Y105" s="12">
        <v>39</v>
      </c>
      <c r="Z105" s="11"/>
      <c r="AA105" s="46"/>
      <c r="AB105" s="46">
        <f xml:space="preserve"> (F105 * U105) * ( 1 + $AI$8)</f>
        <v>34472.084020849637</v>
      </c>
      <c r="AC105" s="46">
        <f xml:space="preserve"> I105 * V105</f>
        <v>61804.822718422096</v>
      </c>
      <c r="AD105" s="46">
        <f xml:space="preserve"> I105 * W105</f>
        <v>29140.07224986612</v>
      </c>
      <c r="AE105" s="46">
        <f xml:space="preserve"> (L105 * X105) * ( 1 + $AI$8)</f>
        <v>147389.58057213612</v>
      </c>
      <c r="AF105" s="46">
        <f xml:space="preserve"> O105 * Y105</f>
        <v>67432.524787071525</v>
      </c>
      <c r="AG105" s="45">
        <f t="shared" si="49"/>
        <v>340239.08434834552</v>
      </c>
      <c r="AI105" s="36"/>
      <c r="AJ105" s="36"/>
    </row>
    <row r="106" spans="1:37" ht="15" outlineLevel="1" x14ac:dyDescent="0.35">
      <c r="A106" s="8"/>
      <c r="B106" s="81">
        <f t="shared" si="51"/>
        <v>0</v>
      </c>
      <c r="C106" s="9" t="s">
        <v>11</v>
      </c>
      <c r="D106" s="11">
        <v>0</v>
      </c>
      <c r="E106" s="11">
        <v>0</v>
      </c>
      <c r="F106" s="11">
        <f xml:space="preserve"> E106 * ( G106 / U106)</f>
        <v>0</v>
      </c>
      <c r="G106" s="11">
        <v>0</v>
      </c>
      <c r="H106" s="79">
        <f xml:space="preserve"> E106 * G106</f>
        <v>0</v>
      </c>
      <c r="I106" s="11"/>
      <c r="J106" s="11"/>
      <c r="K106" s="79">
        <f xml:space="preserve"> I106 * J106</f>
        <v>0</v>
      </c>
      <c r="L106" s="11"/>
      <c r="M106" s="11"/>
      <c r="N106" s="79"/>
      <c r="O106" s="11"/>
      <c r="P106" s="11"/>
      <c r="Q106" s="79"/>
      <c r="R106" s="11" t="s">
        <v>3</v>
      </c>
      <c r="S106" s="11"/>
      <c r="T106" s="12"/>
      <c r="U106" s="20">
        <f xml:space="preserve"> U$62</f>
        <v>30.51</v>
      </c>
      <c r="V106" s="20">
        <v>26.62</v>
      </c>
      <c r="W106" s="20">
        <v>12.35</v>
      </c>
      <c r="X106" s="20">
        <v>48.73</v>
      </c>
      <c r="Y106" s="12">
        <v>39</v>
      </c>
      <c r="Z106" s="11"/>
      <c r="AA106" s="46"/>
      <c r="AB106" s="46">
        <f xml:space="preserve"> (F106 * U106) * ( 1 + $AI$8)</f>
        <v>0</v>
      </c>
      <c r="AC106" s="46">
        <f xml:space="preserve"> I106 * V106</f>
        <v>0</v>
      </c>
      <c r="AD106" s="46">
        <f xml:space="preserve"> I106 * W106</f>
        <v>0</v>
      </c>
      <c r="AE106" s="46">
        <f xml:space="preserve"> (L106 * X106) * ( 1 + $AI$8)</f>
        <v>0</v>
      </c>
      <c r="AF106" s="46">
        <f xml:space="preserve"> O106 * Y106</f>
        <v>0</v>
      </c>
      <c r="AG106" s="45">
        <f t="shared" si="49"/>
        <v>0</v>
      </c>
      <c r="AI106" s="36"/>
      <c r="AJ106" s="36"/>
    </row>
    <row r="107" spans="1:37" ht="4.95" customHeight="1" x14ac:dyDescent="0.35">
      <c r="A107" s="8"/>
      <c r="B107" s="10"/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46"/>
      <c r="AB107" s="46"/>
      <c r="AC107" s="46"/>
      <c r="AD107" s="46"/>
      <c r="AE107" s="46"/>
      <c r="AF107" s="46"/>
      <c r="AG107" s="45"/>
      <c r="AI107" s="36"/>
      <c r="AJ107" s="36"/>
    </row>
    <row r="108" spans="1:37" s="53" customFormat="1" ht="15" x14ac:dyDescent="0.35">
      <c r="A108" s="47" t="s">
        <v>6</v>
      </c>
      <c r="B108" s="75" t="s">
        <v>26</v>
      </c>
      <c r="C108" s="48"/>
      <c r="D108" s="49">
        <v>331387.72350000002</v>
      </c>
      <c r="E108" s="49">
        <v>1567.1576675322126</v>
      </c>
      <c r="F108" s="49"/>
      <c r="G108" s="49"/>
      <c r="H108" s="49"/>
      <c r="I108" s="49"/>
      <c r="J108" s="49"/>
      <c r="K108" s="49"/>
      <c r="L108" s="49"/>
      <c r="M108" s="56"/>
      <c r="N108" s="49"/>
      <c r="O108" s="49"/>
      <c r="P108" s="49"/>
      <c r="Q108" s="49"/>
      <c r="R108" s="49" t="s">
        <v>3</v>
      </c>
      <c r="S108" s="49"/>
      <c r="T108" s="49"/>
      <c r="U108" s="49"/>
      <c r="V108" s="49"/>
      <c r="W108" s="49"/>
      <c r="X108" s="49"/>
      <c r="Y108" s="49"/>
      <c r="Z108" s="49"/>
      <c r="AA108" s="51">
        <f t="shared" ref="AA108" si="53">SUM(AA109:AA113)</f>
        <v>0</v>
      </c>
      <c r="AB108" s="51">
        <f t="shared" ref="AB108:AE108" si="54">SUM(AB109:AB113)</f>
        <v>32342.699379739614</v>
      </c>
      <c r="AC108" s="51">
        <f t="shared" si="54"/>
        <v>72608.670238310879</v>
      </c>
      <c r="AD108" s="51">
        <f t="shared" si="54"/>
        <v>41867.684078022256</v>
      </c>
      <c r="AE108" s="51">
        <f t="shared" si="54"/>
        <v>150680.69263518852</v>
      </c>
      <c r="AF108" s="51">
        <f>SUM(AF109:AF113)</f>
        <v>51569.281997231868</v>
      </c>
      <c r="AG108" s="52">
        <f t="shared" ref="AG108:AG113" si="55">SUM(AA108:AF108)</f>
        <v>349069.02832849312</v>
      </c>
      <c r="AI108" s="58">
        <f xml:space="preserve"> IF( AG108 &lt;&gt; 0, AG108- D108, 0)</f>
        <v>17681.304828493099</v>
      </c>
      <c r="AJ108" s="59">
        <f xml:space="preserve"> AI108 / D108</f>
        <v>5.3355340510956188E-2</v>
      </c>
      <c r="AK108" s="54"/>
    </row>
    <row r="109" spans="1:37" ht="15" outlineLevel="1" x14ac:dyDescent="0.35">
      <c r="A109" s="8"/>
      <c r="B109" s="81">
        <f xml:space="preserve"> D109 - H109 - K109 - N109 - Q109</f>
        <v>0</v>
      </c>
      <c r="C109" s="9" t="s">
        <v>7</v>
      </c>
      <c r="D109" s="11">
        <v>129371.9975</v>
      </c>
      <c r="E109" s="11">
        <v>683.02121407646712</v>
      </c>
      <c r="F109" s="11">
        <f xml:space="preserve"> E109 * ( G109 / U109)</f>
        <v>340.92214448661178</v>
      </c>
      <c r="G109" s="21">
        <v>16.990672557682867</v>
      </c>
      <c r="H109" s="79">
        <f xml:space="preserve"> E109 * G109</f>
        <v>11604.989798324264</v>
      </c>
      <c r="I109" s="11">
        <f xml:space="preserve"> E109</f>
        <v>683.02121407646712</v>
      </c>
      <c r="J109" s="11">
        <f t="shared" ref="J109:J110" si="56">V109 + W109</f>
        <v>77.570000000000007</v>
      </c>
      <c r="K109" s="79">
        <f xml:space="preserve"> I109 * J109</f>
        <v>52981.955575911561</v>
      </c>
      <c r="L109" s="11">
        <f xml:space="preserve"> (D109 - H109 - K109 - Q109) / M109</f>
        <v>835.11839007968081</v>
      </c>
      <c r="M109" s="18">
        <f xml:space="preserve"> G$45</f>
        <v>50.662739322533149</v>
      </c>
      <c r="N109" s="79">
        <f xml:space="preserve"> L109 * M109</f>
        <v>42309.385300060421</v>
      </c>
      <c r="O109" s="11">
        <v>576.29914937701915</v>
      </c>
      <c r="P109" s="11">
        <f t="shared" ref="P109:P112" si="57" xml:space="preserve"> Y109 * ( 1 - $P$78)</f>
        <v>39</v>
      </c>
      <c r="Q109" s="79">
        <f xml:space="preserve"> O109 * P109</f>
        <v>22475.666825703745</v>
      </c>
      <c r="R109" s="11" t="s">
        <v>3</v>
      </c>
      <c r="S109" s="11"/>
      <c r="T109" s="12"/>
      <c r="U109" s="20">
        <f xml:space="preserve"> U$58</f>
        <v>34.04</v>
      </c>
      <c r="V109" s="20">
        <v>49.13</v>
      </c>
      <c r="W109" s="20">
        <v>28.44</v>
      </c>
      <c r="X109" s="20">
        <v>56.59</v>
      </c>
      <c r="Y109" s="12">
        <v>39</v>
      </c>
      <c r="Z109" s="11"/>
      <c r="AA109" s="46"/>
      <c r="AB109" s="46">
        <f xml:space="preserve"> (F109 * U109) * ( 1 + $AI$8)</f>
        <v>12006.653449490972</v>
      </c>
      <c r="AC109" s="46">
        <f xml:space="preserve"> I109 * V109</f>
        <v>33556.832247576829</v>
      </c>
      <c r="AD109" s="46">
        <f xml:space="preserve"> I109 * W109</f>
        <v>19425.123328334725</v>
      </c>
      <c r="AE109" s="46">
        <f xml:space="preserve"> (L109 * X109) * ( 1 + $AI$8)</f>
        <v>48895.056686169097</v>
      </c>
      <c r="AF109" s="46">
        <f xml:space="preserve"> O109 * Y109</f>
        <v>22475.666825703745</v>
      </c>
      <c r="AG109" s="45">
        <f t="shared" si="55"/>
        <v>136359.33253727536</v>
      </c>
    </row>
    <row r="110" spans="1:37" ht="15" outlineLevel="1" x14ac:dyDescent="0.35">
      <c r="A110" s="8"/>
      <c r="B110" s="81">
        <f t="shared" ref="B110:B113" si="58" xml:space="preserve"> D110 - H110 - K110 - N110 - Q110</f>
        <v>0</v>
      </c>
      <c r="C110" s="9" t="s">
        <v>8</v>
      </c>
      <c r="D110" s="11">
        <v>169242.78200000001</v>
      </c>
      <c r="E110" s="11">
        <v>722.5347557737598</v>
      </c>
      <c r="F110" s="11">
        <f xml:space="preserve"> E110 * ( G110 / U110)</f>
        <v>521.69793224116552</v>
      </c>
      <c r="G110" s="21">
        <v>23.567337587956143</v>
      </c>
      <c r="H110" s="79">
        <f xml:space="preserve"> E110 * G110</f>
        <v>17028.220508351642</v>
      </c>
      <c r="I110" s="11">
        <f xml:space="preserve"> E110</f>
        <v>722.5347557737598</v>
      </c>
      <c r="J110" s="11">
        <f t="shared" si="56"/>
        <v>67.760000000000005</v>
      </c>
      <c r="K110" s="79">
        <f xml:space="preserve"> I110 * J110</f>
        <v>48958.955051229968</v>
      </c>
      <c r="L110" s="11">
        <f xml:space="preserve"> (D110 - H110 - K110 - Q110) / M110</f>
        <v>1737.1259985022107</v>
      </c>
      <c r="M110" s="18">
        <f xml:space="preserve"> G$46</f>
        <v>45.753559155621019</v>
      </c>
      <c r="N110" s="79">
        <f xml:space="preserve"> L110 * M110</f>
        <v>79479.697133238122</v>
      </c>
      <c r="O110" s="11">
        <v>609.63870018410978</v>
      </c>
      <c r="P110" s="11">
        <f t="shared" si="57"/>
        <v>39</v>
      </c>
      <c r="Q110" s="79">
        <f xml:space="preserve"> O110 * P110</f>
        <v>23775.909307180282</v>
      </c>
      <c r="R110" s="11" t="s">
        <v>3</v>
      </c>
      <c r="S110" s="11"/>
      <c r="T110" s="12"/>
      <c r="U110" s="20">
        <f xml:space="preserve"> U$59</f>
        <v>32.64</v>
      </c>
      <c r="V110" s="20">
        <v>43.06</v>
      </c>
      <c r="W110" s="20">
        <v>24.7</v>
      </c>
      <c r="X110" s="20">
        <v>48.73</v>
      </c>
      <c r="Y110" s="12">
        <v>39</v>
      </c>
      <c r="Z110" s="11"/>
      <c r="AA110" s="46"/>
      <c r="AB110" s="46">
        <f xml:space="preserve"> (F110 * U110) * ( 1 + $AI$8)</f>
        <v>17617.589162794058</v>
      </c>
      <c r="AC110" s="46">
        <f xml:space="preserve"> I110 * V110</f>
        <v>31112.346583618099</v>
      </c>
      <c r="AD110" s="46">
        <f xml:space="preserve"> I110 * W110</f>
        <v>17846.608467611866</v>
      </c>
      <c r="AE110" s="46">
        <f xml:space="preserve"> (L110 * X110) * ( 1 + $AI$8)</f>
        <v>87580.000675892283</v>
      </c>
      <c r="AF110" s="46">
        <f xml:space="preserve"> O110 * Y110</f>
        <v>23775.909307180282</v>
      </c>
      <c r="AG110" s="45">
        <f t="shared" si="55"/>
        <v>177932.45419709661</v>
      </c>
    </row>
    <row r="111" spans="1:37" ht="15" outlineLevel="1" x14ac:dyDescent="0.35">
      <c r="A111" s="8"/>
      <c r="B111" s="81">
        <f t="shared" si="58"/>
        <v>0</v>
      </c>
      <c r="C111" s="9" t="s">
        <v>10</v>
      </c>
      <c r="D111" s="11">
        <v>0</v>
      </c>
      <c r="E111" s="11">
        <v>0</v>
      </c>
      <c r="F111" s="11">
        <f xml:space="preserve"> E111 * ( G111 / U111)</f>
        <v>0</v>
      </c>
      <c r="G111" s="21"/>
      <c r="H111" s="79">
        <f xml:space="preserve"> E111 * G111</f>
        <v>0</v>
      </c>
      <c r="I111" s="11">
        <f xml:space="preserve"> E111</f>
        <v>0</v>
      </c>
      <c r="J111" s="11"/>
      <c r="K111" s="79">
        <f xml:space="preserve"> I111 * J111</f>
        <v>0</v>
      </c>
      <c r="L111" s="11"/>
      <c r="M111" s="18"/>
      <c r="N111" s="79"/>
      <c r="O111" s="11"/>
      <c r="P111" s="11"/>
      <c r="Q111" s="79"/>
      <c r="R111" s="11" t="s">
        <v>3</v>
      </c>
      <c r="S111" s="11"/>
      <c r="T111" s="12"/>
      <c r="U111" s="20">
        <f xml:space="preserve"> U$60</f>
        <v>34.04</v>
      </c>
      <c r="V111" s="20">
        <v>47.68</v>
      </c>
      <c r="W111" s="20">
        <v>27.17</v>
      </c>
      <c r="X111" s="20">
        <v>61.6</v>
      </c>
      <c r="Y111" s="12">
        <v>39</v>
      </c>
      <c r="Z111" s="11"/>
      <c r="AA111" s="46"/>
      <c r="AB111" s="46">
        <f xml:space="preserve"> (F111 * U111) * ( 1 + $AI$8)</f>
        <v>0</v>
      </c>
      <c r="AC111" s="46">
        <f xml:space="preserve"> I111 * V111</f>
        <v>0</v>
      </c>
      <c r="AD111" s="46">
        <f xml:space="preserve"> I111 * W111</f>
        <v>0</v>
      </c>
      <c r="AE111" s="46">
        <f xml:space="preserve"> (L111 * X111) * ( 1 + $AI$8)</f>
        <v>0</v>
      </c>
      <c r="AF111" s="46">
        <f xml:space="preserve"> O111 * Y111</f>
        <v>0</v>
      </c>
      <c r="AG111" s="45">
        <f t="shared" si="55"/>
        <v>0</v>
      </c>
    </row>
    <row r="112" spans="1:37" ht="15" outlineLevel="1" x14ac:dyDescent="0.35">
      <c r="A112" s="8"/>
      <c r="B112" s="81">
        <f t="shared" si="58"/>
        <v>0</v>
      </c>
      <c r="C112" s="9" t="s">
        <v>9</v>
      </c>
      <c r="D112" s="11">
        <v>32772.943999999996</v>
      </c>
      <c r="E112" s="11">
        <v>161.60169768198557</v>
      </c>
      <c r="F112" s="11">
        <f xml:space="preserve"> E112 * ( G112 / U112)</f>
        <v>77.189044787001023</v>
      </c>
      <c r="G112" s="21">
        <v>16.259204712812959</v>
      </c>
      <c r="H112" s="79">
        <f xml:space="preserve"> E112 * G112</f>
        <v>2627.515084549515</v>
      </c>
      <c r="I112" s="11">
        <f xml:space="preserve"> E112</f>
        <v>161.60169768198557</v>
      </c>
      <c r="J112" s="11">
        <f t="shared" ref="J112" si="59">V112 + W112</f>
        <v>77.570000000000007</v>
      </c>
      <c r="K112" s="79">
        <f xml:space="preserve"> I112 * J112</f>
        <v>12535.443689191621</v>
      </c>
      <c r="L112" s="11">
        <f xml:space="preserve"> (D112 - H112 - K112 - Q112) / M112</f>
        <v>242.62958391679024</v>
      </c>
      <c r="M112" s="22">
        <f xml:space="preserve"> G$47</f>
        <v>50.662739322533142</v>
      </c>
      <c r="N112" s="79">
        <f xml:space="preserve"> L112 * M112</f>
        <v>12292.279361911023</v>
      </c>
      <c r="O112" s="11">
        <v>136.35143241917532</v>
      </c>
      <c r="P112" s="11">
        <f t="shared" si="57"/>
        <v>39</v>
      </c>
      <c r="Q112" s="79">
        <f xml:space="preserve"> O112 * P112</f>
        <v>5317.7058643478376</v>
      </c>
      <c r="R112" s="11" t="s">
        <v>3</v>
      </c>
      <c r="S112" s="11"/>
      <c r="T112" s="12"/>
      <c r="U112" s="20">
        <f xml:space="preserve"> U$61</f>
        <v>34.04</v>
      </c>
      <c r="V112" s="20">
        <v>49.13</v>
      </c>
      <c r="W112" s="20">
        <v>28.44</v>
      </c>
      <c r="X112" s="20">
        <v>56.59</v>
      </c>
      <c r="Y112" s="12">
        <v>39</v>
      </c>
      <c r="Z112" s="11"/>
      <c r="AA112" s="46"/>
      <c r="AB112" s="46">
        <f xml:space="preserve"> (F112 * U112) * ( 1 + $AI$8)</f>
        <v>2718.4567674545833</v>
      </c>
      <c r="AC112" s="46">
        <f xml:space="preserve"> I112 * V112</f>
        <v>7939.4914071159519</v>
      </c>
      <c r="AD112" s="46">
        <f xml:space="preserve"> I112 * W112</f>
        <v>4595.9522820756702</v>
      </c>
      <c r="AE112" s="46">
        <f xml:space="preserve"> (L112 * X112) * ( 1 + $AI$8)</f>
        <v>14205.635273127158</v>
      </c>
      <c r="AF112" s="46">
        <f xml:space="preserve"> O112 * Y112</f>
        <v>5317.7058643478376</v>
      </c>
      <c r="AG112" s="45">
        <f t="shared" si="55"/>
        <v>34777.241594121202</v>
      </c>
    </row>
    <row r="113" spans="1:33" ht="15" outlineLevel="1" x14ac:dyDescent="0.35">
      <c r="A113" s="8"/>
      <c r="B113" s="81">
        <f t="shared" si="58"/>
        <v>0</v>
      </c>
      <c r="C113" s="80" t="s">
        <v>11</v>
      </c>
      <c r="D113" s="83">
        <v>0</v>
      </c>
      <c r="E113" s="83">
        <v>0</v>
      </c>
      <c r="F113" s="83"/>
      <c r="G113" s="83"/>
      <c r="H113" s="84"/>
      <c r="I113" s="85"/>
      <c r="J113" s="83"/>
      <c r="K113" s="84"/>
      <c r="L113" s="83"/>
      <c r="M113" s="83"/>
      <c r="N113" s="84"/>
      <c r="O113" s="83"/>
      <c r="P113" s="83"/>
      <c r="Q113" s="84"/>
      <c r="R113" s="83" t="s">
        <v>3</v>
      </c>
      <c r="S113" s="83"/>
      <c r="T113" s="86"/>
      <c r="U113" s="87">
        <f xml:space="preserve"> U$62</f>
        <v>30.51</v>
      </c>
      <c r="V113" s="20">
        <v>43.06</v>
      </c>
      <c r="W113" s="20">
        <v>24.7</v>
      </c>
      <c r="X113" s="87">
        <v>48.73</v>
      </c>
      <c r="Y113" s="86">
        <v>39</v>
      </c>
      <c r="Z113" s="83"/>
      <c r="AA113" s="88"/>
      <c r="AB113" s="88">
        <f xml:space="preserve"> (F113 * U113) * ( 1 + $AI$8)</f>
        <v>0</v>
      </c>
      <c r="AC113" s="88">
        <f xml:space="preserve"> I113 * V113</f>
        <v>0</v>
      </c>
      <c r="AD113" s="88">
        <f xml:space="preserve"> I113 * W113</f>
        <v>0</v>
      </c>
      <c r="AE113" s="88">
        <f xml:space="preserve"> (L113 * X113) * ( 1 + $AI$8)</f>
        <v>0</v>
      </c>
      <c r="AF113" s="88">
        <f xml:space="preserve"> O113 * Y113</f>
        <v>0</v>
      </c>
      <c r="AG113" s="45">
        <f t="shared" si="55"/>
        <v>0</v>
      </c>
    </row>
    <row r="114" spans="1:33" ht="15" x14ac:dyDescent="0.3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25"/>
    </row>
    <row r="115" spans="1:33" ht="15.6" thickBot="1" x14ac:dyDescent="0.35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90"/>
    </row>
  </sheetData>
  <mergeCells count="4">
    <mergeCell ref="H2:H4"/>
    <mergeCell ref="K2:K4"/>
    <mergeCell ref="N2:N4"/>
    <mergeCell ref="Q2:Q4"/>
  </mergeCells>
  <conditionalFormatting sqref="D12">
    <cfRule type="cellIs" dxfId="11" priority="3" stopIfTrue="1" operator="notEqual">
      <formula>0</formula>
    </cfRule>
    <cfRule type="cellIs" dxfId="10" priority="4" stopIfTrue="1" operator="equal">
      <formula>""</formula>
    </cfRule>
  </conditionalFormatting>
  <conditionalFormatting sqref="B12:C12">
    <cfRule type="cellIs" dxfId="9" priority="1" stopIfTrue="1" operator="notEqual">
      <formula>0</formula>
    </cfRule>
    <cfRule type="cellIs" dxfId="8" priority="2" stopIfTrue="1" operator="equal">
      <formula>""</formula>
    </cfRule>
  </conditionalFormatting>
  <conditionalFormatting sqref="B109:B113">
    <cfRule type="cellIs" dxfId="7" priority="5" stopIfTrue="1" operator="notEqual">
      <formula>0</formula>
    </cfRule>
    <cfRule type="cellIs" dxfId="6" priority="6" stopIfTrue="1" operator="equal">
      <formula>""</formula>
    </cfRule>
  </conditionalFormatting>
  <conditionalFormatting sqref="B102:B106">
    <cfRule type="cellIs" dxfId="5" priority="7" stopIfTrue="1" operator="notEqual">
      <formula>0</formula>
    </cfRule>
    <cfRule type="cellIs" dxfId="4" priority="8" stopIfTrue="1" operator="equal">
      <formula>""</formula>
    </cfRule>
  </conditionalFormatting>
  <conditionalFormatting sqref="B87:B91">
    <cfRule type="cellIs" dxfId="3" priority="9" stopIfTrue="1" operator="notEqual">
      <formula>0</formula>
    </cfRule>
    <cfRule type="cellIs" dxfId="2" priority="10" stopIfTrue="1" operator="equal">
      <formula>""</formula>
    </cfRule>
  </conditionalFormatting>
  <conditionalFormatting sqref="B80:B84">
    <cfRule type="cellIs" dxfId="1" priority="11" stopIfTrue="1" operator="notEqual">
      <formula>0</formula>
    </cfRule>
    <cfRule type="cellIs" dxfId="0" priority="12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9F3624B59614EA54D7B143317B441" ma:contentTypeVersion="" ma:contentTypeDescription="Create a new document." ma:contentTypeScope="" ma:versionID="cf8569fb2536c102bd57431556b41640">
  <xsd:schema xmlns:xsd="http://www.w3.org/2001/XMLSchema" xmlns:xs="http://www.w3.org/2001/XMLSchema" xmlns:p="http://schemas.microsoft.com/office/2006/metadata/properties" xmlns:ns1="http://schemas.microsoft.com/sharepoint/v3" xmlns:ns2="e722d3c4-5633-40de-9150-dbf9b67024c0" xmlns:ns3="203c0d2d-9c8c-44e5-9724-d7b86ef69e66" targetNamespace="http://schemas.microsoft.com/office/2006/metadata/properties" ma:root="true" ma:fieldsID="cf364e1c79a70081f5c9c9fb0fca649d" ns1:_="" ns2:_="" ns3:_="">
    <xsd:import namespace="http://schemas.microsoft.com/sharepoint/v3"/>
    <xsd:import namespace="e722d3c4-5633-40de-9150-dbf9b67024c0"/>
    <xsd:import namespace="203c0d2d-9c8c-44e5-9724-d7b86ef69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2d3c4-5633-40de-9150-dbf9b67024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3c0d2d-9c8c-44e5-9724-d7b86ef69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F1D359-1FF3-4D7E-BE0F-C1D30DE7F4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8C14BE-23A8-44A2-AA0F-6373C268A692}">
  <ds:schemaRefs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e722d3c4-5633-40de-9150-dbf9b67024c0"/>
    <ds:schemaRef ds:uri="http://www.w3.org/XML/1998/namespace"/>
    <ds:schemaRef ds:uri="http://schemas.microsoft.com/office/infopath/2007/PartnerControls"/>
    <ds:schemaRef ds:uri="203c0d2d-9c8c-44e5-9724-d7b86ef69e66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EEBEEA-423A-4F50-83AB-782B6200B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22d3c4-5633-40de-9150-dbf9b67024c0"/>
    <ds:schemaRef ds:uri="203c0d2d-9c8c-44e5-9724-d7b86ef69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Was-wordt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Erwin Post</cp:lastModifiedBy>
  <dcterms:created xsi:type="dcterms:W3CDTF">2021-11-11T15:59:14Z</dcterms:created>
  <dcterms:modified xsi:type="dcterms:W3CDTF">2022-03-29T10:16:12Z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0x010100D999F3624B59614EA54D7B143317B441</vt:lpwstr>
  </property>
</Properties>
</file>