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belnl.sharepoint.com/Internal/RSF/Shared Documents/Projecten/14728 - Tariefonderzoek MZ HR/6. Beslisdocument/6. Def bestanden eind mrt/"/>
    </mc:Choice>
  </mc:AlternateContent>
  <xr:revisionPtr revIDLastSave="588" documentId="8_{0E8D865B-43EE-40FC-A50F-C0F2C971C949}" xr6:coauthVersionLast="47" xr6:coauthVersionMax="47" xr10:uidLastSave="{C03216B2-601C-454E-A883-9792001FE1EE}"/>
  <bookViews>
    <workbookView xWindow="-108" yWindow="-108" windowWidth="23256" windowHeight="12576" tabRatio="945" activeTab="1" xr2:uid="{CA3D32CA-0FE8-47FC-8C23-A4F29EA97E14}"/>
  </bookViews>
  <sheets>
    <sheet name="PPT" sheetId="31" r:id="rId1"/>
    <sheet name="Tarieven" sheetId="33" r:id="rId2"/>
    <sheet name="Ind. beg. Ambulant" sheetId="34" r:id="rId3"/>
    <sheet name="Ind. beg. Wonen" sheetId="42" r:id="rId4"/>
    <sheet name="Daginvulling" sheetId="37" r:id="rId5"/>
    <sheet name="Wonen - Sociaal beheer" sheetId="39" r:id="rId6"/>
    <sheet name="Wonen - Veiligheid" sheetId="40" r:id="rId7"/>
    <sheet name="Bron - cao's 2020" sheetId="6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5" i="31" l="1"/>
  <c r="L34" i="31"/>
  <c r="L33" i="31"/>
  <c r="K35" i="31"/>
  <c r="K34" i="31"/>
  <c r="K33" i="31"/>
  <c r="K32" i="31"/>
  <c r="BK17" i="40"/>
  <c r="BJ17" i="40"/>
  <c r="BI17" i="40"/>
  <c r="AM17" i="40"/>
  <c r="AL17" i="40"/>
  <c r="AK17" i="40"/>
  <c r="O17" i="40"/>
  <c r="N17" i="40"/>
  <c r="M17" i="40"/>
  <c r="AP17" i="39"/>
  <c r="AO17" i="39"/>
  <c r="AN17" i="39"/>
  <c r="AM17" i="39"/>
  <c r="AL17" i="39"/>
  <c r="Q17" i="39"/>
  <c r="P17" i="39"/>
  <c r="O17" i="39"/>
  <c r="N17" i="39"/>
  <c r="M17" i="39"/>
  <c r="BM17" i="39"/>
  <c r="BL17" i="39"/>
  <c r="BK17" i="39"/>
  <c r="BJ17" i="39"/>
  <c r="AG63" i="33"/>
  <c r="AG62" i="33"/>
  <c r="AU31" i="33"/>
  <c r="AV31" i="33" s="1"/>
  <c r="AW31" i="33" s="1"/>
  <c r="AU35" i="33"/>
  <c r="AU36" i="33"/>
  <c r="AV36" i="33"/>
  <c r="AQ45" i="33" s="1"/>
  <c r="AJ48" i="37"/>
  <c r="AB48" i="37"/>
  <c r="T48" i="37"/>
  <c r="AV35" i="33"/>
  <c r="AQ46" i="33" l="1"/>
  <c r="AO45" i="33"/>
  <c r="AP45" i="33"/>
  <c r="AO46" i="33"/>
  <c r="S46" i="31"/>
  <c r="S45" i="31"/>
  <c r="S44" i="31"/>
  <c r="S43" i="31"/>
  <c r="S42" i="31"/>
  <c r="S37" i="31"/>
  <c r="S36" i="31"/>
  <c r="S35" i="31"/>
  <c r="S34" i="31"/>
  <c r="S33" i="31"/>
  <c r="S28" i="31"/>
  <c r="S27" i="31"/>
  <c r="S26" i="31"/>
  <c r="S25" i="31"/>
  <c r="S24" i="31"/>
  <c r="S19" i="31"/>
  <c r="S18" i="31"/>
  <c r="S17" i="31"/>
  <c r="S16" i="31"/>
  <c r="S15" i="31"/>
  <c r="BE35" i="40" l="1"/>
  <c r="BD35" i="40"/>
  <c r="BC35" i="40"/>
  <c r="AG35" i="40"/>
  <c r="AF35" i="40"/>
  <c r="AE35" i="40"/>
  <c r="I35" i="40"/>
  <c r="H35" i="40"/>
  <c r="G35" i="40"/>
  <c r="BH35" i="39"/>
  <c r="BG35" i="39"/>
  <c r="BF35" i="39"/>
  <c r="BE35" i="39"/>
  <c r="BD35" i="39"/>
  <c r="AI35" i="39"/>
  <c r="AH35" i="39"/>
  <c r="AG35" i="39"/>
  <c r="AF35" i="39"/>
  <c r="AE35" i="39"/>
  <c r="K35" i="39"/>
  <c r="J35" i="39"/>
  <c r="I35" i="39"/>
  <c r="H35" i="39"/>
  <c r="G35" i="39"/>
  <c r="L33" i="37"/>
  <c r="K33" i="37"/>
  <c r="H33" i="37"/>
  <c r="G33" i="37"/>
  <c r="K37" i="42"/>
  <c r="H37" i="42"/>
  <c r="G37" i="42"/>
  <c r="Q37" i="34"/>
  <c r="O37" i="34"/>
  <c r="N37" i="34"/>
  <c r="M37" i="34"/>
  <c r="K37" i="34"/>
  <c r="H37" i="34"/>
  <c r="G37" i="34"/>
  <c r="I8" i="33"/>
  <c r="I19" i="33" s="1"/>
  <c r="H8" i="33"/>
  <c r="H19" i="33" s="1"/>
  <c r="H19" i="31"/>
  <c r="AK25" i="33"/>
  <c r="AK61" i="33" s="1"/>
  <c r="L45" i="33"/>
  <c r="L44" i="33"/>
  <c r="L43" i="33"/>
  <c r="L42" i="33"/>
  <c r="M45" i="33"/>
  <c r="M44" i="33"/>
  <c r="M43" i="33"/>
  <c r="M42" i="33"/>
  <c r="BQ17" i="40" l="1"/>
  <c r="BP17" i="40"/>
  <c r="BO17" i="40"/>
  <c r="BE17" i="40"/>
  <c r="BD17" i="40"/>
  <c r="BC17" i="40"/>
  <c r="AS17" i="40"/>
  <c r="AR17" i="40"/>
  <c r="AQ17" i="40"/>
  <c r="U17" i="40"/>
  <c r="AG17" i="40"/>
  <c r="AF17" i="40"/>
  <c r="AE17" i="40"/>
  <c r="G17" i="40"/>
  <c r="L50" i="31"/>
  <c r="K50" i="31"/>
  <c r="H50" i="31"/>
  <c r="J48" i="31"/>
  <c r="I48" i="31"/>
  <c r="AA15" i="37"/>
  <c r="AA20" i="37" s="1"/>
  <c r="AA24" i="37" s="1"/>
  <c r="AA27" i="37" s="1"/>
  <c r="AB15" i="37"/>
  <c r="AB20" i="37" s="1"/>
  <c r="AB24" i="37" s="1"/>
  <c r="AB27" i="37" s="1"/>
  <c r="AC20" i="37"/>
  <c r="AC24" i="37" s="1"/>
  <c r="AC27" i="37" s="1"/>
  <c r="AA34" i="37"/>
  <c r="AA38" i="37" s="1"/>
  <c r="AB34" i="37"/>
  <c r="AB38" i="37" s="1"/>
  <c r="AC38" i="37"/>
  <c r="AI15" i="37"/>
  <c r="AI20" i="37" s="1"/>
  <c r="AI24" i="37" s="1"/>
  <c r="AI27" i="37" s="1"/>
  <c r="AJ15" i="37"/>
  <c r="AJ20" i="37" s="1"/>
  <c r="AJ24" i="37" s="1"/>
  <c r="AJ27" i="37" s="1"/>
  <c r="AK15" i="37"/>
  <c r="AK20" i="37" s="1"/>
  <c r="AK24" i="37" s="1"/>
  <c r="AK27" i="37" s="1"/>
  <c r="AI34" i="37"/>
  <c r="AI38" i="37" s="1"/>
  <c r="AJ34" i="37"/>
  <c r="AJ38" i="37" s="1"/>
  <c r="AK38" i="37"/>
  <c r="S15" i="37"/>
  <c r="T15" i="37"/>
  <c r="T20" i="37" s="1"/>
  <c r="T24" i="37" s="1"/>
  <c r="T27" i="37" s="1"/>
  <c r="U15" i="37"/>
  <c r="U20" i="37" s="1"/>
  <c r="U24" i="37" s="1"/>
  <c r="U27" i="37" s="1"/>
  <c r="U40" i="37" s="1"/>
  <c r="S20" i="37"/>
  <c r="S24" i="37" s="1"/>
  <c r="S27" i="37" s="1"/>
  <c r="S34" i="37"/>
  <c r="S38" i="37" s="1"/>
  <c r="T34" i="37"/>
  <c r="U34" i="37"/>
  <c r="U38" i="37" s="1"/>
  <c r="T38" i="37"/>
  <c r="K15" i="37"/>
  <c r="K20" i="37" s="1"/>
  <c r="K24" i="37" s="1"/>
  <c r="K27" i="37" s="1"/>
  <c r="L15" i="37"/>
  <c r="L20" i="37" s="1"/>
  <c r="L24" i="37" s="1"/>
  <c r="L27" i="37" s="1"/>
  <c r="M20" i="37"/>
  <c r="M24" i="37" s="1"/>
  <c r="M27" i="37" s="1"/>
  <c r="K34" i="37"/>
  <c r="K38" i="37" s="1"/>
  <c r="L34" i="37"/>
  <c r="L38" i="37" s="1"/>
  <c r="M38" i="37"/>
  <c r="L52" i="37"/>
  <c r="AQ15" i="34"/>
  <c r="AQ20" i="34" s="1"/>
  <c r="AQ24" i="34" s="1"/>
  <c r="AQ27" i="34" s="1"/>
  <c r="AQ30" i="34" s="1"/>
  <c r="AQ33" i="34" s="1"/>
  <c r="AR15" i="34"/>
  <c r="AR20" i="34" s="1"/>
  <c r="AR24" i="34" s="1"/>
  <c r="AR27" i="34" s="1"/>
  <c r="AT15" i="34"/>
  <c r="AT20" i="34" s="1"/>
  <c r="AT24" i="34" s="1"/>
  <c r="AT27" i="34" s="1"/>
  <c r="AT30" i="34" s="1"/>
  <c r="AT33" i="34" s="1"/>
  <c r="AU15" i="34"/>
  <c r="AS20" i="34"/>
  <c r="AS24" i="34" s="1"/>
  <c r="AS27" i="34" s="1"/>
  <c r="AS30" i="34" s="1"/>
  <c r="AS33" i="34" s="1"/>
  <c r="AS44" i="34" s="1"/>
  <c r="AU20" i="34"/>
  <c r="AU24" i="34" s="1"/>
  <c r="AU27" i="34" s="1"/>
  <c r="AU30" i="34" s="1"/>
  <c r="AU33" i="34" s="1"/>
  <c r="AQ38" i="34"/>
  <c r="AQ42" i="34" s="1"/>
  <c r="AR38" i="34"/>
  <c r="AT38" i="34"/>
  <c r="AT42" i="34" s="1"/>
  <c r="AU38" i="34"/>
  <c r="AU42" i="34" s="1"/>
  <c r="AR42" i="34"/>
  <c r="AS42" i="34"/>
  <c r="Z15" i="34"/>
  <c r="Z20" i="34" s="1"/>
  <c r="Z24" i="34" s="1"/>
  <c r="Z27" i="34" s="1"/>
  <c r="AA15" i="34"/>
  <c r="AB15" i="34"/>
  <c r="AC15" i="34"/>
  <c r="AC20" i="34" s="1"/>
  <c r="AC24" i="34" s="1"/>
  <c r="AC27" i="34" s="1"/>
  <c r="AC30" i="34" s="1"/>
  <c r="AC33" i="34" s="1"/>
  <c r="Y20" i="34"/>
  <c r="Y24" i="34" s="1"/>
  <c r="Y27" i="34" s="1"/>
  <c r="Y30" i="34" s="1"/>
  <c r="Y33" i="34" s="1"/>
  <c r="Y44" i="34" s="1"/>
  <c r="AA20" i="34"/>
  <c r="AA24" i="34" s="1"/>
  <c r="AA27" i="34" s="1"/>
  <c r="AA30" i="34" s="1"/>
  <c r="AA33" i="34" s="1"/>
  <c r="AB20" i="34"/>
  <c r="AB24" i="34" s="1"/>
  <c r="AB27" i="34" s="1"/>
  <c r="AB30" i="34" s="1"/>
  <c r="AB33" i="34" s="1"/>
  <c r="Z38" i="34"/>
  <c r="Z42" i="34" s="1"/>
  <c r="AA38" i="34"/>
  <c r="AA42" i="34" s="1"/>
  <c r="AB38" i="34"/>
  <c r="AB42" i="34" s="1"/>
  <c r="AC38" i="34"/>
  <c r="AC42" i="34" s="1"/>
  <c r="Y42" i="34"/>
  <c r="M15" i="34"/>
  <c r="M20" i="34" s="1"/>
  <c r="M24" i="34" s="1"/>
  <c r="M27" i="34" s="1"/>
  <c r="N15" i="34"/>
  <c r="N20" i="34" s="1"/>
  <c r="N24" i="34" s="1"/>
  <c r="N27" i="34" s="1"/>
  <c r="N30" i="34" s="1"/>
  <c r="N33" i="34" s="1"/>
  <c r="O15" i="34"/>
  <c r="O20" i="34" s="1"/>
  <c r="O24" i="34" s="1"/>
  <c r="O27" i="34" s="1"/>
  <c r="Q15" i="34"/>
  <c r="P20" i="34"/>
  <c r="P24" i="34" s="1"/>
  <c r="P27" i="34" s="1"/>
  <c r="P30" i="34" s="1"/>
  <c r="P33" i="34" s="1"/>
  <c r="P44" i="34" s="1"/>
  <c r="Q20" i="34"/>
  <c r="Q24" i="34" s="1"/>
  <c r="Q27" i="34" s="1"/>
  <c r="Q30" i="34" s="1"/>
  <c r="Q33" i="34" s="1"/>
  <c r="M29" i="34"/>
  <c r="N29" i="34"/>
  <c r="O29" i="34"/>
  <c r="Q29" i="34"/>
  <c r="M38" i="34"/>
  <c r="M42" i="34" s="1"/>
  <c r="N38" i="34"/>
  <c r="N42" i="34" s="1"/>
  <c r="O38" i="34"/>
  <c r="O42" i="34" s="1"/>
  <c r="Q38" i="34"/>
  <c r="Q42" i="34" s="1"/>
  <c r="P42" i="34"/>
  <c r="AT44" i="34" l="1"/>
  <c r="M40" i="37"/>
  <c r="T40" i="37"/>
  <c r="O30" i="34"/>
  <c r="O33" i="34" s="1"/>
  <c r="O44" i="34" s="1"/>
  <c r="M30" i="34"/>
  <c r="M33" i="34" s="1"/>
  <c r="M44" i="34" s="1"/>
  <c r="N44" i="34"/>
  <c r="Z30" i="34"/>
  <c r="Z33" i="34" s="1"/>
  <c r="Z44" i="34" s="1"/>
  <c r="AC40" i="37"/>
  <c r="AB40" i="37"/>
  <c r="AK40" i="37"/>
  <c r="L40" i="37"/>
  <c r="AJ29" i="37"/>
  <c r="AI40" i="37"/>
  <c r="T29" i="37"/>
  <c r="AA40" i="37"/>
  <c r="AB29" i="37"/>
  <c r="AJ40" i="37"/>
  <c r="K40" i="37"/>
  <c r="L42" i="37" s="1"/>
  <c r="L29" i="37"/>
  <c r="S40" i="37"/>
  <c r="T42" i="37" s="1"/>
  <c r="AA44" i="34"/>
  <c r="AR30" i="34"/>
  <c r="AR33" i="34" s="1"/>
  <c r="AR44" i="34" s="1"/>
  <c r="AQ44" i="34"/>
  <c r="AB44" i="34"/>
  <c r="Q44" i="34"/>
  <c r="AU44" i="34"/>
  <c r="O46" i="34"/>
  <c r="AC44" i="34"/>
  <c r="AA46" i="34" s="1"/>
  <c r="AB42" i="37" l="1"/>
  <c r="AS46" i="34"/>
  <c r="AB50" i="37"/>
  <c r="AB53" i="37" s="1"/>
  <c r="AB56" i="37" s="1"/>
  <c r="L50" i="37"/>
  <c r="L53" i="37" s="1"/>
  <c r="L56" i="37" s="1"/>
  <c r="T50" i="37"/>
  <c r="T53" i="37" s="1"/>
  <c r="T56" i="37" s="1"/>
  <c r="AJ42" i="37"/>
  <c r="AJ50" i="37" l="1"/>
  <c r="AJ53" i="37" s="1"/>
  <c r="AJ56" i="37" s="1"/>
  <c r="X46" i="31" l="1"/>
  <c r="X45" i="31"/>
  <c r="X44" i="31"/>
  <c r="X43" i="31"/>
  <c r="X42" i="31"/>
  <c r="X47" i="31" s="1"/>
  <c r="S7" i="31"/>
  <c r="X7" i="31" s="1"/>
  <c r="X37" i="31"/>
  <c r="X36" i="31"/>
  <c r="X35" i="31"/>
  <c r="X34" i="31"/>
  <c r="X33" i="31"/>
  <c r="X38" i="31" s="1"/>
  <c r="X28" i="31"/>
  <c r="X27" i="31"/>
  <c r="X26" i="31"/>
  <c r="X25" i="31"/>
  <c r="X24" i="31"/>
  <c r="X29" i="31" s="1"/>
  <c r="X19" i="31"/>
  <c r="X18" i="31"/>
  <c r="X17" i="31"/>
  <c r="X16" i="31"/>
  <c r="X15" i="31"/>
  <c r="L26" i="31"/>
  <c r="L25" i="31"/>
  <c r="L24" i="31"/>
  <c r="L48" i="31" s="1"/>
  <c r="G8" i="31"/>
  <c r="X20" i="31" l="1"/>
  <c r="BW17" i="40" l="1"/>
  <c r="BW22" i="40" s="1"/>
  <c r="BW26" i="40" s="1"/>
  <c r="BW29" i="40" s="1"/>
  <c r="BV17" i="40"/>
  <c r="BV22" i="40" s="1"/>
  <c r="BV26" i="40" s="1"/>
  <c r="BV29" i="40" s="1"/>
  <c r="BU17" i="40"/>
  <c r="BU22" i="40" s="1"/>
  <c r="BU26" i="40" s="1"/>
  <c r="BU29" i="40" s="1"/>
  <c r="BW54" i="40"/>
  <c r="BW48" i="40"/>
  <c r="BY40" i="40"/>
  <c r="BX40" i="40"/>
  <c r="BW36" i="40"/>
  <c r="BW40" i="40" s="1"/>
  <c r="BV36" i="40"/>
  <c r="BV40" i="40" s="1"/>
  <c r="BU36" i="40"/>
  <c r="BU40" i="40" s="1"/>
  <c r="BY22" i="40"/>
  <c r="BY26" i="40" s="1"/>
  <c r="BY29" i="40" s="1"/>
  <c r="BY42" i="40" s="1"/>
  <c r="BX22" i="40"/>
  <c r="BX26" i="40" s="1"/>
  <c r="BX29" i="40" s="1"/>
  <c r="BX42" i="40" s="1"/>
  <c r="AY17" i="40"/>
  <c r="AX17" i="40"/>
  <c r="AX22" i="40" s="1"/>
  <c r="AX26" i="40" s="1"/>
  <c r="AX29" i="40" s="1"/>
  <c r="AW17" i="40"/>
  <c r="AW22" i="40" s="1"/>
  <c r="AW26" i="40" s="1"/>
  <c r="AW29" i="40" s="1"/>
  <c r="Y17" i="40"/>
  <c r="Y22" i="40" s="1"/>
  <c r="Y26" i="40" s="1"/>
  <c r="Y29" i="40" s="1"/>
  <c r="AY54" i="40"/>
  <c r="AY48" i="40"/>
  <c r="BA40" i="40"/>
  <c r="AZ40" i="40"/>
  <c r="AY36" i="40"/>
  <c r="AY40" i="40" s="1"/>
  <c r="AX36" i="40"/>
  <c r="AX40" i="40" s="1"/>
  <c r="AW36" i="40"/>
  <c r="AW40" i="40" s="1"/>
  <c r="BA22" i="40"/>
  <c r="BA26" i="40" s="1"/>
  <c r="BA29" i="40" s="1"/>
  <c r="BA42" i="40" s="1"/>
  <c r="AZ22" i="40"/>
  <c r="AZ26" i="40" s="1"/>
  <c r="AZ29" i="40" s="1"/>
  <c r="AZ42" i="40" s="1"/>
  <c r="AY22" i="40"/>
  <c r="AY26" i="40" s="1"/>
  <c r="AY29" i="40" s="1"/>
  <c r="AA54" i="40"/>
  <c r="AA17" i="40"/>
  <c r="AA22" i="40" s="1"/>
  <c r="AA26" i="40" s="1"/>
  <c r="AA29" i="40" s="1"/>
  <c r="Z17" i="40"/>
  <c r="Z22" i="40" s="1"/>
  <c r="Z26" i="40" s="1"/>
  <c r="Z29" i="40" s="1"/>
  <c r="AA48" i="40"/>
  <c r="AA47" i="40"/>
  <c r="AC40" i="40"/>
  <c r="AB40" i="40"/>
  <c r="AA36" i="40"/>
  <c r="AA40" i="40" s="1"/>
  <c r="Z36" i="40"/>
  <c r="Z40" i="40" s="1"/>
  <c r="Y36" i="40"/>
  <c r="Y40" i="40" s="1"/>
  <c r="AC22" i="40"/>
  <c r="AC26" i="40" s="1"/>
  <c r="AC29" i="40" s="1"/>
  <c r="AB22" i="40"/>
  <c r="AB26" i="40" s="1"/>
  <c r="AB29" i="40" s="1"/>
  <c r="BX53" i="39"/>
  <c r="AZ53" i="39"/>
  <c r="AA53" i="39"/>
  <c r="BX48" i="39"/>
  <c r="AZ48" i="39"/>
  <c r="AA48" i="39"/>
  <c r="BZ36" i="39"/>
  <c r="BY36" i="39"/>
  <c r="BX36" i="39"/>
  <c r="BW36" i="39"/>
  <c r="BB36" i="39"/>
  <c r="BA36" i="39"/>
  <c r="AZ36" i="39"/>
  <c r="AY36" i="39"/>
  <c r="AB36" i="39"/>
  <c r="AA36" i="39"/>
  <c r="AC17" i="39"/>
  <c r="BB17" i="39" s="1"/>
  <c r="BZ17" i="39" s="1"/>
  <c r="AB17" i="39"/>
  <c r="BA17" i="39" s="1"/>
  <c r="BY17" i="39" s="1"/>
  <c r="AA17" i="39"/>
  <c r="AZ17" i="39" s="1"/>
  <c r="BX17" i="39" s="1"/>
  <c r="Z17" i="39"/>
  <c r="AY17" i="39" s="1"/>
  <c r="BW17" i="39" s="1"/>
  <c r="Y17" i="39"/>
  <c r="AX17" i="39" s="1"/>
  <c r="BV17" i="39" s="1"/>
  <c r="AY31" i="40" l="1"/>
  <c r="AX42" i="40"/>
  <c r="AB42" i="40"/>
  <c r="AC42" i="40"/>
  <c r="AA31" i="40"/>
  <c r="BW31" i="40"/>
  <c r="BW42" i="40"/>
  <c r="BV42" i="40"/>
  <c r="BW44" i="40" s="1"/>
  <c r="BW52" i="40" s="1"/>
  <c r="BW55" i="40" s="1"/>
  <c r="AA42" i="40"/>
  <c r="BU42" i="40"/>
  <c r="AY42" i="40"/>
  <c r="AW42" i="40"/>
  <c r="Z42" i="40"/>
  <c r="Y42" i="40"/>
  <c r="AA44" i="40" s="1"/>
  <c r="AA52" i="40" s="1"/>
  <c r="AA55" i="40" s="1"/>
  <c r="AY44" i="40" l="1"/>
  <c r="AY52" i="40" s="1"/>
  <c r="AY55" i="40" s="1"/>
  <c r="BW58" i="40"/>
  <c r="Y8" i="33" s="1"/>
  <c r="AA58" i="40"/>
  <c r="W8" i="33" s="1"/>
  <c r="AY58" i="40" l="1"/>
  <c r="X8" i="33" s="1"/>
  <c r="AM38" i="34"/>
  <c r="AM37" i="34"/>
  <c r="AM15" i="34"/>
  <c r="I35" i="31"/>
  <c r="I34" i="31"/>
  <c r="I49" i="31" s="1"/>
  <c r="I42" i="31"/>
  <c r="I41" i="31"/>
  <c r="I40" i="31"/>
  <c r="I50" i="31" s="1"/>
  <c r="I16" i="31"/>
  <c r="I15" i="31"/>
  <c r="I47" i="31" s="1"/>
  <c r="I9" i="31"/>
  <c r="I8" i="31"/>
  <c r="H29" i="31"/>
  <c r="H28" i="31"/>
  <c r="H27" i="31"/>
  <c r="H26" i="31"/>
  <c r="H48" i="31" s="1"/>
  <c r="G20" i="31"/>
  <c r="G18" i="31"/>
  <c r="G17" i="31"/>
  <c r="G16" i="31"/>
  <c r="K19" i="31"/>
  <c r="K16" i="31"/>
  <c r="K15" i="31"/>
  <c r="K14" i="31"/>
  <c r="K47" i="31" s="1"/>
  <c r="K38" i="31"/>
  <c r="K12" i="31"/>
  <c r="K9" i="31"/>
  <c r="K8" i="31"/>
  <c r="K7" i="31"/>
  <c r="X15" i="37"/>
  <c r="W15" i="37"/>
  <c r="T15" i="42"/>
  <c r="S15" i="42"/>
  <c r="K6" i="31"/>
  <c r="G38" i="34"/>
  <c r="S6" i="31"/>
  <c r="X6" i="31" s="1"/>
  <c r="G29" i="34"/>
  <c r="G15" i="34"/>
  <c r="AH29" i="34"/>
  <c r="AG29" i="34"/>
  <c r="AF29" i="34"/>
  <c r="U47" i="40"/>
  <c r="O47" i="40"/>
  <c r="I47" i="40"/>
  <c r="AT48" i="39"/>
  <c r="AN48" i="39"/>
  <c r="AG48" i="39"/>
  <c r="K46" i="31" l="1"/>
  <c r="K49" i="31"/>
  <c r="G47" i="31"/>
  <c r="I46" i="31"/>
  <c r="AB29" i="42"/>
  <c r="AA29" i="42"/>
  <c r="Z29" i="42"/>
  <c r="Y29" i="42"/>
  <c r="Y15" i="42"/>
  <c r="Y20" i="42" s="1"/>
  <c r="Y24" i="42" s="1"/>
  <c r="Y27" i="42" s="1"/>
  <c r="Y30" i="42" s="1"/>
  <c r="AC42" i="42"/>
  <c r="Y42" i="42"/>
  <c r="AB38" i="42"/>
  <c r="AA38" i="42"/>
  <c r="Z38" i="42"/>
  <c r="AB37" i="42"/>
  <c r="AB42" i="42" s="1"/>
  <c r="AA37" i="42"/>
  <c r="AA42" i="42" s="1"/>
  <c r="Z37" i="42"/>
  <c r="AC20" i="42"/>
  <c r="AC24" i="42" s="1"/>
  <c r="AC27" i="42" s="1"/>
  <c r="AC30" i="42" s="1"/>
  <c r="AC33" i="42" s="1"/>
  <c r="AC44" i="42" s="1"/>
  <c r="AB15" i="42"/>
  <c r="AB20" i="42" s="1"/>
  <c r="AB24" i="42" s="1"/>
  <c r="AB27" i="42" s="1"/>
  <c r="AA15" i="42"/>
  <c r="AA20" i="42" s="1"/>
  <c r="AA24" i="42" s="1"/>
  <c r="AA27" i="42" s="1"/>
  <c r="AA30" i="42" s="1"/>
  <c r="AA33" i="42" s="1"/>
  <c r="Z15" i="42"/>
  <c r="Z20" i="42" s="1"/>
  <c r="BR48" i="39"/>
  <c r="BL48" i="39"/>
  <c r="BF48" i="39"/>
  <c r="Z42" i="42" l="1"/>
  <c r="AA44" i="42"/>
  <c r="AB30" i="42"/>
  <c r="AB33" i="42" s="1"/>
  <c r="AB44" i="42" s="1"/>
  <c r="Y33" i="42"/>
  <c r="Z24" i="42"/>
  <c r="Z27" i="42" s="1"/>
  <c r="Z30" i="42" s="1"/>
  <c r="Z33" i="42" s="1"/>
  <c r="Z44" i="42" s="1"/>
  <c r="Y44" i="42" l="1"/>
  <c r="AA46" i="42" s="1"/>
  <c r="N8" i="33" l="1"/>
  <c r="X48" i="37" l="1"/>
  <c r="AF48" i="37"/>
  <c r="P48" i="37"/>
  <c r="H48" i="37"/>
  <c r="U48" i="39"/>
  <c r="O48" i="39"/>
  <c r="I48" i="39"/>
  <c r="S18" i="33"/>
  <c r="V17" i="39"/>
  <c r="V22" i="39" s="1"/>
  <c r="V26" i="39" s="1"/>
  <c r="V29" i="39" s="1"/>
  <c r="U17" i="39"/>
  <c r="U22" i="39" s="1"/>
  <c r="U26" i="39" s="1"/>
  <c r="U29" i="39" s="1"/>
  <c r="T17" i="39"/>
  <c r="T22" i="39" s="1"/>
  <c r="T26" i="39" s="1"/>
  <c r="T29" i="39" s="1"/>
  <c r="S17" i="39"/>
  <c r="S22" i="39" s="1"/>
  <c r="S26" i="39" s="1"/>
  <c r="S29" i="39" s="1"/>
  <c r="U31" i="39" s="1"/>
  <c r="K17" i="39"/>
  <c r="G17" i="39"/>
  <c r="G22" i="39" s="1"/>
  <c r="G26" i="39" s="1"/>
  <c r="G29" i="39" s="1"/>
  <c r="W40" i="39"/>
  <c r="V40" i="39"/>
  <c r="V36" i="39"/>
  <c r="U36" i="39"/>
  <c r="U40" i="39" s="1"/>
  <c r="T36" i="39"/>
  <c r="T40" i="39" s="1"/>
  <c r="S36" i="39"/>
  <c r="S40" i="39" s="1"/>
  <c r="W22" i="39"/>
  <c r="W26" i="39" s="1"/>
  <c r="W29" i="39" s="1"/>
  <c r="Q36" i="39"/>
  <c r="Q40" i="39" s="1"/>
  <c r="P36" i="39"/>
  <c r="P40" i="39" s="1"/>
  <c r="O36" i="39"/>
  <c r="O40" i="39" s="1"/>
  <c r="N36" i="39"/>
  <c r="N40" i="39" s="1"/>
  <c r="M36" i="39"/>
  <c r="M40" i="39" s="1"/>
  <c r="Q22" i="39"/>
  <c r="Q26" i="39" s="1"/>
  <c r="Q29" i="39" s="1"/>
  <c r="P22" i="39"/>
  <c r="P26" i="39" s="1"/>
  <c r="P29" i="39" s="1"/>
  <c r="O22" i="39"/>
  <c r="O26" i="39" s="1"/>
  <c r="O29" i="39" s="1"/>
  <c r="N22" i="39"/>
  <c r="N26" i="39" s="1"/>
  <c r="N29" i="39" s="1"/>
  <c r="M22" i="39"/>
  <c r="M26" i="39" s="1"/>
  <c r="M29" i="39" s="1"/>
  <c r="I53" i="39"/>
  <c r="K36" i="39"/>
  <c r="K40" i="39" s="1"/>
  <c r="J36" i="39"/>
  <c r="J40" i="39" s="1"/>
  <c r="I36" i="39"/>
  <c r="I40" i="39" s="1"/>
  <c r="H36" i="39"/>
  <c r="H40" i="39" s="1"/>
  <c r="G36" i="39"/>
  <c r="G40" i="39" s="1"/>
  <c r="K22" i="39"/>
  <c r="K26" i="39" s="1"/>
  <c r="K29" i="39" s="1"/>
  <c r="J17" i="39"/>
  <c r="J22" i="39" s="1"/>
  <c r="J26" i="39" s="1"/>
  <c r="J29" i="39" s="1"/>
  <c r="I17" i="39"/>
  <c r="I22" i="39" s="1"/>
  <c r="I26" i="39" s="1"/>
  <c r="I29" i="39" s="1"/>
  <c r="H17" i="39"/>
  <c r="H22" i="39" s="1"/>
  <c r="H26" i="39" s="1"/>
  <c r="H29" i="39" s="1"/>
  <c r="U18" i="33"/>
  <c r="BS17" i="39"/>
  <c r="BS22" i="39" s="1"/>
  <c r="BS26" i="39" s="1"/>
  <c r="BS29" i="39" s="1"/>
  <c r="BR17" i="39"/>
  <c r="BR22" i="39" s="1"/>
  <c r="BR26" i="39" s="1"/>
  <c r="BR29" i="39" s="1"/>
  <c r="BQ17" i="39"/>
  <c r="BQ22" i="39" s="1"/>
  <c r="BQ26" i="39" s="1"/>
  <c r="BQ29" i="39" s="1"/>
  <c r="BP17" i="39"/>
  <c r="BP22" i="39" s="1"/>
  <c r="BP26" i="39" s="1"/>
  <c r="BP29" i="39" s="1"/>
  <c r="BR31" i="39" s="1"/>
  <c r="AR17" i="39"/>
  <c r="BH17" i="39"/>
  <c r="BH22" i="39" s="1"/>
  <c r="BH26" i="39" s="1"/>
  <c r="BH29" i="39" s="1"/>
  <c r="BD17" i="39"/>
  <c r="BD22" i="39" s="1"/>
  <c r="BD26" i="39" s="1"/>
  <c r="BD29" i="39" s="1"/>
  <c r="BT40" i="39"/>
  <c r="BS36" i="39"/>
  <c r="BS40" i="39" s="1"/>
  <c r="BR36" i="39"/>
  <c r="BR40" i="39" s="1"/>
  <c r="BQ36" i="39"/>
  <c r="BQ40" i="39" s="1"/>
  <c r="BP36" i="39"/>
  <c r="BP40" i="39" s="1"/>
  <c r="BT22" i="39"/>
  <c r="BT26" i="39" s="1"/>
  <c r="BT29" i="39" s="1"/>
  <c r="BF53" i="39"/>
  <c r="BH36" i="39"/>
  <c r="BH40" i="39" s="1"/>
  <c r="BG36" i="39"/>
  <c r="BG40" i="39" s="1"/>
  <c r="BF36" i="39"/>
  <c r="BF40" i="39" s="1"/>
  <c r="BE36" i="39"/>
  <c r="BE40" i="39" s="1"/>
  <c r="BD36" i="39"/>
  <c r="BD40" i="39" s="1"/>
  <c r="BG17" i="39"/>
  <c r="BG22" i="39" s="1"/>
  <c r="BG26" i="39" s="1"/>
  <c r="BG29" i="39" s="1"/>
  <c r="BF17" i="39"/>
  <c r="BF22" i="39" s="1"/>
  <c r="BF26" i="39" s="1"/>
  <c r="BF29" i="39" s="1"/>
  <c r="BE17" i="39"/>
  <c r="BE22" i="39" s="1"/>
  <c r="BE26" i="39" s="1"/>
  <c r="BE29" i="39" s="1"/>
  <c r="BN36" i="39"/>
  <c r="BN40" i="39" s="1"/>
  <c r="BM36" i="39"/>
  <c r="BM40" i="39" s="1"/>
  <c r="BL36" i="39"/>
  <c r="BL40" i="39" s="1"/>
  <c r="BK36" i="39"/>
  <c r="BK40" i="39" s="1"/>
  <c r="BJ36" i="39"/>
  <c r="BJ40" i="39" s="1"/>
  <c r="BJ22" i="39"/>
  <c r="BJ26" i="39" s="1"/>
  <c r="BJ29" i="39" s="1"/>
  <c r="BN17" i="39"/>
  <c r="BN22" i="39" s="1"/>
  <c r="BN26" i="39" s="1"/>
  <c r="BN29" i="39" s="1"/>
  <c r="BM22" i="39"/>
  <c r="BM26" i="39" s="1"/>
  <c r="BM29" i="39" s="1"/>
  <c r="BL22" i="39"/>
  <c r="BL26" i="39" s="1"/>
  <c r="BL29" i="39" s="1"/>
  <c r="BK22" i="39"/>
  <c r="BK26" i="39" s="1"/>
  <c r="BK29" i="39" s="1"/>
  <c r="O15" i="42"/>
  <c r="N15" i="42"/>
  <c r="M15" i="42"/>
  <c r="W29" i="42"/>
  <c r="T29" i="42"/>
  <c r="S29" i="42"/>
  <c r="P29" i="42"/>
  <c r="O29" i="42"/>
  <c r="N29" i="42"/>
  <c r="M29" i="42"/>
  <c r="K29" i="42"/>
  <c r="H29" i="42"/>
  <c r="G29" i="42"/>
  <c r="H52" i="37"/>
  <c r="K29" i="34"/>
  <c r="H29" i="34"/>
  <c r="O31" i="39" l="1"/>
  <c r="BL31" i="39"/>
  <c r="I31" i="39"/>
  <c r="BF31" i="39"/>
  <c r="BE42" i="39"/>
  <c r="H42" i="39"/>
  <c r="W42" i="39"/>
  <c r="BT42" i="39"/>
  <c r="Q42" i="39"/>
  <c r="BS42" i="39"/>
  <c r="J42" i="39"/>
  <c r="U42" i="39"/>
  <c r="V42" i="39"/>
  <c r="N42" i="39"/>
  <c r="K42" i="39"/>
  <c r="O42" i="39"/>
  <c r="P42" i="39"/>
  <c r="I42" i="39"/>
  <c r="M42" i="39"/>
  <c r="T42" i="39"/>
  <c r="G42" i="39"/>
  <c r="S42" i="39"/>
  <c r="BF42" i="39"/>
  <c r="BG42" i="39"/>
  <c r="BN42" i="39"/>
  <c r="BQ42" i="39"/>
  <c r="BL42" i="39"/>
  <c r="BR42" i="39"/>
  <c r="BM42" i="39"/>
  <c r="BH42" i="39"/>
  <c r="BJ42" i="39"/>
  <c r="BP42" i="39"/>
  <c r="BK42" i="39"/>
  <c r="BD42" i="39"/>
  <c r="N19" i="33"/>
  <c r="AF9" i="33" s="1"/>
  <c r="N18" i="33"/>
  <c r="P15" i="42"/>
  <c r="O20" i="42"/>
  <c r="O24" i="42" s="1"/>
  <c r="O27" i="42" s="1"/>
  <c r="O30" i="42" s="1"/>
  <c r="O33" i="42" s="1"/>
  <c r="N20" i="42"/>
  <c r="N24" i="42" s="1"/>
  <c r="N27" i="42" s="1"/>
  <c r="N30" i="42" s="1"/>
  <c r="N33" i="42" s="1"/>
  <c r="S38" i="42"/>
  <c r="S37" i="42"/>
  <c r="G38" i="42"/>
  <c r="G42" i="42"/>
  <c r="G15" i="42"/>
  <c r="G20" i="42" s="1"/>
  <c r="G24" i="42" s="1"/>
  <c r="G27" i="42" s="1"/>
  <c r="G30" i="42" s="1"/>
  <c r="U42" i="42"/>
  <c r="Q42" i="42"/>
  <c r="J42" i="42"/>
  <c r="W38" i="42"/>
  <c r="T38" i="42"/>
  <c r="P38" i="42"/>
  <c r="O38" i="42"/>
  <c r="N38" i="42"/>
  <c r="M38" i="42"/>
  <c r="K38" i="42"/>
  <c r="H38" i="42"/>
  <c r="W37" i="42"/>
  <c r="V42" i="42"/>
  <c r="T37" i="42"/>
  <c r="T42" i="42" s="1"/>
  <c r="P37" i="42"/>
  <c r="O37" i="42"/>
  <c r="N37" i="42"/>
  <c r="M37" i="42"/>
  <c r="I42" i="42"/>
  <c r="U20" i="42"/>
  <c r="U24" i="42" s="1"/>
  <c r="U27" i="42" s="1"/>
  <c r="U30" i="42" s="1"/>
  <c r="U33" i="42" s="1"/>
  <c r="S20" i="42"/>
  <c r="S24" i="42" s="1"/>
  <c r="S27" i="42" s="1"/>
  <c r="S30" i="42" s="1"/>
  <c r="Q20" i="42"/>
  <c r="Q24" i="42" s="1"/>
  <c r="Q27" i="42" s="1"/>
  <c r="Q30" i="42" s="1"/>
  <c r="Q33" i="42" s="1"/>
  <c r="J20" i="42"/>
  <c r="J24" i="42" s="1"/>
  <c r="J27" i="42" s="1"/>
  <c r="J30" i="42" s="1"/>
  <c r="J33" i="42" s="1"/>
  <c r="W15" i="42"/>
  <c r="W20" i="42" s="1"/>
  <c r="W24" i="42" s="1"/>
  <c r="W27" i="42" s="1"/>
  <c r="W30" i="42" s="1"/>
  <c r="W33" i="42" s="1"/>
  <c r="V20" i="42"/>
  <c r="V24" i="42" s="1"/>
  <c r="V27" i="42" s="1"/>
  <c r="V30" i="42" s="1"/>
  <c r="V33" i="42" s="1"/>
  <c r="V44" i="42" s="1"/>
  <c r="T20" i="42"/>
  <c r="T24" i="42" s="1"/>
  <c r="T27" i="42" s="1"/>
  <c r="T30" i="42" s="1"/>
  <c r="T33" i="42" s="1"/>
  <c r="P20" i="42"/>
  <c r="P24" i="42" s="1"/>
  <c r="P27" i="42" s="1"/>
  <c r="P30" i="42" s="1"/>
  <c r="P33" i="42" s="1"/>
  <c r="M20" i="42"/>
  <c r="M24" i="42" s="1"/>
  <c r="M27" i="42" s="1"/>
  <c r="M30" i="42" s="1"/>
  <c r="K15" i="42"/>
  <c r="K20" i="42" s="1"/>
  <c r="K24" i="42" s="1"/>
  <c r="K27" i="42" s="1"/>
  <c r="K30" i="42" s="1"/>
  <c r="K33" i="42" s="1"/>
  <c r="I20" i="42"/>
  <c r="I24" i="42" s="1"/>
  <c r="I27" i="42" s="1"/>
  <c r="I30" i="42" s="1"/>
  <c r="I33" i="42" s="1"/>
  <c r="H15" i="42"/>
  <c r="H20" i="42" s="1"/>
  <c r="H24" i="42" s="1"/>
  <c r="H27" i="42" s="1"/>
  <c r="H30" i="42" s="1"/>
  <c r="H33" i="42" s="1"/>
  <c r="H38" i="31"/>
  <c r="H35" i="31"/>
  <c r="H34" i="31"/>
  <c r="H49" i="31" s="1"/>
  <c r="H17" i="31"/>
  <c r="H16" i="31"/>
  <c r="H15" i="31"/>
  <c r="H47" i="31" s="1"/>
  <c r="H12" i="31"/>
  <c r="H9" i="31"/>
  <c r="H8" i="31"/>
  <c r="A1" i="42"/>
  <c r="N31" i="33"/>
  <c r="K31" i="33"/>
  <c r="H46" i="31" l="1"/>
  <c r="I44" i="42"/>
  <c r="S42" i="42"/>
  <c r="O44" i="39"/>
  <c r="O51" i="39" s="1"/>
  <c r="O54" i="39" s="1"/>
  <c r="O57" i="39" s="1"/>
  <c r="Q44" i="42"/>
  <c r="U44" i="42"/>
  <c r="U44" i="39"/>
  <c r="BL44" i="39"/>
  <c r="AF8" i="33"/>
  <c r="AF44" i="33" s="1"/>
  <c r="AF45" i="33" s="1"/>
  <c r="AF17" i="33"/>
  <c r="AF53" i="33" s="1"/>
  <c r="I44" i="39"/>
  <c r="BR44" i="39"/>
  <c r="BF44" i="39"/>
  <c r="W42" i="42"/>
  <c r="W44" i="42" s="1"/>
  <c r="T44" i="42"/>
  <c r="P42" i="42"/>
  <c r="P44" i="42" s="1"/>
  <c r="K42" i="42"/>
  <c r="K44" i="42" s="1"/>
  <c r="J44" i="42"/>
  <c r="O42" i="42"/>
  <c r="O44" i="42" s="1"/>
  <c r="M42" i="42"/>
  <c r="N42" i="42"/>
  <c r="N44" i="42" s="1"/>
  <c r="H42" i="42"/>
  <c r="H44" i="42" s="1"/>
  <c r="S33" i="42"/>
  <c r="G33" i="42"/>
  <c r="M33" i="42"/>
  <c r="S9" i="33" l="1"/>
  <c r="I51" i="39"/>
  <c r="I54" i="39" s="1"/>
  <c r="BF51" i="39"/>
  <c r="BF54" i="39" s="1"/>
  <c r="BF57" i="39" s="1"/>
  <c r="BL51" i="39"/>
  <c r="BL54" i="39" s="1"/>
  <c r="BL57" i="39" s="1"/>
  <c r="U51" i="39"/>
  <c r="U54" i="39" s="1"/>
  <c r="U57" i="39" s="1"/>
  <c r="BR51" i="39"/>
  <c r="BR54" i="39" s="1"/>
  <c r="BR57" i="39" s="1"/>
  <c r="G44" i="42"/>
  <c r="I46" i="42" s="1"/>
  <c r="M44" i="42"/>
  <c r="O46" i="42" s="1"/>
  <c r="S44" i="42"/>
  <c r="U46" i="42" s="1"/>
  <c r="N7" i="33" l="1"/>
  <c r="N17" i="33" s="1"/>
  <c r="AF7" i="33" s="1"/>
  <c r="AF43" i="33" s="1"/>
  <c r="N9" i="33"/>
  <c r="N6" i="33"/>
  <c r="U6" i="33"/>
  <c r="U9" i="33"/>
  <c r="U7" i="33"/>
  <c r="U17" i="33" s="1"/>
  <c r="AK7" i="33" s="1"/>
  <c r="AK43" i="33" s="1"/>
  <c r="S7" i="33"/>
  <c r="S17" i="33" s="1"/>
  <c r="AI16" i="33" s="1"/>
  <c r="AI52" i="33" s="1"/>
  <c r="I57" i="39"/>
  <c r="S6" i="33" s="1"/>
  <c r="AF16" i="33" l="1"/>
  <c r="AF52" i="33" s="1"/>
  <c r="N16" i="33"/>
  <c r="AF6" i="33" s="1"/>
  <c r="AF42" i="33" s="1"/>
  <c r="AF46" i="33" s="1"/>
  <c r="AK16" i="33"/>
  <c r="AK52" i="33" s="1"/>
  <c r="AF15" i="33" l="1"/>
  <c r="AF51" i="33" s="1"/>
  <c r="AF10" i="33"/>
  <c r="BQ48" i="40"/>
  <c r="BK48" i="40"/>
  <c r="BE48" i="40"/>
  <c r="AO37" i="34"/>
  <c r="AN37" i="34"/>
  <c r="AL37" i="34"/>
  <c r="S9" i="31" s="1"/>
  <c r="X9" i="31" s="1"/>
  <c r="AH37" i="34"/>
  <c r="AG37" i="34"/>
  <c r="AF37" i="34"/>
  <c r="S10" i="31" s="1"/>
  <c r="X10" i="31" s="1"/>
  <c r="V37" i="34"/>
  <c r="U37" i="34"/>
  <c r="T37" i="34"/>
  <c r="S37" i="34"/>
  <c r="S8" i="31" s="1"/>
  <c r="X8" i="31" s="1"/>
  <c r="X11" i="31" s="1"/>
  <c r="BE54" i="40"/>
  <c r="AG54" i="40"/>
  <c r="I54" i="40"/>
  <c r="AV22" i="39"/>
  <c r="AV26" i="39" s="1"/>
  <c r="AV29" i="39" s="1"/>
  <c r="Q20" i="37"/>
  <c r="W42" i="34"/>
  <c r="Y19" i="33"/>
  <c r="AN9" i="33" s="1"/>
  <c r="Y18" i="33"/>
  <c r="X19" i="33"/>
  <c r="AM9" i="33" s="1"/>
  <c r="W19" i="33"/>
  <c r="AL9" i="33" s="1"/>
  <c r="X18" i="33"/>
  <c r="W18" i="33"/>
  <c r="T18" i="33"/>
  <c r="AS13" i="40"/>
  <c r="BQ13" i="40" s="1"/>
  <c r="AR13" i="40"/>
  <c r="BP13" i="40" s="1"/>
  <c r="AQ13" i="40"/>
  <c r="BO13" i="40" s="1"/>
  <c r="AS12" i="40"/>
  <c r="BQ12" i="40" s="1"/>
  <c r="AR12" i="40"/>
  <c r="BP12" i="40" s="1"/>
  <c r="AQ12" i="40"/>
  <c r="BO12" i="40" s="1"/>
  <c r="AM12" i="40"/>
  <c r="BK12" i="40" s="1"/>
  <c r="AL12" i="40"/>
  <c r="BJ12" i="40" s="1"/>
  <c r="AK12" i="40"/>
  <c r="BI12" i="40" s="1"/>
  <c r="AG13" i="40"/>
  <c r="BE13" i="40" s="1"/>
  <c r="AF13" i="40"/>
  <c r="BD13" i="40" s="1"/>
  <c r="AE13" i="40"/>
  <c r="BC13" i="40" s="1"/>
  <c r="AG12" i="40"/>
  <c r="BE12" i="40" s="1"/>
  <c r="AF12" i="40"/>
  <c r="BD12" i="40" s="1"/>
  <c r="AE12" i="40"/>
  <c r="BC12" i="40" s="1"/>
  <c r="AU22" i="40"/>
  <c r="AU26" i="40" s="1"/>
  <c r="AU29" i="40" s="1"/>
  <c r="AT22" i="40"/>
  <c r="AT26" i="40" s="1"/>
  <c r="AT29" i="40" s="1"/>
  <c r="AO22" i="40"/>
  <c r="AO26" i="40" s="1"/>
  <c r="AO29" i="40" s="1"/>
  <c r="AN22" i="40"/>
  <c r="AN26" i="40" s="1"/>
  <c r="AN29" i="40" s="1"/>
  <c r="AI22" i="40"/>
  <c r="AI26" i="40" s="1"/>
  <c r="AI29" i="40" s="1"/>
  <c r="AH22" i="40"/>
  <c r="AH26" i="40" s="1"/>
  <c r="AH29" i="40" s="1"/>
  <c r="M22" i="40"/>
  <c r="M26" i="40" s="1"/>
  <c r="M29" i="40" s="1"/>
  <c r="AS48" i="40"/>
  <c r="AU40" i="40"/>
  <c r="AT40" i="40"/>
  <c r="AS36" i="40"/>
  <c r="AS40" i="40" s="1"/>
  <c r="AR36" i="40"/>
  <c r="AR40" i="40" s="1"/>
  <c r="AQ36" i="40"/>
  <c r="AQ40" i="40" s="1"/>
  <c r="AM48" i="40"/>
  <c r="AN40" i="40"/>
  <c r="AO40" i="40"/>
  <c r="AM36" i="40"/>
  <c r="AM40" i="40" s="1"/>
  <c r="AL36" i="40"/>
  <c r="AL40" i="40" s="1"/>
  <c r="AK36" i="40"/>
  <c r="AK40" i="40" s="1"/>
  <c r="AG48" i="40"/>
  <c r="AI40" i="40"/>
  <c r="AH40" i="40"/>
  <c r="AG36" i="40"/>
  <c r="AG40" i="40" s="1"/>
  <c r="AF36" i="40"/>
  <c r="AF40" i="40" s="1"/>
  <c r="AE36" i="40"/>
  <c r="AE40" i="40" s="1"/>
  <c r="BZ22" i="39"/>
  <c r="BZ26" i="39" s="1"/>
  <c r="BZ29" i="39" s="1"/>
  <c r="AU17" i="39"/>
  <c r="BY22" i="39" s="1"/>
  <c r="BY26" i="39" s="1"/>
  <c r="BY29" i="39" s="1"/>
  <c r="AT17" i="39"/>
  <c r="BX22" i="39" s="1"/>
  <c r="BX26" i="39" s="1"/>
  <c r="BX29" i="39" s="1"/>
  <c r="AS17" i="39"/>
  <c r="BW22" i="39" s="1"/>
  <c r="BW26" i="39" s="1"/>
  <c r="BW29" i="39" s="1"/>
  <c r="BV22" i="39"/>
  <c r="BV26" i="39" s="1"/>
  <c r="BV29" i="39" s="1"/>
  <c r="BX31" i="39" s="1"/>
  <c r="BA22" i="39"/>
  <c r="BA26" i="39" s="1"/>
  <c r="BA29" i="39" s="1"/>
  <c r="BA20" i="34"/>
  <c r="AZ20" i="34"/>
  <c r="AY20" i="34"/>
  <c r="AX20" i="34"/>
  <c r="AP22" i="39"/>
  <c r="AP26" i="39" s="1"/>
  <c r="AP29" i="39" s="1"/>
  <c r="AN22" i="39"/>
  <c r="AY22" i="39"/>
  <c r="AY26" i="39" s="1"/>
  <c r="AY29" i="39" s="1"/>
  <c r="AX22" i="39"/>
  <c r="AX26" i="39" s="1"/>
  <c r="AX29" i="39" s="1"/>
  <c r="AP36" i="39"/>
  <c r="AP40" i="39" s="1"/>
  <c r="AO36" i="39"/>
  <c r="AO40" i="39" s="1"/>
  <c r="AN36" i="39"/>
  <c r="AN40" i="39" s="1"/>
  <c r="AM36" i="39"/>
  <c r="AM40" i="39" s="1"/>
  <c r="AL36" i="39"/>
  <c r="AL40" i="39" s="1"/>
  <c r="AI17" i="39"/>
  <c r="AC22" i="39" s="1"/>
  <c r="AC26" i="39" s="1"/>
  <c r="AC29" i="39" s="1"/>
  <c r="AH17" i="39"/>
  <c r="AB22" i="39" s="1"/>
  <c r="AB26" i="39" s="1"/>
  <c r="AB29" i="39" s="1"/>
  <c r="AG17" i="39"/>
  <c r="AG22" i="39" s="1"/>
  <c r="AG26" i="39" s="1"/>
  <c r="AG29" i="39" s="1"/>
  <c r="AF17" i="39"/>
  <c r="Z22" i="39" s="1"/>
  <c r="Z26" i="39" s="1"/>
  <c r="Z29" i="39" s="1"/>
  <c r="AE17" i="39"/>
  <c r="Y22" i="39" s="1"/>
  <c r="AO15" i="34"/>
  <c r="F55" i="40"/>
  <c r="U48" i="40"/>
  <c r="O48" i="40"/>
  <c r="I48" i="40"/>
  <c r="BG40" i="40"/>
  <c r="Q40" i="40"/>
  <c r="P40" i="40"/>
  <c r="O40" i="40"/>
  <c r="N40" i="40"/>
  <c r="BS40" i="40"/>
  <c r="BR40" i="40"/>
  <c r="BQ36" i="40"/>
  <c r="BQ40" i="40" s="1"/>
  <c r="BP36" i="40"/>
  <c r="BP40" i="40" s="1"/>
  <c r="BO36" i="40"/>
  <c r="BO40" i="40" s="1"/>
  <c r="BM40" i="40"/>
  <c r="BL40" i="40"/>
  <c r="BK36" i="40"/>
  <c r="BK40" i="40" s="1"/>
  <c r="BJ36" i="40"/>
  <c r="BJ40" i="40" s="1"/>
  <c r="BI36" i="40"/>
  <c r="BI40" i="40" s="1"/>
  <c r="BF40" i="40"/>
  <c r="BE36" i="40"/>
  <c r="BE40" i="40" s="1"/>
  <c r="BD36" i="40"/>
  <c r="BD40" i="40" s="1"/>
  <c r="BC36" i="40"/>
  <c r="BC40" i="40" s="1"/>
  <c r="W40" i="40"/>
  <c r="V40" i="40"/>
  <c r="U36" i="40"/>
  <c r="U40" i="40" s="1"/>
  <c r="T36" i="40"/>
  <c r="T40" i="40" s="1"/>
  <c r="S36" i="40"/>
  <c r="S40" i="40" s="1"/>
  <c r="M36" i="40"/>
  <c r="M40" i="40" s="1"/>
  <c r="K40" i="40"/>
  <c r="J40" i="40"/>
  <c r="I36" i="40"/>
  <c r="I40" i="40" s="1"/>
  <c r="H36" i="40"/>
  <c r="H40" i="40" s="1"/>
  <c r="G36" i="40"/>
  <c r="G40" i="40" s="1"/>
  <c r="BS22" i="40"/>
  <c r="BS26" i="40" s="1"/>
  <c r="BS29" i="40" s="1"/>
  <c r="BR22" i="40"/>
  <c r="BR26" i="40" s="1"/>
  <c r="BR29" i="40" s="1"/>
  <c r="BM22" i="40"/>
  <c r="BM26" i="40" s="1"/>
  <c r="BM29" i="40" s="1"/>
  <c r="BM42" i="40" s="1"/>
  <c r="BG22" i="40"/>
  <c r="BG26" i="40" s="1"/>
  <c r="BG29" i="40" s="1"/>
  <c r="BF22" i="40"/>
  <c r="BF26" i="40" s="1"/>
  <c r="BF29" i="40" s="1"/>
  <c r="W22" i="40"/>
  <c r="W26" i="40" s="1"/>
  <c r="W29" i="40" s="1"/>
  <c r="W42" i="40" s="1"/>
  <c r="V22" i="40"/>
  <c r="V26" i="40" s="1"/>
  <c r="V29" i="40" s="1"/>
  <c r="V42" i="40" s="1"/>
  <c r="U22" i="40"/>
  <c r="U26" i="40" s="1"/>
  <c r="U29" i="40" s="1"/>
  <c r="U42" i="40" s="1"/>
  <c r="Q22" i="40"/>
  <c r="Q26" i="40" s="1"/>
  <c r="Q29" i="40" s="1"/>
  <c r="P22" i="40"/>
  <c r="P26" i="40" s="1"/>
  <c r="P29" i="40" s="1"/>
  <c r="O22" i="40"/>
  <c r="O26" i="40" s="1"/>
  <c r="O29" i="40" s="1"/>
  <c r="N22" i="40"/>
  <c r="N26" i="40" s="1"/>
  <c r="N29" i="40" s="1"/>
  <c r="BL22" i="40"/>
  <c r="BL26" i="40" s="1"/>
  <c r="BL29" i="40" s="1"/>
  <c r="T17" i="40"/>
  <c r="T22" i="40" s="1"/>
  <c r="T26" i="40" s="1"/>
  <c r="T29" i="40" s="1"/>
  <c r="S17" i="40"/>
  <c r="S22" i="40" s="1"/>
  <c r="S26" i="40" s="1"/>
  <c r="S29" i="40" s="1"/>
  <c r="K22" i="40"/>
  <c r="K26" i="40" s="1"/>
  <c r="K29" i="40" s="1"/>
  <c r="J22" i="40"/>
  <c r="J26" i="40" s="1"/>
  <c r="J29" i="40" s="1"/>
  <c r="I17" i="40"/>
  <c r="I22" i="40" s="1"/>
  <c r="I26" i="40" s="1"/>
  <c r="I29" i="40" s="1"/>
  <c r="H17" i="40"/>
  <c r="H22" i="40" s="1"/>
  <c r="H26" i="40" s="1"/>
  <c r="H29" i="40" s="1"/>
  <c r="G22" i="40"/>
  <c r="G26" i="40" s="1"/>
  <c r="G29" i="40" s="1"/>
  <c r="L17" i="31"/>
  <c r="L16" i="31"/>
  <c r="L15" i="31"/>
  <c r="L47" i="31" s="1"/>
  <c r="L9" i="31"/>
  <c r="L8" i="31"/>
  <c r="L7" i="31"/>
  <c r="A1" i="40"/>
  <c r="F54" i="39"/>
  <c r="AG53" i="39"/>
  <c r="BZ40" i="39"/>
  <c r="BY40" i="39"/>
  <c r="BX40" i="39"/>
  <c r="BW40" i="39"/>
  <c r="BV40" i="39"/>
  <c r="BB40" i="39"/>
  <c r="BA40" i="39"/>
  <c r="AZ40" i="39"/>
  <c r="AY40" i="39"/>
  <c r="AX40" i="39"/>
  <c r="AC36" i="39"/>
  <c r="AC40" i="39" s="1"/>
  <c r="AB40" i="39"/>
  <c r="AA40" i="39"/>
  <c r="Z36" i="39"/>
  <c r="Z40" i="39" s="1"/>
  <c r="Y40" i="39"/>
  <c r="AV40" i="39"/>
  <c r="AU36" i="39"/>
  <c r="AU40" i="39" s="1"/>
  <c r="AT36" i="39"/>
  <c r="AT40" i="39" s="1"/>
  <c r="AS36" i="39"/>
  <c r="AS40" i="39" s="1"/>
  <c r="AR36" i="39"/>
  <c r="AR40" i="39" s="1"/>
  <c r="AI36" i="39"/>
  <c r="AI40" i="39" s="1"/>
  <c r="AH36" i="39"/>
  <c r="AH40" i="39" s="1"/>
  <c r="AG36" i="39"/>
  <c r="AG40" i="39" s="1"/>
  <c r="AF36" i="39"/>
  <c r="AF40" i="39" s="1"/>
  <c r="AE36" i="39"/>
  <c r="AE40" i="39" s="1"/>
  <c r="AI22" i="39"/>
  <c r="AI26" i="39" s="1"/>
  <c r="AI29" i="39" s="1"/>
  <c r="AS22" i="39"/>
  <c r="AS26" i="39" s="1"/>
  <c r="AS29" i="39" s="1"/>
  <c r="AR22" i="39"/>
  <c r="AR26" i="39" s="1"/>
  <c r="AR29" i="39" s="1"/>
  <c r="K24" i="31"/>
  <c r="A1" i="39"/>
  <c r="AF22" i="39" l="1"/>
  <c r="AF26" i="39" s="1"/>
  <c r="AF29" i="39" s="1"/>
  <c r="U31" i="40"/>
  <c r="L46" i="31"/>
  <c r="I31" i="40"/>
  <c r="O31" i="40"/>
  <c r="L49" i="31"/>
  <c r="AE22" i="39"/>
  <c r="AE26" i="39" s="1"/>
  <c r="AE29" i="39" s="1"/>
  <c r="AO22" i="39"/>
  <c r="AO26" i="39" s="1"/>
  <c r="AO29" i="39" s="1"/>
  <c r="AO42" i="39" s="1"/>
  <c r="AT22" i="39"/>
  <c r="AT26" i="39" s="1"/>
  <c r="AT29" i="39" s="1"/>
  <c r="AT42" i="39" s="1"/>
  <c r="AM8" i="33"/>
  <c r="AM17" i="33"/>
  <c r="AM53" i="33" s="1"/>
  <c r="AL8" i="33"/>
  <c r="AL17" i="33"/>
  <c r="AL53" i="33" s="1"/>
  <c r="AN8" i="33"/>
  <c r="AN17" i="33"/>
  <c r="AN53" i="33" s="1"/>
  <c r="N42" i="40"/>
  <c r="O42" i="40"/>
  <c r="AN42" i="40"/>
  <c r="AL22" i="40"/>
  <c r="AL26" i="40" s="1"/>
  <c r="AL29" i="40" s="1"/>
  <c r="AL42" i="40" s="1"/>
  <c r="BJ22" i="40"/>
  <c r="BJ26" i="40" s="1"/>
  <c r="BJ29" i="40" s="1"/>
  <c r="BJ42" i="40" s="1"/>
  <c r="AM22" i="40"/>
  <c r="AM26" i="40" s="1"/>
  <c r="AM29" i="40" s="1"/>
  <c r="AM42" i="40" s="1"/>
  <c r="BK22" i="40"/>
  <c r="BK26" i="40" s="1"/>
  <c r="BK29" i="40" s="1"/>
  <c r="BK42" i="40" s="1"/>
  <c r="BQ22" i="40"/>
  <c r="BQ26" i="40" s="1"/>
  <c r="BQ29" i="40" s="1"/>
  <c r="BQ42" i="40" s="1"/>
  <c r="AS22" i="40"/>
  <c r="AS26" i="40" s="1"/>
  <c r="AS29" i="40" s="1"/>
  <c r="AS42" i="40" s="1"/>
  <c r="AT42" i="40"/>
  <c r="BP22" i="40"/>
  <c r="BP26" i="40" s="1"/>
  <c r="BP29" i="40" s="1"/>
  <c r="BP42" i="40" s="1"/>
  <c r="AU22" i="39"/>
  <c r="AU26" i="39" s="1"/>
  <c r="AU29" i="39" s="1"/>
  <c r="AH22" i="39"/>
  <c r="AH26" i="39" s="1"/>
  <c r="AH29" i="39" s="1"/>
  <c r="AH42" i="39" s="1"/>
  <c r="AV42" i="39"/>
  <c r="BA42" i="39"/>
  <c r="AC42" i="39"/>
  <c r="AZ22" i="39"/>
  <c r="AZ26" i="39" s="1"/>
  <c r="AZ29" i="39" s="1"/>
  <c r="AZ42" i="39" s="1"/>
  <c r="AL22" i="39"/>
  <c r="AL26" i="39" s="1"/>
  <c r="AL29" i="39" s="1"/>
  <c r="AM22" i="39"/>
  <c r="AM26" i="39" s="1"/>
  <c r="AM29" i="39" s="1"/>
  <c r="AM42" i="39" s="1"/>
  <c r="AA22" i="39"/>
  <c r="AA26" i="39" s="1"/>
  <c r="AA29" i="39" s="1"/>
  <c r="AA42" i="39" s="1"/>
  <c r="BB22" i="39"/>
  <c r="BB26" i="39" s="1"/>
  <c r="BB29" i="39" s="1"/>
  <c r="BB42" i="39" s="1"/>
  <c r="K23" i="31"/>
  <c r="AN26" i="39"/>
  <c r="AN29" i="39" s="1"/>
  <c r="AN42" i="39" s="1"/>
  <c r="BX42" i="39"/>
  <c r="Q42" i="40"/>
  <c r="K42" i="40"/>
  <c r="BG42" i="40"/>
  <c r="BY42" i="39"/>
  <c r="BZ42" i="39"/>
  <c r="AG42" i="39"/>
  <c r="AF42" i="39"/>
  <c r="BR42" i="40"/>
  <c r="BS42" i="40"/>
  <c r="AU42" i="40"/>
  <c r="AH42" i="40"/>
  <c r="AI42" i="40"/>
  <c r="AO42" i="40"/>
  <c r="T42" i="40"/>
  <c r="BL42" i="40"/>
  <c r="H42" i="40"/>
  <c r="I42" i="40"/>
  <c r="P42" i="40"/>
  <c r="J42" i="40"/>
  <c r="BF42" i="40"/>
  <c r="K25" i="31"/>
  <c r="K26" i="31"/>
  <c r="K29" i="31"/>
  <c r="Y26" i="39"/>
  <c r="Y29" i="39" s="1"/>
  <c r="AP42" i="39"/>
  <c r="AI42" i="39"/>
  <c r="Z42" i="39"/>
  <c r="AS42" i="39"/>
  <c r="BW42" i="39"/>
  <c r="AY42" i="39"/>
  <c r="S42" i="40"/>
  <c r="M42" i="40"/>
  <c r="G42" i="40"/>
  <c r="AR42" i="39"/>
  <c r="AB42" i="39"/>
  <c r="BV42" i="39"/>
  <c r="AX42" i="39"/>
  <c r="AU42" i="39"/>
  <c r="AN44" i="33" l="1"/>
  <c r="AN45" i="33" s="1"/>
  <c r="AL44" i="33"/>
  <c r="AL45" i="33" s="1"/>
  <c r="AM44" i="33"/>
  <c r="AM45" i="33" s="1"/>
  <c r="AG31" i="39"/>
  <c r="K48" i="31"/>
  <c r="AR22" i="40"/>
  <c r="AR26" i="40" s="1"/>
  <c r="AR29" i="40" s="1"/>
  <c r="AR42" i="40" s="1"/>
  <c r="AL42" i="39"/>
  <c r="AN31" i="39"/>
  <c r="AT31" i="39"/>
  <c r="AE42" i="39"/>
  <c r="AG44" i="39" s="1"/>
  <c r="Y42" i="39"/>
  <c r="AA31" i="39"/>
  <c r="AZ31" i="39"/>
  <c r="BC22" i="40"/>
  <c r="BC26" i="40" s="1"/>
  <c r="BC29" i="40" s="1"/>
  <c r="AE22" i="40"/>
  <c r="AE26" i="40" s="1"/>
  <c r="AE29" i="40" s="1"/>
  <c r="BD22" i="40"/>
  <c r="BD26" i="40" s="1"/>
  <c r="BD29" i="40" s="1"/>
  <c r="BD42" i="40" s="1"/>
  <c r="AF22" i="40"/>
  <c r="AF26" i="40" s="1"/>
  <c r="AF29" i="40" s="1"/>
  <c r="AF42" i="40" s="1"/>
  <c r="AK22" i="40"/>
  <c r="AK26" i="40" s="1"/>
  <c r="AK29" i="40" s="1"/>
  <c r="AM31" i="40" s="1"/>
  <c r="BI22" i="40"/>
  <c r="BI26" i="40" s="1"/>
  <c r="BI29" i="40" s="1"/>
  <c r="BK31" i="40" s="1"/>
  <c r="AG22" i="40"/>
  <c r="AG26" i="40" s="1"/>
  <c r="AG29" i="40" s="1"/>
  <c r="AG42" i="40" s="1"/>
  <c r="BE22" i="40"/>
  <c r="BE26" i="40" s="1"/>
  <c r="BE29" i="40" s="1"/>
  <c r="BE42" i="40" s="1"/>
  <c r="O44" i="40"/>
  <c r="O52" i="40" s="1"/>
  <c r="O55" i="40" s="1"/>
  <c r="BO22" i="40"/>
  <c r="BO26" i="40" s="1"/>
  <c r="BO29" i="40" s="1"/>
  <c r="AQ22" i="40"/>
  <c r="AQ26" i="40" s="1"/>
  <c r="AQ29" i="40" s="1"/>
  <c r="U44" i="40"/>
  <c r="U52" i="40" s="1"/>
  <c r="U55" i="40" s="1"/>
  <c r="U58" i="40" s="1"/>
  <c r="W7" i="33" s="1"/>
  <c r="W17" i="33" s="1"/>
  <c r="I44" i="40"/>
  <c r="I52" i="40" s="1"/>
  <c r="I55" i="40" s="1"/>
  <c r="I58" i="40" s="1"/>
  <c r="W6" i="33" s="1"/>
  <c r="BX44" i="39"/>
  <c r="AZ44" i="39"/>
  <c r="AA44" i="39"/>
  <c r="AN44" i="39"/>
  <c r="AT44" i="39"/>
  <c r="AQ42" i="40" l="1"/>
  <c r="AS44" i="40" s="1"/>
  <c r="AS52" i="40" s="1"/>
  <c r="AS55" i="40" s="1"/>
  <c r="AS58" i="40" s="1"/>
  <c r="X7" i="33" s="1"/>
  <c r="X17" i="33" s="1"/>
  <c r="AM16" i="33" s="1"/>
  <c r="AM52" i="33" s="1"/>
  <c r="AS31" i="40"/>
  <c r="BO42" i="40"/>
  <c r="BQ44" i="40" s="1"/>
  <c r="BQ52" i="40" s="1"/>
  <c r="BQ55" i="40" s="1"/>
  <c r="BQ58" i="40" s="1"/>
  <c r="Y7" i="33" s="1"/>
  <c r="Y17" i="33" s="1"/>
  <c r="BQ31" i="40"/>
  <c r="AG31" i="40"/>
  <c r="BE31" i="40"/>
  <c r="O58" i="40"/>
  <c r="W9" i="33" s="1"/>
  <c r="W16" i="33" s="1"/>
  <c r="BI42" i="40"/>
  <c r="BK44" i="40" s="1"/>
  <c r="BK52" i="40" s="1"/>
  <c r="BK55" i="40" s="1"/>
  <c r="AK42" i="40"/>
  <c r="AM44" i="40" s="1"/>
  <c r="AM52" i="40" s="1"/>
  <c r="AM55" i="40" s="1"/>
  <c r="AE42" i="40"/>
  <c r="AG44" i="40" s="1"/>
  <c r="AG52" i="40" s="1"/>
  <c r="AG55" i="40" s="1"/>
  <c r="BC42" i="40"/>
  <c r="BE44" i="40" s="1"/>
  <c r="BE52" i="40" s="1"/>
  <c r="BE55" i="40" s="1"/>
  <c r="AN51" i="39"/>
  <c r="AN54" i="39" s="1"/>
  <c r="AN57" i="39" s="1"/>
  <c r="AA51" i="39"/>
  <c r="AA54" i="39" s="1"/>
  <c r="AA57" i="39" s="1"/>
  <c r="BX51" i="39"/>
  <c r="BX54" i="39" s="1"/>
  <c r="BX57" i="39" s="1"/>
  <c r="AT51" i="39"/>
  <c r="AT54" i="39" s="1"/>
  <c r="AT57" i="39" s="1"/>
  <c r="AG51" i="39"/>
  <c r="AG54" i="39" s="1"/>
  <c r="AG57" i="39" s="1"/>
  <c r="AZ51" i="39"/>
  <c r="AZ54" i="39" s="1"/>
  <c r="AZ57" i="39" s="1"/>
  <c r="AL16" i="33"/>
  <c r="AL52" i="33" s="1"/>
  <c r="AL7" i="33"/>
  <c r="AL43" i="33" s="1"/>
  <c r="AM7" i="33" l="1"/>
  <c r="AM43" i="33" s="1"/>
  <c r="AM58" i="40"/>
  <c r="X9" i="33" s="1"/>
  <c r="AG58" i="40"/>
  <c r="X6" i="33" s="1"/>
  <c r="BE58" i="40"/>
  <c r="Y6" i="33" s="1"/>
  <c r="BK58" i="40"/>
  <c r="Y9" i="33" s="1"/>
  <c r="T6" i="33"/>
  <c r="S8" i="33"/>
  <c r="T7" i="33"/>
  <c r="T17" i="33" s="1"/>
  <c r="AJ16" i="33" s="1"/>
  <c r="AJ52" i="33" s="1"/>
  <c r="T9" i="33"/>
  <c r="AL10" i="33"/>
  <c r="AL6" i="33"/>
  <c r="AN16" i="33"/>
  <c r="AN52" i="33" s="1"/>
  <c r="AN7" i="33"/>
  <c r="AN43" i="33" s="1"/>
  <c r="AL15" i="33"/>
  <c r="AL51" i="33" s="1"/>
  <c r="AL42" i="33" l="1"/>
  <c r="AL46" i="33" s="1"/>
  <c r="X16" i="33"/>
  <c r="J44" i="33" s="1"/>
  <c r="S16" i="33"/>
  <c r="AI15" i="33" s="1"/>
  <c r="AI51" i="33" s="1"/>
  <c r="S19" i="33"/>
  <c r="AI17" i="33" s="1"/>
  <c r="AI53" i="33" s="1"/>
  <c r="T8" i="33"/>
  <c r="U8" i="33"/>
  <c r="Y16" i="33"/>
  <c r="AJ7" i="33"/>
  <c r="AJ43" i="33" s="1"/>
  <c r="Q19" i="33"/>
  <c r="P19" i="33"/>
  <c r="AG15" i="37"/>
  <c r="AF15" i="37"/>
  <c r="AF20" i="37" s="1"/>
  <c r="AF24" i="37" s="1"/>
  <c r="AF27" i="37" s="1"/>
  <c r="AE15" i="37"/>
  <c r="J35" i="31"/>
  <c r="J43" i="31"/>
  <c r="J42" i="31"/>
  <c r="J17" i="31"/>
  <c r="J16" i="31"/>
  <c r="J47" i="31" s="1"/>
  <c r="J9" i="31"/>
  <c r="AE20" i="37"/>
  <c r="AE24" i="37" s="1"/>
  <c r="AE27" i="37" s="1"/>
  <c r="F53" i="37"/>
  <c r="Y38" i="37"/>
  <c r="AG38" i="37"/>
  <c r="Q38" i="37"/>
  <c r="I38" i="37"/>
  <c r="X34" i="37"/>
  <c r="X38" i="37" s="1"/>
  <c r="W34" i="37"/>
  <c r="W38" i="37" s="1"/>
  <c r="AF34" i="37"/>
  <c r="AF38" i="37" s="1"/>
  <c r="AE34" i="37"/>
  <c r="AE38" i="37" s="1"/>
  <c r="P34" i="37"/>
  <c r="P38" i="37" s="1"/>
  <c r="O34" i="37"/>
  <c r="O38" i="37" s="1"/>
  <c r="H34" i="37"/>
  <c r="H38" i="37" s="1"/>
  <c r="G34" i="37"/>
  <c r="G38" i="37" s="1"/>
  <c r="W20" i="37"/>
  <c r="W24" i="37" s="1"/>
  <c r="W27" i="37" s="1"/>
  <c r="AG20" i="37"/>
  <c r="AG24" i="37" s="1"/>
  <c r="AG27" i="37" s="1"/>
  <c r="I20" i="37"/>
  <c r="I24" i="37" s="1"/>
  <c r="I27" i="37" s="1"/>
  <c r="Y20" i="37"/>
  <c r="Y24" i="37" s="1"/>
  <c r="Y27" i="37" s="1"/>
  <c r="X20" i="37"/>
  <c r="X24" i="37" s="1"/>
  <c r="X27" i="37" s="1"/>
  <c r="Q24" i="37"/>
  <c r="Q27" i="37" s="1"/>
  <c r="P15" i="37"/>
  <c r="P20" i="37" s="1"/>
  <c r="P24" i="37" s="1"/>
  <c r="P27" i="37" s="1"/>
  <c r="O15" i="37"/>
  <c r="O20" i="37" s="1"/>
  <c r="O24" i="37" s="1"/>
  <c r="O27" i="37" s="1"/>
  <c r="H15" i="37"/>
  <c r="H20" i="37" s="1"/>
  <c r="H24" i="37" s="1"/>
  <c r="H27" i="37" s="1"/>
  <c r="G15" i="37"/>
  <c r="G20" i="37" s="1"/>
  <c r="G24" i="37" s="1"/>
  <c r="G27" i="37" s="1"/>
  <c r="A1" i="37"/>
  <c r="G38" i="31"/>
  <c r="G37" i="31"/>
  <c r="G36" i="31"/>
  <c r="G34" i="31"/>
  <c r="G49" i="31" s="1"/>
  <c r="G12" i="31"/>
  <c r="G10" i="31"/>
  <c r="G9" i="31"/>
  <c r="AW38" i="34"/>
  <c r="AW42" i="34" s="1"/>
  <c r="AW15" i="34"/>
  <c r="AW20" i="34" s="1"/>
  <c r="AW24" i="34" s="1"/>
  <c r="AW27" i="34" s="1"/>
  <c r="AW30" i="34" s="1"/>
  <c r="BA42" i="34"/>
  <c r="AZ42" i="34"/>
  <c r="AY42" i="34"/>
  <c r="AX42" i="34"/>
  <c r="AO38" i="34"/>
  <c r="AO42" i="34" s="1"/>
  <c r="AN38" i="34"/>
  <c r="AN42" i="34" s="1"/>
  <c r="AL38" i="34"/>
  <c r="AL42" i="34" s="1"/>
  <c r="AH38" i="34"/>
  <c r="AH42" i="34" s="1"/>
  <c r="AG38" i="34"/>
  <c r="AG42" i="34" s="1"/>
  <c r="AF38" i="34"/>
  <c r="AF42" i="34" s="1"/>
  <c r="V38" i="34"/>
  <c r="V42" i="34" s="1"/>
  <c r="U38" i="34"/>
  <c r="U42" i="34" s="1"/>
  <c r="T38" i="34"/>
  <c r="T42" i="34" s="1"/>
  <c r="S38" i="34"/>
  <c r="K38" i="34"/>
  <c r="K42" i="34" s="1"/>
  <c r="H38" i="34"/>
  <c r="H42" i="34" s="1"/>
  <c r="AM42" i="34"/>
  <c r="AK42" i="34"/>
  <c r="AI42" i="34"/>
  <c r="AE42" i="34"/>
  <c r="S42" i="34"/>
  <c r="J42" i="34"/>
  <c r="I42" i="34"/>
  <c r="G42" i="34"/>
  <c r="BA24" i="34"/>
  <c r="BA27" i="34" s="1"/>
  <c r="BA30" i="34" s="1"/>
  <c r="BA33" i="34" s="1"/>
  <c r="AZ24" i="34"/>
  <c r="AZ27" i="34" s="1"/>
  <c r="AZ30" i="34" s="1"/>
  <c r="AZ33" i="34" s="1"/>
  <c r="AY24" i="34"/>
  <c r="AY27" i="34" s="1"/>
  <c r="AY30" i="34" s="1"/>
  <c r="AY33" i="34" s="1"/>
  <c r="AX24" i="34"/>
  <c r="AX27" i="34" s="1"/>
  <c r="AX30" i="34" s="1"/>
  <c r="AX33" i="34" s="1"/>
  <c r="AO20" i="34"/>
  <c r="AO24" i="34" s="1"/>
  <c r="AO27" i="34" s="1"/>
  <c r="AO30" i="34" s="1"/>
  <c r="AO33" i="34" s="1"/>
  <c r="AM20" i="34"/>
  <c r="AM24" i="34" s="1"/>
  <c r="AM27" i="34" s="1"/>
  <c r="AM30" i="34" s="1"/>
  <c r="AM33" i="34" s="1"/>
  <c r="AI20" i="34"/>
  <c r="AI24" i="34" s="1"/>
  <c r="AI27" i="34" s="1"/>
  <c r="AI30" i="34" s="1"/>
  <c r="AI33" i="34" s="1"/>
  <c r="W20" i="34"/>
  <c r="W24" i="34" s="1"/>
  <c r="W27" i="34" s="1"/>
  <c r="W30" i="34" s="1"/>
  <c r="W33" i="34" s="1"/>
  <c r="AN15" i="34"/>
  <c r="AN20" i="34" s="1"/>
  <c r="AN24" i="34" s="1"/>
  <c r="AN27" i="34" s="1"/>
  <c r="AN30" i="34" s="1"/>
  <c r="AN33" i="34" s="1"/>
  <c r="AL15" i="34"/>
  <c r="AL20" i="34" s="1"/>
  <c r="AL24" i="34" s="1"/>
  <c r="AL27" i="34" s="1"/>
  <c r="AL30" i="34" s="1"/>
  <c r="AL33" i="34" s="1"/>
  <c r="AK20" i="34"/>
  <c r="AK24" i="34" s="1"/>
  <c r="AK27" i="34" s="1"/>
  <c r="AK30" i="34" s="1"/>
  <c r="AH15" i="34"/>
  <c r="AH20" i="34" s="1"/>
  <c r="AH24" i="34" s="1"/>
  <c r="AH27" i="34" s="1"/>
  <c r="AH30" i="34" s="1"/>
  <c r="AH33" i="34" s="1"/>
  <c r="AG15" i="34"/>
  <c r="AG20" i="34" s="1"/>
  <c r="AG24" i="34" s="1"/>
  <c r="AG27" i="34" s="1"/>
  <c r="AG30" i="34" s="1"/>
  <c r="AG33" i="34" s="1"/>
  <c r="AF15" i="34"/>
  <c r="AF20" i="34" s="1"/>
  <c r="AF24" i="34" s="1"/>
  <c r="AF27" i="34" s="1"/>
  <c r="AF30" i="34" s="1"/>
  <c r="AF33" i="34" s="1"/>
  <c r="AE20" i="34"/>
  <c r="V15" i="34"/>
  <c r="V20" i="34" s="1"/>
  <c r="V24" i="34" s="1"/>
  <c r="V27" i="34" s="1"/>
  <c r="V30" i="34" s="1"/>
  <c r="V33" i="34" s="1"/>
  <c r="U15" i="34"/>
  <c r="U20" i="34" s="1"/>
  <c r="U24" i="34" s="1"/>
  <c r="U27" i="34" s="1"/>
  <c r="U30" i="34" s="1"/>
  <c r="U33" i="34" s="1"/>
  <c r="T15" i="34"/>
  <c r="T20" i="34" s="1"/>
  <c r="T24" i="34" s="1"/>
  <c r="T27" i="34" s="1"/>
  <c r="T30" i="34" s="1"/>
  <c r="T33" i="34" s="1"/>
  <c r="S15" i="34"/>
  <c r="S20" i="34" s="1"/>
  <c r="S24" i="34" s="1"/>
  <c r="S27" i="34" s="1"/>
  <c r="S30" i="34" s="1"/>
  <c r="K15" i="34"/>
  <c r="K20" i="34" s="1"/>
  <c r="K24" i="34" s="1"/>
  <c r="K27" i="34" s="1"/>
  <c r="K30" i="34" s="1"/>
  <c r="K33" i="34" s="1"/>
  <c r="J20" i="34"/>
  <c r="J24" i="34" s="1"/>
  <c r="J27" i="34" s="1"/>
  <c r="J30" i="34" s="1"/>
  <c r="J33" i="34" s="1"/>
  <c r="I20" i="34"/>
  <c r="I24" i="34" s="1"/>
  <c r="I27" i="34" s="1"/>
  <c r="I30" i="34" s="1"/>
  <c r="I33" i="34" s="1"/>
  <c r="H15" i="34"/>
  <c r="H20" i="34" s="1"/>
  <c r="H24" i="34" s="1"/>
  <c r="H27" i="34" s="1"/>
  <c r="H30" i="34" s="1"/>
  <c r="H33" i="34" s="1"/>
  <c r="G20" i="34"/>
  <c r="G24" i="34" s="1"/>
  <c r="G27" i="34" s="1"/>
  <c r="G30" i="34" s="1"/>
  <c r="F43" i="31"/>
  <c r="F38" i="31"/>
  <c r="F36" i="31"/>
  <c r="F35" i="31"/>
  <c r="F34" i="31"/>
  <c r="F49" i="31" s="1"/>
  <c r="F29" i="31"/>
  <c r="G29" i="31" s="1"/>
  <c r="F28" i="31"/>
  <c r="G28" i="31" s="1"/>
  <c r="F27" i="31"/>
  <c r="F20" i="31"/>
  <c r="F17" i="31"/>
  <c r="F16" i="31"/>
  <c r="F15" i="31"/>
  <c r="F12" i="31"/>
  <c r="F9" i="31"/>
  <c r="F8" i="31"/>
  <c r="A1" i="34"/>
  <c r="J42" i="33" l="1"/>
  <c r="AM15" i="33"/>
  <c r="AM51" i="33" s="1"/>
  <c r="AM6" i="33"/>
  <c r="AM10" i="33"/>
  <c r="J43" i="33"/>
  <c r="F47" i="31"/>
  <c r="AX44" i="34"/>
  <c r="G46" i="31"/>
  <c r="G43" i="31"/>
  <c r="G50" i="31" s="1"/>
  <c r="F50" i="31"/>
  <c r="G27" i="31"/>
  <c r="G48" i="31" s="1"/>
  <c r="F48" i="31"/>
  <c r="F46" i="31"/>
  <c r="U16" i="33"/>
  <c r="I44" i="33" s="1"/>
  <c r="U19" i="33"/>
  <c r="T16" i="33"/>
  <c r="T19" i="33"/>
  <c r="P29" i="37"/>
  <c r="H29" i="37"/>
  <c r="J8" i="31"/>
  <c r="J46" i="31" s="1"/>
  <c r="X29" i="37"/>
  <c r="J34" i="31"/>
  <c r="J49" i="31" s="1"/>
  <c r="Q40" i="37"/>
  <c r="J41" i="31"/>
  <c r="J50" i="31" s="1"/>
  <c r="AF29" i="37"/>
  <c r="P40" i="37"/>
  <c r="AY44" i="34"/>
  <c r="BA44" i="34"/>
  <c r="I44" i="34"/>
  <c r="AZ44" i="34"/>
  <c r="J45" i="33"/>
  <c r="AN10" i="33"/>
  <c r="AN6" i="33"/>
  <c r="AN15" i="33"/>
  <c r="AN51" i="33" s="1"/>
  <c r="X40" i="37"/>
  <c r="K44" i="34"/>
  <c r="Y40" i="37"/>
  <c r="AG40" i="37"/>
  <c r="AF40" i="37"/>
  <c r="AH44" i="34"/>
  <c r="U44" i="34"/>
  <c r="H40" i="37"/>
  <c r="I40" i="37"/>
  <c r="Q6" i="33"/>
  <c r="O40" i="37"/>
  <c r="AE40" i="37"/>
  <c r="W40" i="37"/>
  <c r="G40" i="37"/>
  <c r="AF44" i="34"/>
  <c r="J44" i="34"/>
  <c r="AL44" i="34"/>
  <c r="AO44" i="34"/>
  <c r="V44" i="34"/>
  <c r="AN44" i="34"/>
  <c r="H44" i="34"/>
  <c r="G33" i="34"/>
  <c r="AE24" i="34"/>
  <c r="AE27" i="34" s="1"/>
  <c r="AE30" i="34" s="1"/>
  <c r="S33" i="34"/>
  <c r="AG44" i="34"/>
  <c r="W44" i="34"/>
  <c r="AK33" i="34"/>
  <c r="AI44" i="34"/>
  <c r="AW33" i="34"/>
  <c r="T44" i="34"/>
  <c r="AM44" i="34"/>
  <c r="AM42" i="33" l="1"/>
  <c r="AM46" i="33" s="1"/>
  <c r="AN42" i="33"/>
  <c r="AN46" i="33" s="1"/>
  <c r="AJ8" i="33"/>
  <c r="AJ9" i="33"/>
  <c r="AK17" i="33"/>
  <c r="AK53" i="33" s="1"/>
  <c r="AK9" i="33"/>
  <c r="AK6" i="33"/>
  <c r="I43" i="33"/>
  <c r="K43" i="33" s="1"/>
  <c r="N43" i="33" s="1"/>
  <c r="P43" i="33" s="1"/>
  <c r="AK15" i="33"/>
  <c r="AK51" i="33" s="1"/>
  <c r="AJ15" i="33"/>
  <c r="AJ51" i="33" s="1"/>
  <c r="I45" i="33"/>
  <c r="K45" i="33" s="1"/>
  <c r="N45" i="33" s="1"/>
  <c r="P45" i="33" s="1"/>
  <c r="I42" i="33"/>
  <c r="K42" i="33" s="1"/>
  <c r="N42" i="33" s="1"/>
  <c r="P42" i="33" s="1"/>
  <c r="AJ10" i="33"/>
  <c r="AK8" i="33"/>
  <c r="K44" i="33"/>
  <c r="N44" i="33" s="1"/>
  <c r="P44" i="33" s="1"/>
  <c r="AJ17" i="33"/>
  <c r="AJ53" i="33" s="1"/>
  <c r="AJ6" i="33"/>
  <c r="P42" i="37"/>
  <c r="Q7" i="33"/>
  <c r="Q17" i="33" s="1"/>
  <c r="AH16" i="33" s="1"/>
  <c r="AH52" i="33" s="1"/>
  <c r="H42" i="37"/>
  <c r="X42" i="37"/>
  <c r="AF42" i="37"/>
  <c r="Q10" i="33"/>
  <c r="Q18" i="33" s="1"/>
  <c r="AH21" i="33" s="1"/>
  <c r="AH57" i="33" s="1"/>
  <c r="Q9" i="33"/>
  <c r="Q16" i="33" s="1"/>
  <c r="AW44" i="34"/>
  <c r="AY46" i="34" s="1"/>
  <c r="S44" i="34"/>
  <c r="U46" i="34" s="1"/>
  <c r="AK44" i="34"/>
  <c r="AM46" i="34" s="1"/>
  <c r="AE33" i="34"/>
  <c r="G44" i="34"/>
  <c r="I46" i="34" s="1"/>
  <c r="AJ44" i="33" l="1"/>
  <c r="AJ45" i="33" s="1"/>
  <c r="AK44" i="33"/>
  <c r="AK45" i="33" s="1"/>
  <c r="AJ42" i="33"/>
  <c r="AJ46" i="33" s="1"/>
  <c r="AK42" i="33"/>
  <c r="AK46" i="33" s="1"/>
  <c r="AK10" i="33"/>
  <c r="H10" i="33"/>
  <c r="H18" i="33" s="1"/>
  <c r="I10" i="33"/>
  <c r="K10" i="33"/>
  <c r="K18" i="33" s="1"/>
  <c r="AF21" i="33" s="1"/>
  <c r="AF57" i="33" s="1"/>
  <c r="AH20" i="33"/>
  <c r="AH56" i="33" s="1"/>
  <c r="AH7" i="33"/>
  <c r="AH43" i="33" s="1"/>
  <c r="X50" i="37"/>
  <c r="X53" i="37" s="1"/>
  <c r="X56" i="37" s="1"/>
  <c r="P9" i="33" s="1"/>
  <c r="H50" i="37"/>
  <c r="H53" i="37" s="1"/>
  <c r="H56" i="37" s="1"/>
  <c r="P6" i="33" s="1"/>
  <c r="AF50" i="37"/>
  <c r="AF53" i="37" s="1"/>
  <c r="AF56" i="37" s="1"/>
  <c r="P10" i="33" s="1"/>
  <c r="P50" i="37"/>
  <c r="P53" i="37" s="1"/>
  <c r="P56" i="37" s="1"/>
  <c r="P7" i="33" s="1"/>
  <c r="P17" i="33" s="1"/>
  <c r="I7" i="33"/>
  <c r="I17" i="33" s="1"/>
  <c r="H7" i="33"/>
  <c r="H17" i="33" s="1"/>
  <c r="I6" i="33"/>
  <c r="H9" i="33"/>
  <c r="H6" i="33"/>
  <c r="AH19" i="33"/>
  <c r="AH55" i="33" s="1"/>
  <c r="AH15" i="33"/>
  <c r="AH51" i="33" s="1"/>
  <c r="AH6" i="33"/>
  <c r="AH10" i="33"/>
  <c r="AH9" i="33"/>
  <c r="AE44" i="34"/>
  <c r="AG46" i="34" s="1"/>
  <c r="H16" i="33" l="1"/>
  <c r="AH42" i="33"/>
  <c r="AH46" i="33" s="1"/>
  <c r="P16" i="33"/>
  <c r="AG19" i="33" s="1"/>
  <c r="AG55" i="33" s="1"/>
  <c r="AG20" i="33"/>
  <c r="AG56" i="33" s="1"/>
  <c r="AG7" i="33"/>
  <c r="AG43" i="33" s="1"/>
  <c r="AG16" i="33"/>
  <c r="AG52" i="33" s="1"/>
  <c r="P18" i="33"/>
  <c r="AG21" i="33" s="1"/>
  <c r="AG57" i="33" s="1"/>
  <c r="K7" i="33"/>
  <c r="K17" i="33" s="1"/>
  <c r="AF20" i="33" s="1"/>
  <c r="AF56" i="33" s="1"/>
  <c r="K8" i="33"/>
  <c r="K19" i="33" s="1"/>
  <c r="AF22" i="33" s="1"/>
  <c r="AF58" i="33" s="1"/>
  <c r="I9" i="33"/>
  <c r="K9" i="33" s="1"/>
  <c r="K6" i="33"/>
  <c r="AH8" i="33"/>
  <c r="AH17" i="33"/>
  <c r="AH53" i="33" s="1"/>
  <c r="AG6" i="33"/>
  <c r="AG10" i="33"/>
  <c r="AG15" i="33"/>
  <c r="AG51" i="33" s="1"/>
  <c r="AG9" i="33"/>
  <c r="AG42" i="33" l="1"/>
  <c r="AG46" i="33" s="1"/>
  <c r="AH44" i="33"/>
  <c r="AH45" i="33" s="1"/>
  <c r="K16" i="33"/>
  <c r="AF19" i="33" s="1"/>
  <c r="AF55" i="33" s="1"/>
  <c r="I16" i="33"/>
  <c r="AG8" i="33"/>
  <c r="AG17" i="33"/>
  <c r="AG53" i="33" s="1"/>
  <c r="AG44" i="33" l="1"/>
  <c r="AG45" i="33" s="1"/>
  <c r="A1" i="33"/>
  <c r="A1" i="31" l="1"/>
  <c r="M29" i="31" l="1"/>
  <c r="M28" i="31"/>
  <c r="M27" i="31"/>
  <c r="M26" i="31"/>
  <c r="M11" i="31"/>
  <c r="M12" i="31"/>
  <c r="M9" i="31"/>
  <c r="M7" i="31"/>
  <c r="M15" i="31" l="1"/>
  <c r="M16" i="31"/>
  <c r="N16" i="31"/>
  <c r="N17" i="31"/>
  <c r="A1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Karin Bongers</author>
  </authors>
  <commentList>
    <comment ref="E9" authorId="0" shapeId="0" xr:uid="{C3891DEC-5530-4B3C-B53A-8480764FCD1D}">
      <text>
        <r>
          <rPr>
            <sz val="9"/>
            <color indexed="81"/>
            <rFont val="Tahoma"/>
            <family val="2"/>
          </rPr>
          <t>Doelgroep, activiteit</t>
        </r>
      </text>
    </comment>
    <comment ref="E15" authorId="0" shapeId="0" xr:uid="{8D627C6E-F625-4AFD-8F6E-E0EC42EB4265}">
      <text>
        <r>
          <rPr>
            <sz val="9"/>
            <color indexed="81"/>
            <rFont val="Tahoma"/>
            <family val="2"/>
          </rPr>
          <t>Zie tabblad 'Invulhulp - Cao's 2020' met een overzicht van de Cao's incl. de maximaal bruto maandsalarissen per trede</t>
        </r>
      </text>
    </comment>
    <comment ref="E18" authorId="0" shapeId="0" xr:uid="{17DDA751-432B-45ED-824B-4A384B3059B6}">
      <text>
        <r>
          <rPr>
            <sz val="9"/>
            <color indexed="81"/>
            <rFont val="Tahoma"/>
            <family val="2"/>
          </rPr>
          <t xml:space="preserve">cf. cao, indien anders graag opmerking plaatsen in kolom U
</t>
        </r>
      </text>
    </comment>
    <comment ref="E19" authorId="0" shapeId="0" xr:uid="{4EA772BD-9FCD-42C4-9542-2A4C639960E7}">
      <text>
        <r>
          <rPr>
            <sz val="9"/>
            <color indexed="81"/>
            <rFont val="Tahoma"/>
            <family val="2"/>
          </rPr>
          <t>Hoogte cf. cao. Qua berekening zijn er verschillen tussen cao's over de basis (sommige incl. en sommige excl. vakantietoeslag). Graag in kolom F kiezen welke voor uw organsatie/cao van toepassing is</t>
        </r>
      </text>
    </comment>
    <comment ref="E29" authorId="0" shapeId="0" xr:uid="{FF87B7BC-CF92-456A-91D4-E1BF286C4FBC}">
      <text>
        <r>
          <rPr>
            <sz val="9"/>
            <color indexed="81"/>
            <rFont val="Tahoma"/>
            <family val="2"/>
          </rPr>
          <t xml:space="preserve">Twee componenten:
1). Personele overhead is het geheel van functies dat sturend en ondersteunend is aan het primaire proces, waaronder leidinggevenden, zorgstaf, RvB/directie, directiesecretariaat, beleidsmedewerkers, medewerkers innovatie, medewerkers kwaliteit, P&amp;O, salaris- en financiele administratie, etc.
2). Niet personele overhead (veelal materieel), waaronder kantoorbenodigdheden,telefonie, belastingen, verzekeringen, automatiseringskosten, rente, afschrijving, huur, leasing, etc.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Karin Bongers</author>
  </authors>
  <commentList>
    <comment ref="E9" authorId="0" shapeId="0" xr:uid="{2F3E34FE-5DFC-4693-AFBF-D57BA9933D8F}">
      <text>
        <r>
          <rPr>
            <sz val="9"/>
            <color indexed="81"/>
            <rFont val="Tahoma"/>
            <family val="2"/>
          </rPr>
          <t>Doelgroep, activiteit</t>
        </r>
      </text>
    </comment>
    <comment ref="E15" authorId="0" shapeId="0" xr:uid="{68EDF655-E7F3-4F80-AD3D-A40976BB88CF}">
      <text>
        <r>
          <rPr>
            <sz val="9"/>
            <color indexed="81"/>
            <rFont val="Tahoma"/>
            <family val="2"/>
          </rPr>
          <t>Zie tabblad 'Invulhulp - Cao's 2020' met een overzicht van de Cao's incl. de maximaal bruto maandsalarissen per trede</t>
        </r>
      </text>
    </comment>
    <comment ref="E18" authorId="0" shapeId="0" xr:uid="{D7215972-D0A9-475F-894B-2D81988E04E5}">
      <text>
        <r>
          <rPr>
            <sz val="9"/>
            <color indexed="81"/>
            <rFont val="Tahoma"/>
            <family val="2"/>
          </rPr>
          <t xml:space="preserve">cf. cao, indien anders graag opmerking plaatsen in kolom U
</t>
        </r>
      </text>
    </comment>
    <comment ref="E19" authorId="0" shapeId="0" xr:uid="{4CBB716D-AC85-4C2A-93F1-849A3E49AA66}">
      <text>
        <r>
          <rPr>
            <sz val="9"/>
            <color indexed="81"/>
            <rFont val="Tahoma"/>
            <family val="2"/>
          </rPr>
          <t>Hoogte cf. cao. Qua berekening zijn er verschillen tussen cao's over de basis (sommige incl. en sommige excl. vakantietoeslag). Graag in kolom F kiezen welke voor uw organsatie/cao van toepassing is</t>
        </r>
      </text>
    </comment>
    <comment ref="E29" authorId="0" shapeId="0" xr:uid="{1B0716E1-50F3-4774-BED9-11F5591A76BC}">
      <text>
        <r>
          <rPr>
            <sz val="9"/>
            <color indexed="81"/>
            <rFont val="Tahoma"/>
            <family val="2"/>
          </rPr>
          <t xml:space="preserve">Twee componenten:
1). Personele overhead is het geheel van functies dat sturend en ondersteunend is aan het primaire proces, waaronder leidinggevenden, zorgstaf, RvB/directie, directiesecretariaat, beleidsmedewerkers, medewerkers innovatie, medewerkers kwaliteit, P&amp;O, salaris- en financiele administratie, etc.
2). Niet personele overhead (veelal materieel), waaronder kantoorbenodigdheden,telefonie, belastingen, verzekeringen, automatiseringskosten, rente, afschrijving, huur, leasing, etc.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Karin Bongers</author>
  </authors>
  <commentList>
    <comment ref="E9" authorId="0" shapeId="0" xr:uid="{050BC521-9643-4272-9C2F-6E3DB2AA4E3E}">
      <text>
        <r>
          <rPr>
            <sz val="9"/>
            <color indexed="81"/>
            <rFont val="Tahoma"/>
            <family val="2"/>
          </rPr>
          <t>Doelgroep, activiteit</t>
        </r>
      </text>
    </comment>
    <comment ref="E15" authorId="0" shapeId="0" xr:uid="{C22B2171-3163-4FED-AC4E-D87145BADCDD}">
      <text>
        <r>
          <rPr>
            <sz val="9"/>
            <color indexed="81"/>
            <rFont val="Tahoma"/>
            <family val="2"/>
          </rPr>
          <t>Zie tabblad 'Invulhulp - Cao's 2020' met een overzicht van de Cao's incl. de maximaal bruto maandsalarissen per trede</t>
        </r>
      </text>
    </comment>
    <comment ref="E18" authorId="0" shapeId="0" xr:uid="{BAA225D2-C90F-47F3-B675-389F9F4C88FE}">
      <text>
        <r>
          <rPr>
            <sz val="9"/>
            <color indexed="81"/>
            <rFont val="Tahoma"/>
            <family val="2"/>
          </rPr>
          <t xml:space="preserve">cf. cao, indien anders graag opmerking plaatsen in kolom U
</t>
        </r>
      </text>
    </comment>
    <comment ref="E19" authorId="0" shapeId="0" xr:uid="{43C35803-5B29-4FB5-98CC-748C3D4B436D}">
      <text>
        <r>
          <rPr>
            <sz val="9"/>
            <color indexed="81"/>
            <rFont val="Tahoma"/>
            <family val="2"/>
          </rPr>
          <t>Hoogte cf. cao. Qua berekening zijn er verschillen tussen cao's over de basis (sommige incl. en sommige excl. vakantietoeslag). Graag in kolom F kiezen welke voor uw organsatie/cao van toepassing is</t>
        </r>
      </text>
    </comment>
    <comment ref="H42" authorId="0" shapeId="0" xr:uid="{CF0C3C23-EAFD-43CD-824C-99EF54467DA3}">
      <text>
        <r>
          <rPr>
            <sz val="9"/>
            <color indexed="81"/>
            <rFont val="Tahoma"/>
            <family val="2"/>
          </rPr>
          <t>EUR / productief uur / medewerker
EUR / dagdeel / cliënt volgt hieronder</t>
        </r>
      </text>
    </comment>
    <comment ref="L42" authorId="0" shapeId="0" xr:uid="{FA583B1C-0BC4-4C43-AE6E-181273DF9665}">
      <text>
        <r>
          <rPr>
            <sz val="9"/>
            <color indexed="81"/>
            <rFont val="Tahoma"/>
            <family val="2"/>
          </rPr>
          <t>EUR / productief uur / medewerker
EUR / dagdeel / cliënt volgt hieronder</t>
        </r>
      </text>
    </comment>
    <comment ref="P42" authorId="0" shapeId="0" xr:uid="{0506D85D-EB8E-47B1-9608-43F433205140}">
      <text>
        <r>
          <rPr>
            <sz val="9"/>
            <color indexed="81"/>
            <rFont val="Tahoma"/>
            <family val="2"/>
          </rPr>
          <t>EUR / productief uur / medewerker
EUR / dagdeel / cliënt volgt hieronder</t>
        </r>
      </text>
    </comment>
    <comment ref="T42" authorId="0" shapeId="0" xr:uid="{EAD626FA-BFC0-4E18-ACFB-F64043CFCEFC}">
      <text>
        <r>
          <rPr>
            <sz val="9"/>
            <color indexed="81"/>
            <rFont val="Tahoma"/>
            <family val="2"/>
          </rPr>
          <t>EUR / productief uur / medewerker
EUR / dagdeel / cliënt volgt hieronder</t>
        </r>
      </text>
    </comment>
    <comment ref="X42" authorId="0" shapeId="0" xr:uid="{C371ECD0-3F42-4C94-9D7A-47A6434BED1C}">
      <text>
        <r>
          <rPr>
            <sz val="9"/>
            <color indexed="81"/>
            <rFont val="Tahoma"/>
            <family val="2"/>
          </rPr>
          <t>EUR / productief uur / medewerker
EUR / dagdeel / cliënt volgt hieronder</t>
        </r>
      </text>
    </comment>
    <comment ref="AB42" authorId="0" shapeId="0" xr:uid="{A021C6A0-5333-4591-9913-943547EEE18E}">
      <text>
        <r>
          <rPr>
            <sz val="9"/>
            <color indexed="81"/>
            <rFont val="Tahoma"/>
            <family val="2"/>
          </rPr>
          <t>EUR / productief uur / medewerker
EUR / dagdeel / cliënt volgt hieronder</t>
        </r>
      </text>
    </comment>
    <comment ref="AF42" authorId="0" shapeId="0" xr:uid="{9826C890-4557-4718-B276-80406A62DB68}">
      <text>
        <r>
          <rPr>
            <sz val="9"/>
            <color indexed="81"/>
            <rFont val="Tahoma"/>
            <family val="2"/>
          </rPr>
          <t>EUR / productief uur / medewerker
EUR / dagdeel / cliënt volgt hieronder</t>
        </r>
      </text>
    </comment>
    <comment ref="AJ42" authorId="0" shapeId="0" xr:uid="{A75262EF-4D24-4FFF-B641-FCC66D37F0A7}">
      <text>
        <r>
          <rPr>
            <sz val="9"/>
            <color indexed="81"/>
            <rFont val="Tahoma"/>
            <family val="2"/>
          </rPr>
          <t>EUR / productief uur / medewerker
EUR / dagdeel / cliënt volgt hieronder</t>
        </r>
      </text>
    </comment>
    <comment ref="E48" authorId="0" shapeId="0" xr:uid="{7A0A0BA0-8102-4E87-BACD-F3E97B20F1EB}">
      <text>
        <r>
          <rPr>
            <sz val="9"/>
            <color indexed="81"/>
            <rFont val="Tahoma"/>
            <family val="2"/>
          </rPr>
          <t>Sec hetgeen nodig voor de groepsactiviteit, zoals een zaal</t>
        </r>
      </text>
    </comment>
    <comment ref="E52" authorId="0" shapeId="0" xr:uid="{B828F083-1E16-426C-A325-6548B8431074}">
      <text>
        <r>
          <rPr>
            <sz val="9"/>
            <color indexed="81"/>
            <rFont val="Tahoma"/>
            <family val="2"/>
          </rPr>
          <t xml:space="preserve">Twee componenten:
1). Personele overhead is het geheel van functies dat sturend en ondersteunend is aan het primaire proces, waaronder leidinggevenden, zorgstaf, RvB/directie, directiesecretariaat, beleidsmedewerkers, medewerkers innovatie, medewerkers kwaliteit, P&amp;O, salaris- en financiele administratie, etc.
2). Niet personele overhead (veelal materieel), waaronder kantoorbenodigdheden,telefonie, belastingen, verzekeringen, automatiseringskosten, rente, afschrijving, huur, leasing, etc.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Karin Bongers</author>
  </authors>
  <commentList>
    <comment ref="K4" authorId="0" shapeId="0" xr:uid="{2C1A8F7E-41FE-4EEE-90F5-565C8B0233CE}">
      <text>
        <r>
          <rPr>
            <sz val="9"/>
            <color indexed="81"/>
            <rFont val="Tahoma"/>
            <family val="2"/>
          </rPr>
          <t xml:space="preserve">Sec bed, bad brood. Alle vormen van ambulante individuele ondersteuning worden apart beschikt via de leefgebieden
</t>
        </r>
      </text>
    </comment>
    <comment ref="Q4" authorId="0" shapeId="0" xr:uid="{2B87C8F9-DBF7-44FE-BC2B-78F4FCE21C4B}">
      <text>
        <r>
          <rPr>
            <sz val="9"/>
            <color indexed="81"/>
            <rFont val="Tahoma"/>
            <family val="2"/>
          </rPr>
          <t xml:space="preserve">Sec bed, bad brood. Alle vormen van ambulante individuele ondersteuning worden apart beschikt via de leefgebieden
</t>
        </r>
      </text>
    </comment>
    <comment ref="W4" authorId="0" shapeId="0" xr:uid="{11BA69D1-1573-40C0-B6D3-A0FD5375787D}">
      <text>
        <r>
          <rPr>
            <sz val="9"/>
            <color indexed="81"/>
            <rFont val="Tahoma"/>
            <family val="2"/>
          </rPr>
          <t xml:space="preserve">Sec bed, bad brood. Alle vormen van ambulante individuele ondersteuning worden apart beschikt via de leefgebieden
</t>
        </r>
      </text>
    </comment>
    <comment ref="AC4" authorId="0" shapeId="0" xr:uid="{6CE89490-DF01-4D26-81AA-B4ED4AA61203}">
      <text>
        <r>
          <rPr>
            <sz val="9"/>
            <color indexed="81"/>
            <rFont val="Tahoma"/>
            <family val="2"/>
          </rPr>
          <t xml:space="preserve">Sec bed, bad brood. Alle vormen van ambulante individuele ondersteuning worden apart beschikt via de leefgebieden
</t>
        </r>
      </text>
    </comment>
    <comment ref="AI4" authorId="0" shapeId="0" xr:uid="{6DC29F3E-8986-4851-86D5-37FBEA119D99}">
      <text>
        <r>
          <rPr>
            <sz val="9"/>
            <color indexed="81"/>
            <rFont val="Tahoma"/>
            <family val="2"/>
          </rPr>
          <t xml:space="preserve">Sec bed, bad brood. Alle vormen van ambulante individuele ondersteuning worden apart beschikt via de leefgebieden
</t>
        </r>
      </text>
    </comment>
    <comment ref="AP4" authorId="0" shapeId="0" xr:uid="{B0886195-2449-4A0D-9801-6D4DA82E4C86}">
      <text>
        <r>
          <rPr>
            <sz val="9"/>
            <color indexed="81"/>
            <rFont val="Tahoma"/>
            <family val="2"/>
          </rPr>
          <t xml:space="preserve">Sec bed, bad brood. Alle vormen van ambulante individuele ondersteuning worden apart beschikt via de leefgebieden
</t>
        </r>
      </text>
    </comment>
    <comment ref="AV4" authorId="0" shapeId="0" xr:uid="{344AE445-D7A0-4F48-8875-B2181BEBBED1}">
      <text>
        <r>
          <rPr>
            <sz val="9"/>
            <color indexed="81"/>
            <rFont val="Tahoma"/>
            <family val="2"/>
          </rPr>
          <t xml:space="preserve">Sec bed, bad brood. Alle vormen van ambulante individuele ondersteuning worden apart beschikt via de leefgebieden
</t>
        </r>
      </text>
    </comment>
    <comment ref="BB4" authorId="0" shapeId="0" xr:uid="{894E3028-80F5-4679-9AA6-F8A823C7A6F9}">
      <text>
        <r>
          <rPr>
            <sz val="9"/>
            <color indexed="81"/>
            <rFont val="Tahoma"/>
            <family val="2"/>
          </rPr>
          <t xml:space="preserve">Sec bed, bad brood. Alle vormen van ambulante individuele ondersteuning worden apart beschikt via de leefgebieden
</t>
        </r>
      </text>
    </comment>
    <comment ref="BH4" authorId="0" shapeId="0" xr:uid="{90355926-E249-4809-9DD8-45226A141034}">
      <text>
        <r>
          <rPr>
            <sz val="9"/>
            <color indexed="81"/>
            <rFont val="Tahoma"/>
            <family val="2"/>
          </rPr>
          <t xml:space="preserve">Sec bed, bad brood. Alle vormen van ambulante individuele ondersteuning worden apart beschikt via de leefgebieden
</t>
        </r>
      </text>
    </comment>
    <comment ref="BN4" authorId="0" shapeId="0" xr:uid="{9735B4C2-5684-4560-A35C-6ACE5C63D7C4}">
      <text>
        <r>
          <rPr>
            <sz val="9"/>
            <color indexed="81"/>
            <rFont val="Tahoma"/>
            <family val="2"/>
          </rPr>
          <t xml:space="preserve">Sec bed, bad brood. Alle vormen van ambulante individuele ondersteuning worden apart beschikt via de leefgebieden
</t>
        </r>
      </text>
    </comment>
    <comment ref="BT4" authorId="0" shapeId="0" xr:uid="{B493064C-7027-49F3-B3A8-C203EB77FC73}">
      <text>
        <r>
          <rPr>
            <sz val="9"/>
            <color indexed="81"/>
            <rFont val="Tahoma"/>
            <family val="2"/>
          </rPr>
          <t xml:space="preserve">Sec bed, bad brood. Alle vormen van ambulante individuele ondersteuning worden apart beschikt via de leefgebieden
</t>
        </r>
      </text>
    </comment>
    <comment ref="E8" authorId="0" shapeId="0" xr:uid="{143543A9-6E42-474F-87F3-59C009550CA3}">
      <text>
        <r>
          <rPr>
            <sz val="9"/>
            <color indexed="81"/>
            <rFont val="Tahoma"/>
            <family val="2"/>
          </rPr>
          <t xml:space="preserve">Veiligheid betreft de personele bezetting voor de nacht wanneer clienten in principe slapen, sociaal beheer gaat over de personele bezetting overdag wanneer clienten in principe wakker zijn
</t>
        </r>
      </text>
    </comment>
    <comment ref="E10" authorId="0" shapeId="0" xr:uid="{FA1C3AE3-7E73-4D0A-91FD-760C487988ED}">
      <text>
        <r>
          <rPr>
            <sz val="9"/>
            <color indexed="81"/>
            <rFont val="Tahoma"/>
            <family val="2"/>
          </rPr>
          <t>Doelgroep, activiteit</t>
        </r>
      </text>
    </comment>
    <comment ref="E17" authorId="0" shapeId="0" xr:uid="{A6720FD4-AD13-4DFF-97BA-A97FE55E3220}">
      <text>
        <r>
          <rPr>
            <sz val="9"/>
            <color indexed="81"/>
            <rFont val="Tahoma"/>
            <family val="2"/>
          </rPr>
          <t>Zie tabblad 'Invulhulp - Cao's 2020' met een overzicht van de Cao's incl. de maximaal bruto maandsalarissen per trede</t>
        </r>
      </text>
    </comment>
    <comment ref="E20" authorId="0" shapeId="0" xr:uid="{90D49BE6-C33E-472F-AEB1-C1F12741E9B7}">
      <text>
        <r>
          <rPr>
            <sz val="9"/>
            <color indexed="81"/>
            <rFont val="Tahoma"/>
            <family val="2"/>
          </rPr>
          <t xml:space="preserve">cf. cao, indien anders graag opmerking plaatsen in kolom U
</t>
        </r>
      </text>
    </comment>
    <comment ref="E21" authorId="0" shapeId="0" xr:uid="{10B99CE3-3947-4B43-9AE4-D616B873A9A0}">
      <text>
        <r>
          <rPr>
            <sz val="9"/>
            <color indexed="81"/>
            <rFont val="Tahoma"/>
            <family val="2"/>
          </rPr>
          <t>Hoogte cf. cao. Qua berekening zijn er verschillen tussen cao's over de basis (sommige incl. en sommige excl. vakantietoeslag). Graag in kolom F kiezen welke voor uw organsatie/cao van toepassing is</t>
        </r>
      </text>
    </comment>
    <comment ref="E50" authorId="0" shapeId="0" xr:uid="{D872CFA4-FFBB-4210-BAD4-8902A99A8E59}">
      <text>
        <r>
          <rPr>
            <sz val="9"/>
            <color indexed="81"/>
            <rFont val="Tahoma"/>
            <family val="2"/>
          </rPr>
          <t xml:space="preserve">Alle directe huisvestingslasten verbonden aan clienten uitgesplitst in twee onderdelen:
- huur kamer: o.b.v. scheiden van wonen en zorg, het deel dat de client zelf betaalt of kan gaan betalen
- gem. ruimtes: alle huisvestingslasten die niet onder de 'huur kamer' vallen
</t>
        </r>
      </text>
    </comment>
    <comment ref="E53" authorId="0" shapeId="0" xr:uid="{BC35FB0C-F434-4919-9D2E-44188CEC0C51}">
      <text>
        <r>
          <rPr>
            <sz val="9"/>
            <color indexed="81"/>
            <rFont val="Tahoma"/>
            <family val="2"/>
          </rPr>
          <t xml:space="preserve">Twee componenten:
1). Personele overhead is het geheel van functies dat sturend en ondersteunend is aan het primaire proces, waaronder leidinggevenden, zorgstaf, RvB/directie, directiesecretariaat, beleidsmedewerkers, medewerkers innovatie, medewerkers kwaliteit, P&amp;O, salaris- en financiele administratie, etc.
2). Niet personele overhead (veelal materieel), waaronder kantoorbenodigdheden,telefonie, belastingen, verzekeringen, automatiseringskosten, rente, afschrijving, huur, leasing, etc.
</t>
        </r>
      </text>
    </comment>
    <comment ref="E59" authorId="0" shapeId="0" xr:uid="{38432FE5-8B07-4E0F-9506-1EBA1B93C7D0}">
      <text>
        <r>
          <rPr>
            <sz val="9"/>
            <color indexed="81"/>
            <rFont val="Tahoma"/>
            <family val="2"/>
          </rPr>
          <t xml:space="preserve">Alle directe huisvestingslasten verbonden aan clienten uitgesplitst in twee onderdelen:
- huur kamer: o.b.v. scheiden van wonen en zorg, het deel dat de client zelf betaalt of kan gaan betalen
- gem. ruimtes: alle huisvestingslasten die niet onder de 'huur kamer' vallen
</t>
        </r>
      </text>
    </comment>
    <comment ref="E60" authorId="0" shapeId="0" xr:uid="{77C14568-62C4-42CB-9473-CFBCA6695EA0}">
      <text>
        <r>
          <rPr>
            <sz val="9"/>
            <color indexed="81"/>
            <rFont val="Tahoma"/>
            <family val="2"/>
          </rPr>
          <t>Alleen van toepassing bij Module 2b: sociaal beheer.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Karin Bongers</author>
  </authors>
  <commentList>
    <comment ref="K4" authorId="0" shapeId="0" xr:uid="{2974419E-8DAB-4FB0-8C9A-51F6651E02D9}">
      <text>
        <r>
          <rPr>
            <sz val="9"/>
            <color indexed="81"/>
            <rFont val="Tahoma"/>
            <family val="2"/>
          </rPr>
          <t xml:space="preserve">Sec bed, bad brood. Alle vormen van ambulante individuele ondersteuning worden apart beschikt via de leefgebieden
</t>
        </r>
      </text>
    </comment>
    <comment ref="Q4" authorId="0" shapeId="0" xr:uid="{A512D2B5-D63D-4C1D-9782-D04128550C69}">
      <text>
        <r>
          <rPr>
            <sz val="9"/>
            <color indexed="81"/>
            <rFont val="Tahoma"/>
            <family val="2"/>
          </rPr>
          <t xml:space="preserve">Sec bed, bad brood. Alle vormen van ambulante individuele ondersteuning worden apart beschikt via de leefgebieden
</t>
        </r>
      </text>
    </comment>
    <comment ref="W4" authorId="0" shapeId="0" xr:uid="{B46358CE-B0B1-47BA-89D8-F587A2A63454}">
      <text>
        <r>
          <rPr>
            <sz val="9"/>
            <color indexed="81"/>
            <rFont val="Tahoma"/>
            <family val="2"/>
          </rPr>
          <t xml:space="preserve">Sec bed, bad brood. Alle vormen van ambulante individuele ondersteuning worden apart beschikt via de leefgebieden
</t>
        </r>
      </text>
    </comment>
    <comment ref="AC4" authorId="0" shapeId="0" xr:uid="{7D720438-AAF3-4F42-BE0F-8AF304F53BE8}">
      <text>
        <r>
          <rPr>
            <sz val="9"/>
            <color indexed="81"/>
            <rFont val="Tahoma"/>
            <family val="2"/>
          </rPr>
          <t xml:space="preserve">Sec bed, bad brood. Alle vormen van ambulante individuele ondersteuning worden apart beschikt via de leefgebieden
</t>
        </r>
      </text>
    </comment>
    <comment ref="AI4" authorId="0" shapeId="0" xr:uid="{F4AC2D5E-B9EC-4A58-ACA0-EFC3D5E9D925}">
      <text>
        <r>
          <rPr>
            <sz val="9"/>
            <color indexed="81"/>
            <rFont val="Tahoma"/>
            <family val="2"/>
          </rPr>
          <t xml:space="preserve">Sec bed, bad brood. Alle vormen van ambulante individuele ondersteuning worden apart beschikt via de leefgebieden
</t>
        </r>
      </text>
    </comment>
    <comment ref="AO4" authorId="0" shapeId="0" xr:uid="{B004D3A7-0F95-407D-AE98-B256AB027660}">
      <text>
        <r>
          <rPr>
            <sz val="9"/>
            <color indexed="81"/>
            <rFont val="Tahoma"/>
            <family val="2"/>
          </rPr>
          <t xml:space="preserve">Sec bed, bad brood. Alle vormen van ambulante individuele ondersteuning worden apart beschikt via de leefgebieden
</t>
        </r>
      </text>
    </comment>
    <comment ref="AU4" authorId="0" shapeId="0" xr:uid="{21EAA643-1F01-41E1-9BAD-B8FB531EE1F8}">
      <text>
        <r>
          <rPr>
            <sz val="9"/>
            <color indexed="81"/>
            <rFont val="Tahoma"/>
            <family val="2"/>
          </rPr>
          <t xml:space="preserve">Sec bed, bad brood. Alle vormen van ambulante individuele ondersteuning worden apart beschikt via de leefgebieden
</t>
        </r>
      </text>
    </comment>
    <comment ref="BA4" authorId="0" shapeId="0" xr:uid="{AC094E9A-A205-4AD0-AC76-47B6FCEA5445}">
      <text>
        <r>
          <rPr>
            <sz val="9"/>
            <color indexed="81"/>
            <rFont val="Tahoma"/>
            <family val="2"/>
          </rPr>
          <t xml:space="preserve">Sec bed, bad brood. Alle vormen van ambulante individuele ondersteuning worden apart beschikt via de leefgebieden
</t>
        </r>
      </text>
    </comment>
    <comment ref="BG4" authorId="0" shapeId="0" xr:uid="{F37E4CE4-7CF3-4ED8-B59A-959A9C1F06C7}">
      <text>
        <r>
          <rPr>
            <sz val="9"/>
            <color indexed="81"/>
            <rFont val="Tahoma"/>
            <family val="2"/>
          </rPr>
          <t xml:space="preserve">Sec bed, bad brood. Alle vormen van ambulante individuele ondersteuning worden apart beschikt via de leefgebieden
</t>
        </r>
      </text>
    </comment>
    <comment ref="BY4" authorId="0" shapeId="0" xr:uid="{F6B5D078-041F-4A8E-90BA-39C6A8B0E638}">
      <text>
        <r>
          <rPr>
            <sz val="9"/>
            <color indexed="81"/>
            <rFont val="Tahoma"/>
            <family val="2"/>
          </rPr>
          <t xml:space="preserve">Sec bed, bad brood. Alle vormen van ambulante individuele ondersteuning worden apart beschikt via de leefgebieden
</t>
        </r>
      </text>
    </comment>
    <comment ref="E8" authorId="0" shapeId="0" xr:uid="{DEC6C639-929D-47CB-BA22-D93F22D20411}">
      <text>
        <r>
          <rPr>
            <sz val="9"/>
            <color indexed="81"/>
            <rFont val="Tahoma"/>
            <family val="2"/>
          </rPr>
          <t xml:space="preserve">Veiligheid betreft de personele bezetting voor de nacht wanneer clienten in principe slapen, sociaal beheer gaat over de personele bezetting overdag wanneer clienten in principe wakker zijn
</t>
        </r>
      </text>
    </comment>
    <comment ref="E10" authorId="0" shapeId="0" xr:uid="{AE779BFE-4F57-4550-81C4-DDEFAE723466}">
      <text>
        <r>
          <rPr>
            <sz val="9"/>
            <color indexed="81"/>
            <rFont val="Tahoma"/>
            <family val="2"/>
          </rPr>
          <t>Doelgroep, activiteit</t>
        </r>
      </text>
    </comment>
    <comment ref="E17" authorId="0" shapeId="0" xr:uid="{A30CCA2C-ECE4-429A-9804-223BA2457153}">
      <text>
        <r>
          <rPr>
            <sz val="9"/>
            <color indexed="81"/>
            <rFont val="Tahoma"/>
            <family val="2"/>
          </rPr>
          <t>Zie tabblad 'Invulhulp - Cao's 2020' met een overzicht van de Cao's incl. de maximaal bruto maandsalarissen per trede</t>
        </r>
      </text>
    </comment>
    <comment ref="E20" authorId="0" shapeId="0" xr:uid="{DD98C6A9-66FD-46BE-8BBB-BEBF6AD98E41}">
      <text>
        <r>
          <rPr>
            <sz val="9"/>
            <color indexed="81"/>
            <rFont val="Tahoma"/>
            <family val="2"/>
          </rPr>
          <t xml:space="preserve">cf. cao, indien anders graag opmerking plaatsen in kolom U
</t>
        </r>
      </text>
    </comment>
    <comment ref="E21" authorId="0" shapeId="0" xr:uid="{CC2FDCEA-E502-4402-9980-7C96C6D80591}">
      <text>
        <r>
          <rPr>
            <sz val="9"/>
            <color indexed="81"/>
            <rFont val="Tahoma"/>
            <family val="2"/>
          </rPr>
          <t>Hoogte cf. cao. Qua berekening zijn er verschillen tussen cao's over de basis (sommige incl. en sommige excl. vakantietoeslag). Graag in kolom F kiezen welke voor uw organsatie/cao van toepassing is</t>
        </r>
      </text>
    </comment>
    <comment ref="E50" authorId="0" shapeId="0" xr:uid="{CD76E57C-9C00-4378-94C4-27ABE8DF8884}">
      <text>
        <r>
          <rPr>
            <sz val="9"/>
            <color indexed="81"/>
            <rFont val="Tahoma"/>
            <family val="2"/>
          </rPr>
          <t xml:space="preserve">Alle directe huisvestingslasten verbonden aan clienten uitgesplitst in twee onderdelen:
- huur kamer: o.b.v. scheiden van wonen en zorg, het deel dat de client zelf betaalt of kan gaan betalen
- gem. ruimtes: alle huisvestingslasten die niet onder de 'huur kamer' vallen
</t>
        </r>
      </text>
    </comment>
    <comment ref="E51" authorId="0" shapeId="0" xr:uid="{0287363B-8139-40E5-BB64-F8985413161B}">
      <text>
        <r>
          <rPr>
            <sz val="9"/>
            <color indexed="81"/>
            <rFont val="Tahoma"/>
            <family val="2"/>
          </rPr>
          <t>Alleen van toepassing bij Module 2b: sociaal beheer.</t>
        </r>
      </text>
    </comment>
    <comment ref="E54" authorId="0" shapeId="0" xr:uid="{4F238027-DF65-4331-BB7B-0979D8F1B3F5}">
      <text>
        <r>
          <rPr>
            <sz val="9"/>
            <color indexed="81"/>
            <rFont val="Tahoma"/>
            <family val="2"/>
          </rPr>
          <t xml:space="preserve">Twee componenten:
1). Personele overhead is het geheel van functies dat sturend en ondersteunend is aan het primaire proces, waaronder leidinggevenden, zorgstaf, RvB/directie, directiesecretariaat, beleidsmedewerkers, medewerkers innovatie, medewerkers kwaliteit, P&amp;O, salaris- en financiele administratie, etc.
2). Niet personele overhead (veelal materieel), waaronder kantoorbenodigdheden,telefonie, belastingen, verzekeringen, automatiseringskosten, rente, afschrijving, huur, leasing, etc.
</t>
        </r>
      </text>
    </comment>
  </commentList>
</comments>
</file>

<file path=xl/sharedStrings.xml><?xml version="1.0" encoding="utf-8"?>
<sst xmlns="http://schemas.openxmlformats.org/spreadsheetml/2006/main" count="1172" uniqueCount="292">
  <si>
    <t>Eindejaarsuitkering</t>
  </si>
  <si>
    <t>Opslag reis- en opleidingskosten</t>
  </si>
  <si>
    <t>Opslag risico en marge</t>
  </si>
  <si>
    <t>Maximaal beschikbare uren volgens CAO</t>
  </si>
  <si>
    <t>Verlof</t>
  </si>
  <si>
    <t>Ziekteverzuim</t>
  </si>
  <si>
    <t>Personeelsinformatie per hoofdproduct</t>
  </si>
  <si>
    <t>Geldende cao</t>
  </si>
  <si>
    <t>Schaal</t>
  </si>
  <si>
    <t>Ambulant, individueel geleverd</t>
  </si>
  <si>
    <t>Wonen met ondersteuning</t>
  </si>
  <si>
    <t>eenheid</t>
  </si>
  <si>
    <t>tekst</t>
  </si>
  <si>
    <t>schaalnr.</t>
  </si>
  <si>
    <t>% inzet/tijdseenheid</t>
  </si>
  <si>
    <t>% van max.</t>
  </si>
  <si>
    <t>Gemiddelde trede</t>
  </si>
  <si>
    <t>Onregelmatigheidstoeslag (ORT)</t>
  </si>
  <si>
    <t>% jaarsalaris</t>
  </si>
  <si>
    <t>Totale salariskosten (TS)</t>
  </si>
  <si>
    <t>% op TS</t>
  </si>
  <si>
    <t>Totale personeelskosten (TP)</t>
  </si>
  <si>
    <t>% op TP</t>
  </si>
  <si>
    <t>Kosten personeel niet in loondienst (PNIL)</t>
  </si>
  <si>
    <t>Werkgeverslasten (sociale lasten + pensioenpremies)</t>
  </si>
  <si>
    <t>% op TP+PNIL</t>
  </si>
  <si>
    <t>Totale personeelskosten incl. PNIL (TP+PNIL)</t>
  </si>
  <si>
    <t>Opslag overhead</t>
  </si>
  <si>
    <t>Totaal benodigde vergoeding per FTE</t>
  </si>
  <si>
    <t>Kosten en benodigde vergoeding per fte</t>
  </si>
  <si>
    <t>EUR / uur</t>
  </si>
  <si>
    <t>Uurtarief per functie</t>
  </si>
  <si>
    <t>Totale kosten per FTE (TK)</t>
  </si>
  <si>
    <t>% op TK</t>
  </si>
  <si>
    <t>EUR / jr.</t>
  </si>
  <si>
    <t>Niet cliëntgebonden tijd</t>
  </si>
  <si>
    <t>Reistijd tussen cliënten</t>
  </si>
  <si>
    <t>EUR / dagdeel</t>
  </si>
  <si>
    <t>EUR / etmaal</t>
  </si>
  <si>
    <t>Aanbod, functiemix, CAO en inschaling</t>
  </si>
  <si>
    <t>Korte omschrijving aanbod</t>
  </si>
  <si>
    <t>Gewogen gemiddelde dagdeeltarief per cliënt</t>
  </si>
  <si>
    <t>Cliëntgebonden materiele kosten</t>
  </si>
  <si>
    <t>Gewogen gemiddelde etmaaltarief per cliënt</t>
  </si>
  <si>
    <t>Gewogen gemiddelde uurtarief per medewerker</t>
  </si>
  <si>
    <t># uren / fte / jr.</t>
  </si>
  <si>
    <t>EUR / cliënt / dagdeel</t>
  </si>
  <si>
    <t># uur / dagdeel</t>
  </si>
  <si>
    <t>EUR / cliënt / etmaal</t>
  </si>
  <si>
    <t>Module 1: activering levensgebieden</t>
  </si>
  <si>
    <t>Trede 1: Nabij en op afroep</t>
  </si>
  <si>
    <t>Productiviteit</t>
  </si>
  <si>
    <t>Bezettingsgraad</t>
  </si>
  <si>
    <t>Module 2: veiligheid en sociaal beheer</t>
  </si>
  <si>
    <t>Groepskenmerken - ambulant in groep geleverd</t>
  </si>
  <si>
    <t>Groepskenmerken - wonen met ondersteuning</t>
  </si>
  <si>
    <t>Cao GGZ</t>
  </si>
  <si>
    <t>Cao GHZ</t>
  </si>
  <si>
    <t>Cao Jeugd</t>
  </si>
  <si>
    <t>Max. bruto maandsalaris in schaal</t>
  </si>
  <si>
    <t>MS</t>
  </si>
  <si>
    <t>Cao SW</t>
  </si>
  <si>
    <t>Vakantie-uitkering</t>
  </si>
  <si>
    <t/>
  </si>
  <si>
    <t>% van capaciteit</t>
  </si>
  <si>
    <t>Indirecte cliëntgebonden tijd</t>
  </si>
  <si>
    <t>Specificatie binnen module</t>
  </si>
  <si>
    <t>Daginvulling</t>
  </si>
  <si>
    <t>Ambulant+, per groep geleverd</t>
  </si>
  <si>
    <t>Verwijzing naar de module</t>
  </si>
  <si>
    <t>keuzemenu</t>
  </si>
  <si>
    <t># cliënten</t>
  </si>
  <si>
    <t>Productieve uren per jaar</t>
  </si>
  <si>
    <t>Duur van een dagdeel</t>
  </si>
  <si>
    <t>Kosten per uur per functie</t>
  </si>
  <si>
    <t>Gewogen gemiddelde kosten per uur per medewerker</t>
  </si>
  <si>
    <t>Gewogen gemiddelde kosten per cliënt (GGKpC)</t>
  </si>
  <si>
    <t>% op GGKpC</t>
  </si>
  <si>
    <r>
      <rPr>
        <u/>
        <sz val="11"/>
        <color theme="0"/>
        <rFont val="Calibri"/>
        <family val="2"/>
        <scheme val="minor"/>
      </rPr>
      <t>Module 3</t>
    </r>
    <r>
      <rPr>
        <sz val="11"/>
        <color theme="0"/>
        <rFont val="Calibri"/>
        <family val="2"/>
        <scheme val="minor"/>
      </rPr>
      <t>: kosten huisvesting en inventaris</t>
    </r>
  </si>
  <si>
    <t>Bruto maandsalaris in max. van de ingevulde schaal</t>
  </si>
  <si>
    <t>Kosten direct personeel niet in loondienst (PNIL)</t>
  </si>
  <si>
    <t>Submodule</t>
  </si>
  <si>
    <t># uren / etmaal</t>
  </si>
  <si>
    <t>Capaciteit per groep</t>
  </si>
  <si>
    <t>Aantal uren per etmaal inzet personeel</t>
  </si>
  <si>
    <r>
      <rPr>
        <u/>
        <sz val="11"/>
        <color theme="0"/>
        <rFont val="Calibri"/>
        <family val="2"/>
        <scheme val="minor"/>
      </rPr>
      <t>Module 3</t>
    </r>
    <r>
      <rPr>
        <sz val="11"/>
        <color theme="0"/>
        <rFont val="Calibri"/>
        <family val="2"/>
        <scheme val="minor"/>
      </rPr>
      <t>: kosten huisvesting en inventaris - gem. ruimtes e.d.</t>
    </r>
  </si>
  <si>
    <r>
      <rPr>
        <u/>
        <sz val="11"/>
        <color theme="0"/>
        <rFont val="Calibri"/>
        <family val="2"/>
        <scheme val="minor"/>
      </rPr>
      <t>Module 3</t>
    </r>
    <r>
      <rPr>
        <sz val="11"/>
        <color theme="0"/>
        <rFont val="Calibri"/>
        <family val="2"/>
        <scheme val="minor"/>
      </rPr>
      <t>: kosten huisvesting en inventaris - huur kamer</t>
    </r>
  </si>
  <si>
    <t>Specificatie binnen module 2a veiligheid</t>
  </si>
  <si>
    <t>Vakantie-uitkering (VU)</t>
  </si>
  <si>
    <t>% jaarsalaris EXCL. VU</t>
  </si>
  <si>
    <t>(Toeleiden naar) daginvulling</t>
  </si>
  <si>
    <t>Cao VVT</t>
  </si>
  <si>
    <t>GGZ</t>
  </si>
  <si>
    <t>GHZ</t>
  </si>
  <si>
    <t>Jeugdzorg</t>
  </si>
  <si>
    <t>SW</t>
  </si>
  <si>
    <t>Ambulant, per groep geleverd</t>
  </si>
  <si>
    <t>VVT</t>
  </si>
  <si>
    <t>Module 2a: veiligheid</t>
  </si>
  <si>
    <t>Module 2b: sociaal beheer</t>
  </si>
  <si>
    <t>Jeugd</t>
  </si>
  <si>
    <t>% jaarsalaris INCL. VU</t>
  </si>
  <si>
    <t>% jaarsalaris excl/incl VU</t>
  </si>
  <si>
    <t>Totale kosten excl. overhead, huisvesting, inventaris en clientgeb. kn.</t>
  </si>
  <si>
    <t>% op GGKpC incl. overhead</t>
  </si>
  <si>
    <t>Gew. gem. kosten per cliënt incl. overhead (GGKpC incl. overhead)</t>
  </si>
  <si>
    <t>Functiemix per product en cao</t>
  </si>
  <si>
    <t>Veiligheid subreg. vz. nacht</t>
  </si>
  <si>
    <t>Regionale spec. vz. 2</t>
  </si>
  <si>
    <t>Regionale spec. vz. 1</t>
  </si>
  <si>
    <t>GGZ BGI spec.</t>
  </si>
  <si>
    <t>GHZ BGI spec.</t>
  </si>
  <si>
    <t>SW BGI spec.</t>
  </si>
  <si>
    <t>GHZ BGI basis</t>
  </si>
  <si>
    <t>SW BGI basis</t>
  </si>
  <si>
    <t>SW BGG spec.</t>
  </si>
  <si>
    <t>GGZ BGG basis</t>
  </si>
  <si>
    <t>VVT BGG basis</t>
  </si>
  <si>
    <t>GGZ nacht - bereikbaarheid</t>
  </si>
  <si>
    <t>SW nacht - wakende wacht</t>
  </si>
  <si>
    <t>SW overdag permanent toezicht</t>
  </si>
  <si>
    <t>GGZ overdag permanent toezicht</t>
  </si>
  <si>
    <t>GHZ nacht - wakende wacht</t>
  </si>
  <si>
    <t>GHZ nacht - bereikbaarheid</t>
  </si>
  <si>
    <t>Ambulante individuele begeleiding basis</t>
  </si>
  <si>
    <t>Ambulante individuele begeleiding spec.</t>
  </si>
  <si>
    <t>Daginvulling spec.</t>
  </si>
  <si>
    <t>GHZ BGG basis</t>
  </si>
  <si>
    <t>SW BGG basis</t>
  </si>
  <si>
    <t>Daginvulling basis</t>
  </si>
  <si>
    <t>Ambulante individuele begeleiding</t>
  </si>
  <si>
    <t>Basis</t>
  </si>
  <si>
    <t>Individuele beg binnen Wonen met ondersteuning</t>
  </si>
  <si>
    <t>Sociaal beheer subreg. vz. nacht</t>
  </si>
  <si>
    <t>JW BGI</t>
  </si>
  <si>
    <t>GGZ BGI basis</t>
  </si>
  <si>
    <t>JW</t>
  </si>
  <si>
    <t>Doelgroep</t>
  </si>
  <si>
    <t>VG</t>
  </si>
  <si>
    <t>Ouderen</t>
  </si>
  <si>
    <t>Jongvolwassenen</t>
  </si>
  <si>
    <t>GGZ BGG spec</t>
  </si>
  <si>
    <t>GHZ BGG spec</t>
  </si>
  <si>
    <t>VVT BGG spec</t>
  </si>
  <si>
    <t>GGZ overdag gedeeltelijk toezicht</t>
  </si>
  <si>
    <t>GHZ overdag gedeeltelijk toezicht</t>
  </si>
  <si>
    <t>SW overdag gedeeltelijk toezicht</t>
  </si>
  <si>
    <t>SW nacht - bereikbaarheid</t>
  </si>
  <si>
    <t>GGZ nacht - wakende wacht</t>
  </si>
  <si>
    <t>GGZ nacht - slapende wacht</t>
  </si>
  <si>
    <t>SW nacht - slapende wacht</t>
  </si>
  <si>
    <t>BGI - basis</t>
  </si>
  <si>
    <t>BGI - spec.</t>
  </si>
  <si>
    <t>BGG basis</t>
  </si>
  <si>
    <t>BGG speciaal</t>
  </si>
  <si>
    <t>Ind beg</t>
  </si>
  <si>
    <t>uur per week</t>
  </si>
  <si>
    <t>Tarief pp 2020</t>
  </si>
  <si>
    <t>25,38 - 28,23</t>
  </si>
  <si>
    <t>40,30 - 46,29</t>
  </si>
  <si>
    <t>ZZP3 scheiden wonen/zorg excl dagbesteding</t>
  </si>
  <si>
    <t>ZZP4 scheiden wonen/zorg excl dagbesteding</t>
  </si>
  <si>
    <t>Huidig product</t>
  </si>
  <si>
    <t>GGZ BGI binnen Wonen</t>
  </si>
  <si>
    <t>GHZ BGI binnen Wonen</t>
  </si>
  <si>
    <t>SW BGI binnen Wonen</t>
  </si>
  <si>
    <t>Perceel 1 - Specialistische woonvoorzieningen</t>
  </si>
  <si>
    <t>Spec.</t>
  </si>
  <si>
    <t>Sociaal beheer</t>
  </si>
  <si>
    <t>Veiligheid</t>
  </si>
  <si>
    <t>HR / regionaal</t>
  </si>
  <si>
    <t>Inzet individuele begeleiding
(uur p.w.)</t>
  </si>
  <si>
    <t>Tarief</t>
  </si>
  <si>
    <t>Uitsplitsing nieuwe (modulaire) tariefstructuur</t>
  </si>
  <si>
    <t>Trede 2
Gedeeltelijke aanw.</t>
  </si>
  <si>
    <t>Trede 3
Vaste aanw.</t>
  </si>
  <si>
    <t>Trede 1
Nabij en op afroep</t>
  </si>
  <si>
    <t>Trede 2
Slapende wacht</t>
  </si>
  <si>
    <t>Trede 3
Wakende wacht</t>
  </si>
  <si>
    <t>Inzet vaste formatie
(uur p.w.)</t>
  </si>
  <si>
    <t>JW overdag permanent toezicht</t>
  </si>
  <si>
    <t>JW overdag gedeeltelijk toezicht</t>
  </si>
  <si>
    <t>JW nacht - bereikbaarheid</t>
  </si>
  <si>
    <t>Trede 1 - Ambulant+</t>
  </si>
  <si>
    <t>Trede 1 - Nabij en op afroep</t>
  </si>
  <si>
    <t>Trede 2 - Slapende wacht</t>
  </si>
  <si>
    <t>Trede 3 - Wakende wacht</t>
  </si>
  <si>
    <t>Trede 3 - Vaste aanw.</t>
  </si>
  <si>
    <t>1) Functiemix</t>
  </si>
  <si>
    <t>2) Productiviteit</t>
  </si>
  <si>
    <t xml:space="preserve"> Cao </t>
  </si>
  <si>
    <t xml:space="preserve"> Totaal besch. / jr. </t>
  </si>
  <si>
    <t xml:space="preserve">Verlof </t>
  </si>
  <si>
    <t xml:space="preserve">Verzuim </t>
  </si>
  <si>
    <t xml:space="preserve"> Niet- cl. geb. </t>
  </si>
  <si>
    <t xml:space="preserve"> Reistijd tussen cl.</t>
  </si>
  <si>
    <t>Ind. cl. geb.</t>
  </si>
  <si>
    <t xml:space="preserve"> Productieve uren </t>
  </si>
  <si>
    <t xml:space="preserve"> GGZ </t>
  </si>
  <si>
    <t xml:space="preserve"> VVT </t>
  </si>
  <si>
    <t xml:space="preserve"> GHZ </t>
  </si>
  <si>
    <t xml:space="preserve"> Jeugd </t>
  </si>
  <si>
    <t xml:space="preserve"> SW </t>
  </si>
  <si>
    <t>Gemiddeld</t>
  </si>
  <si>
    <t xml:space="preserve"> Productiviteit individuele begeleiding binnen Wonen met ondersteuning (u / fte / jr.)</t>
  </si>
  <si>
    <t xml:space="preserve"> Productiviteit daginvulling (u / fte / jr.)</t>
  </si>
  <si>
    <t xml:space="preserve"> Productiviteit individuele begeleiding ambulant en ambulant+ (trede 1 Sociaal beheer) (u / fte / jr.)</t>
  </si>
  <si>
    <t xml:space="preserve"> Productiviteit Gedeeltelijke aanwezigheid (trede 2 Sociaal beheer) binnen Wonen met ondersteuning en module Veiligheid (u / fte / jr.)</t>
  </si>
  <si>
    <t xml:space="preserve"> Productiviteit 24/7 aanwezigheid (trede 3 Sociaal beheer) binnen Wonen met ondersteuning (u / fte / jr.)</t>
  </si>
  <si>
    <t xml:space="preserve">Het tarief is opgebouwd </t>
  </si>
  <si>
    <t>per subsector c.q. cao</t>
  </si>
  <si>
    <t>Categorie</t>
  </si>
  <si>
    <t>Cao</t>
  </si>
  <si>
    <t>Specia-listisch</t>
  </si>
  <si>
    <t>Tarieven per doelgroep ontstaan</t>
  </si>
  <si>
    <t>2020 toe te passen per cao</t>
  </si>
  <si>
    <t>door verhoudingen cf. realisatie</t>
  </si>
  <si>
    <t>% basis van basis+spec.</t>
  </si>
  <si>
    <t>zelfzorg &amp; gezondheid, geldzaken, sociaal &amp; persoonlijk functioneren</t>
  </si>
  <si>
    <t>Functiemix direct personeel</t>
  </si>
  <si>
    <t>VVT BGI</t>
  </si>
  <si>
    <t>Binnen Wonen met ond., individueel geleverd</t>
  </si>
  <si>
    <t>Capaciteit per groep c.q. caseload per medewerker</t>
  </si>
  <si>
    <t>Trede 2: Gedeeltelijke aanwezigheid</t>
  </si>
  <si>
    <t>Trede 3: Vaste aanwezigheid</t>
  </si>
  <si>
    <t>EUR / fte</t>
  </si>
  <si>
    <t>GHZ overdag permanent toezicht</t>
  </si>
  <si>
    <t>GGZ overdag oproepbaar (ambulant+)</t>
  </si>
  <si>
    <t>SW overdag oproepbaar (ambulant+)</t>
  </si>
  <si>
    <t>GHZ overdag oproepbaar (ambulant+)</t>
  </si>
  <si>
    <t>JW overdag oproepbaar (ambulant+)</t>
  </si>
  <si>
    <t>check</t>
  </si>
  <si>
    <t>n.v.t.</t>
  </si>
  <si>
    <t>Verhoudingen cao voor doelgroep GGZ</t>
  </si>
  <si>
    <t>Ter referentie: gem. tarieven (2020)</t>
  </si>
  <si>
    <t>Trede 1: nabij en op afroep</t>
  </si>
  <si>
    <t>Trede 2: slapende wacht</t>
  </si>
  <si>
    <t>Trede 3: wakende wacht</t>
  </si>
  <si>
    <t>NB huur kamer en materieel clientgeb kn zitten niet in dit tarief verdisconteerd, kan evt. via losse module bekostigd worden</t>
  </si>
  <si>
    <t>€ Individuele begeleiding</t>
  </si>
  <si>
    <t>ind beg</t>
  </si>
  <si>
    <t>€ Veiligheid</t>
  </si>
  <si>
    <t>€ Sociaal beheer</t>
  </si>
  <si>
    <t>Trede 1
Oproepbare kracht</t>
  </si>
  <si>
    <t>overdag*</t>
  </si>
  <si>
    <t>nacht*</t>
  </si>
  <si>
    <t>overdag**</t>
  </si>
  <si>
    <t>nacht**</t>
  </si>
  <si>
    <t>** aantal uur per cliënt is gebaseerd op het aantal uur voor een trede per week gedeeld door het aantal cliënten (zie slide 30 voor overdag, slide 31 voor 's nachts)</t>
  </si>
  <si>
    <t>ind beg*</t>
  </si>
  <si>
    <t>* de tarieven in dit rekenvoorbeeld zijn gebaseerd op doelgroep GGZ. Voor doelgroep VG of Jongvolwassenen, wijken de tarieven (en dus de berekening) af</t>
  </si>
  <si>
    <t>Totaal inzet per client (uur p.w.)</t>
  </si>
  <si>
    <t>Ouderdomsproblematiek</t>
  </si>
  <si>
    <t>Jongvolwassenen (onderdeel GGZ-perceel)</t>
  </si>
  <si>
    <t>Losse modules</t>
  </si>
  <si>
    <t>Wonen met ondersteuning subregionaal</t>
  </si>
  <si>
    <t>Ambulant Leidse Regio</t>
  </si>
  <si>
    <t>Intramurale toeslag (huur kamer, materieel cliëntgeb.)</t>
  </si>
  <si>
    <t>Perceel 2 - Traject woonbegeleiding na verslaving*</t>
  </si>
  <si>
    <t>Perceel 3 - Traject woonbegeleiding ouder/kind*</t>
  </si>
  <si>
    <t>OVA</t>
  </si>
  <si>
    <r>
      <t xml:space="preserve">Regulier
</t>
    </r>
    <r>
      <rPr>
        <i/>
        <sz val="8"/>
        <color theme="0"/>
        <rFont val="Ebrima"/>
      </rPr>
      <t>Scheiden wonen/zorg</t>
    </r>
  </si>
  <si>
    <r>
      <t xml:space="preserve">Regulier
</t>
    </r>
    <r>
      <rPr>
        <i/>
        <sz val="8"/>
        <color theme="0"/>
        <rFont val="Ebrima"/>
      </rPr>
      <t xml:space="preserve">
Intramuraal</t>
    </r>
  </si>
  <si>
    <t>Vervoer regulier</t>
  </si>
  <si>
    <t>Vervoer met rolstoel</t>
  </si>
  <si>
    <t>Indexatie van prijspeil 2020 naar 2023</t>
  </si>
  <si>
    <t>BGI</t>
  </si>
  <si>
    <t>basisjaar</t>
  </si>
  <si>
    <t>realisatie</t>
  </si>
  <si>
    <t>n.t.b.</t>
  </si>
  <si>
    <t>Overig</t>
  </si>
  <si>
    <t>Gew. gem. indexatie op overige producten</t>
  </si>
  <si>
    <t>Gew. gem. indexatie op BGI</t>
  </si>
  <si>
    <t>Prijspeil 2020</t>
  </si>
  <si>
    <t>Prijspeil 2022</t>
  </si>
  <si>
    <t>* Uit gesprekken met aanbieders bleek de geleverde zorg binnen beide percelen eenduidig te zijn. Voor deze percelen gelden vaste trajectprijzen, zie trajectprijs spec. woonvoorzieningen en bijlage 5 voor de berekening</t>
  </si>
  <si>
    <t>Trede 2 - Gedeelte-lijke aanw.</t>
  </si>
  <si>
    <t>LR / subregionaal</t>
  </si>
  <si>
    <t>Vervoer met rolstoel (prijspeil 2022)</t>
  </si>
  <si>
    <t>Vervoer regulier (prijspeil 2022)</t>
  </si>
  <si>
    <t>Trajectprijs spec. woonvoorz.</t>
  </si>
  <si>
    <t>Verhouding index</t>
  </si>
  <si>
    <t>prognose: CEP '22</t>
  </si>
  <si>
    <t>prognose: MEV '23*</t>
  </si>
  <si>
    <t>-</t>
  </si>
  <si>
    <t>* de macro-economische verkenning wordt in het najaar gepubliceerd (Prinsjesdag)</t>
  </si>
  <si>
    <t>HICP (vergelijkbare reeks als CPI**)</t>
  </si>
  <si>
    <t>** de geharmoniseerde consumentenprijsindex (HICP) is een relatief nieuwe index die ontwikkeld is om de inflatie in alle landen in het eurogebied vergelijkbaar te maken. De cpi- en hicp inflatie kunnen verschillen, maar doorgaans zijn deze verschillen klein. In tegenstelling tot de CPI is er van de HICP een prognose beschikbaar in het najaar voor het volgende jaar; de CPI wordt maandelijks achteraf gepubliceerd.</t>
  </si>
  <si>
    <r>
      <t xml:space="preserve">Plus
</t>
    </r>
    <r>
      <rPr>
        <i/>
        <sz val="7"/>
        <color theme="0"/>
        <rFont val="Ebrima"/>
      </rPr>
      <t xml:space="preserve">
Intramuraal</t>
    </r>
  </si>
  <si>
    <t>Tarieven (pp 2020) - slide 5</t>
  </si>
  <si>
    <t>Tarieven (pp 2022) - slide 6</t>
  </si>
  <si>
    <t>Rekenvoorbeeld - slide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</si>
</sst>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64" formatCode="_ &quot;€&quot;\ * #,##0.00_ ;_ &quot;€&quot;\ * \-#,##0.00_ ;_ &quot;€&quot;\ * &quot;-&quot;??_ ;_ @_ "/>
    <numFmt numFmtId="165" formatCode="#,##0_);\(#,##0\);&quot;-  &quot;;&quot; &quot;@&quot; &quot;"/>
    <numFmt numFmtId="166" formatCode="#,##0.0000_);\(#,##0.0000\);&quot;-  &quot;;&quot; &quot;@&quot; &quot;"/>
    <numFmt numFmtId="167" formatCode="dd\ mmm\ yyyy_);\(###0\);&quot;-  &quot;;&quot; &quot;@&quot; &quot;"/>
    <numFmt numFmtId="168" formatCode="dd\ mmm\ yy_);\(###0\);&quot;-  &quot;;&quot; &quot;@&quot; &quot;"/>
    <numFmt numFmtId="169" formatCode="###0_);\(###0\);&quot;-  &quot;;&quot; &quot;@&quot; &quot;"/>
    <numFmt numFmtId="170" formatCode="&quot;€&quot;\ #,##0"/>
    <numFmt numFmtId="171" formatCode="_ &quot;€&quot;\ * #,##0_ ;_ &quot;€&quot;\ * \-#,##0_ ;_ &quot;€&quot;\ * &quot;-&quot;??_ ;_ @_ "/>
    <numFmt numFmtId="172" formatCode="[$€-413]\ #,##0.00"/>
    <numFmt numFmtId="173" formatCode="[$€-413]\ #,##0"/>
    <numFmt numFmtId="174" formatCode="0%_);\-0%_);&quot;-  &quot;;&quot; &quot;@&quot; &quot;"/>
    <numFmt numFmtId="175" formatCode="_ [$€-413]\ * #,##0_ ;_ [$€-413]\ * \-#,##0_ ;_ [$€-413]\ * &quot;-&quot;??_ ;_ @_ "/>
    <numFmt numFmtId="176" formatCode="_([$€-2]\ * #,##0_);_([$€-2]\ * \(#,##0\);_([$€-2]\ * &quot;-&quot;??_);_(@_)"/>
    <numFmt numFmtId="177" formatCode="0.0%"/>
    <numFmt numFmtId="178" formatCode="#,##0.0_);\(#,##0.0\);&quot;-  &quot;;&quot; &quot;@&quot; &quot;"/>
    <numFmt numFmtId="179" formatCode="0.0%_);\-0.0%_);&quot;-  &quot;;&quot; &quot;@&quot; &quot;"/>
    <numFmt numFmtId="180" formatCode="&quot;€&quot;\ #,##0.0;[Red]&quot;€&quot;\ \-#,##0.0"/>
    <numFmt numFmtId="181" formatCode="[$€-413]\ #,##0.0"/>
    <numFmt numFmtId="182" formatCode="_(* #,##0.0_);_(* \(#,##0.0\);_(* &quot;-&quot;?_);_(@_)"/>
    <numFmt numFmtId="183" formatCode="&quot;€&quot;\ #,##0.00"/>
    <numFmt numFmtId="184" formatCode="#,##0.00_);\(#,##0.00\);&quot;-  &quot;;&quot; &quot;@&quot; &quot;"/>
    <numFmt numFmtId="185" formatCode="[$€-2]\ #,##0.00;[Red]\-[$€-2]\ #,##0.00"/>
    <numFmt numFmtId="186" formatCode="0.00_)%_);\(0.00\)%_);&quot;-  &quot;;&quot; &quot;@&quot; &quot;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u/>
      <sz val="10"/>
      <color theme="1"/>
      <name val="Calibri Light"/>
      <family val="2"/>
      <scheme val="major"/>
    </font>
    <font>
      <b/>
      <sz val="2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b/>
      <sz val="10"/>
      <color theme="0"/>
      <name val="Calibri Light"/>
      <family val="2"/>
      <scheme val="maj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20"/>
      <color theme="1"/>
      <name val="Calibri Light"/>
      <family val="2"/>
      <scheme val="major"/>
    </font>
    <font>
      <b/>
      <sz val="11"/>
      <color rgb="FFFFFFFF"/>
      <name val="Calibri Light"/>
      <family val="2"/>
      <scheme val="major"/>
    </font>
    <font>
      <sz val="11"/>
      <color rgb="FF3C3C3B"/>
      <name val="Calibri Light"/>
      <family val="2"/>
      <scheme val="major"/>
    </font>
    <font>
      <sz val="11"/>
      <color rgb="FF0000FF"/>
      <name val="Calibri Light"/>
      <family val="2"/>
      <scheme val="major"/>
    </font>
    <font>
      <b/>
      <sz val="11"/>
      <color rgb="FF3C3C3B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u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sz val="11"/>
      <color theme="0"/>
      <name val="Calibri Light"/>
      <family val="2"/>
      <scheme val="major"/>
    </font>
    <font>
      <b/>
      <sz val="20"/>
      <color theme="1"/>
      <name val="Ebrima"/>
    </font>
    <font>
      <b/>
      <sz val="10"/>
      <color theme="1"/>
      <name val="Ebrima"/>
    </font>
    <font>
      <u/>
      <sz val="10"/>
      <color theme="1"/>
      <name val="Ebrima"/>
    </font>
    <font>
      <sz val="10"/>
      <color theme="1"/>
      <name val="Ebrima"/>
    </font>
    <font>
      <b/>
      <sz val="10"/>
      <color rgb="FFFFFFFF"/>
      <name val="Ebrima"/>
    </font>
    <font>
      <sz val="10"/>
      <color theme="0"/>
      <name val="Ebrima"/>
    </font>
    <font>
      <b/>
      <sz val="10"/>
      <color theme="0"/>
      <name val="Ebrima"/>
    </font>
    <font>
      <i/>
      <sz val="10"/>
      <color rgb="FFFFFFFF"/>
      <name val="Ebrima"/>
    </font>
    <font>
      <sz val="10"/>
      <color rgb="FFFFFFFF"/>
      <name val="Ebrima"/>
    </font>
    <font>
      <b/>
      <u/>
      <sz val="10"/>
      <color rgb="FF000000"/>
      <name val="Ebrima"/>
    </font>
    <font>
      <sz val="10"/>
      <color rgb="FF0000FF"/>
      <name val="Ebrima"/>
    </font>
    <font>
      <i/>
      <sz val="10"/>
      <color rgb="FF000000"/>
      <name val="Ebrima"/>
    </font>
    <font>
      <sz val="10"/>
      <color rgb="FF000000"/>
      <name val="Ebrima"/>
    </font>
    <font>
      <sz val="10"/>
      <color rgb="FF3C3C3B"/>
      <name val="Ebrima"/>
    </font>
    <font>
      <sz val="10"/>
      <name val="Ebrima"/>
    </font>
    <font>
      <b/>
      <u/>
      <sz val="10"/>
      <color theme="1"/>
      <name val="Ebrima"/>
    </font>
    <font>
      <b/>
      <i/>
      <sz val="10"/>
      <color theme="1"/>
      <name val="Ebrima"/>
    </font>
    <font>
      <b/>
      <sz val="10"/>
      <color rgb="FF3C3C3B"/>
      <name val="Ebrima"/>
    </font>
    <font>
      <b/>
      <sz val="10"/>
      <color rgb="FF000000"/>
      <name val="Ebrima"/>
    </font>
    <font>
      <i/>
      <sz val="10"/>
      <color theme="1"/>
      <name val="Ebrima"/>
    </font>
    <font>
      <b/>
      <sz val="11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theme="1"/>
      <name val="Ebrima"/>
    </font>
    <font>
      <i/>
      <sz val="9"/>
      <color rgb="FF000000"/>
      <name val="Calibri Light"/>
      <family val="2"/>
    </font>
    <font>
      <sz val="11"/>
      <name val="Calibri Light"/>
      <family val="2"/>
      <scheme val="major"/>
    </font>
    <font>
      <i/>
      <sz val="8"/>
      <color theme="0"/>
      <name val="Ebrima"/>
    </font>
    <font>
      <sz val="10"/>
      <color theme="0" tint="-0.34998626667073579"/>
      <name val="Ebrima"/>
    </font>
    <font>
      <i/>
      <sz val="7"/>
      <color theme="0"/>
      <name val="Ebrima"/>
    </font>
  </fonts>
  <fills count="15">
    <fill>
      <patternFill patternType="none"/>
    </fill>
    <fill>
      <patternFill patternType="gray125"/>
    </fill>
    <fill>
      <patternFill patternType="solid">
        <fgColor rgb="FFFFFFA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42647E"/>
        <bgColor indexed="64"/>
      </patternFill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0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808080"/>
      </top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thin">
        <color rgb="FF808080"/>
      </top>
      <bottom style="thin">
        <color rgb="FF808080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thin">
        <color rgb="FF808080"/>
      </top>
      <bottom style="thin">
        <color rgb="FF808080"/>
      </bottom>
      <diagonal/>
    </border>
    <border>
      <left style="hair">
        <color auto="1"/>
      </left>
      <right/>
      <top style="thin">
        <color rgb="FF808080"/>
      </top>
      <bottom/>
      <diagonal/>
    </border>
    <border>
      <left/>
      <right style="hair">
        <color auto="1"/>
      </right>
      <top style="thin">
        <color rgb="FF808080"/>
      </top>
      <bottom/>
      <diagonal/>
    </border>
    <border>
      <left/>
      <right/>
      <top/>
      <bottom style="thin">
        <color rgb="FF808080"/>
      </bottom>
      <diagonal/>
    </border>
    <border>
      <left style="hair">
        <color auto="1"/>
      </left>
      <right/>
      <top/>
      <bottom style="thin">
        <color rgb="FF808080"/>
      </bottom>
      <diagonal/>
    </border>
    <border>
      <left/>
      <right style="hair">
        <color auto="1"/>
      </right>
      <top/>
      <bottom style="thin">
        <color rgb="FF808080"/>
      </bottom>
      <diagonal/>
    </border>
    <border>
      <left/>
      <right/>
      <top/>
      <bottom style="thin">
        <color rgb="FF82A4BD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">
    <xf numFmtId="165" fontId="0" fillId="0" borderId="0" applyFont="0" applyFill="0" applyBorder="0" applyProtection="0">
      <alignment vertical="top"/>
    </xf>
    <xf numFmtId="164" fontId="1" fillId="0" borderId="0" applyFont="0" applyFill="0" applyBorder="0" applyAlignment="0" applyProtection="0"/>
    <xf numFmtId="186" fontId="1" fillId="0" borderId="0" applyFont="0" applyFill="0" applyBorder="0" applyProtection="0">
      <alignment vertical="top"/>
    </xf>
    <xf numFmtId="0" fontId="3" fillId="0" borderId="0"/>
    <xf numFmtId="166" fontId="1" fillId="0" borderId="0" applyFont="0" applyFill="0" applyBorder="0" applyProtection="0">
      <alignment vertical="top"/>
    </xf>
    <xf numFmtId="167" fontId="1" fillId="0" borderId="0" applyFont="0" applyFill="0" applyBorder="0" applyProtection="0">
      <alignment vertical="top"/>
    </xf>
    <xf numFmtId="168" fontId="1" fillId="0" borderId="0" applyFont="0" applyFill="0" applyBorder="0" applyProtection="0">
      <alignment vertical="top"/>
    </xf>
    <xf numFmtId="169" fontId="1" fillId="0" borderId="0" applyFont="0" applyFill="0" applyBorder="0" applyProtection="0">
      <alignment vertical="top"/>
    </xf>
  </cellStyleXfs>
  <cellXfs count="595">
    <xf numFmtId="165" fontId="0" fillId="0" borderId="0" xfId="0">
      <alignment vertical="top"/>
    </xf>
    <xf numFmtId="165" fontId="2" fillId="0" borderId="0" xfId="0" applyFont="1">
      <alignment vertical="top"/>
    </xf>
    <xf numFmtId="165" fontId="0" fillId="0" borderId="0" xfId="0" applyFont="1">
      <alignment vertical="top"/>
    </xf>
    <xf numFmtId="165" fontId="1" fillId="0" borderId="0" xfId="0" applyFont="1">
      <alignment vertical="top"/>
    </xf>
    <xf numFmtId="165" fontId="1" fillId="0" borderId="0" xfId="0" applyFont="1" applyAlignment="1">
      <alignment horizontal="left" vertical="top"/>
    </xf>
    <xf numFmtId="171" fontId="1" fillId="0" borderId="0" xfId="3" applyNumberFormat="1" applyFont="1" applyFill="1" applyAlignment="1">
      <alignment horizontal="right"/>
    </xf>
    <xf numFmtId="0" fontId="8" fillId="0" borderId="0" xfId="3" applyFont="1"/>
    <xf numFmtId="0" fontId="9" fillId="0" borderId="0" xfId="3" applyFont="1"/>
    <xf numFmtId="0" fontId="10" fillId="0" borderId="0" xfId="3" applyFont="1"/>
    <xf numFmtId="0" fontId="8" fillId="0" borderId="0" xfId="3" applyFont="1" applyAlignment="1">
      <alignment horizontal="right"/>
    </xf>
    <xf numFmtId="0" fontId="1" fillId="0" borderId="0" xfId="3" applyFont="1" applyBorder="1" applyAlignment="1">
      <alignment horizontal="right"/>
    </xf>
    <xf numFmtId="0" fontId="1" fillId="0" borderId="11" xfId="3" applyFont="1" applyBorder="1" applyAlignment="1">
      <alignment horizontal="right"/>
    </xf>
    <xf numFmtId="165" fontId="1" fillId="0" borderId="11" xfId="0" applyFont="1" applyBorder="1">
      <alignment vertical="top"/>
    </xf>
    <xf numFmtId="0" fontId="1" fillId="0" borderId="0" xfId="3" applyFont="1" applyFill="1" applyBorder="1" applyAlignment="1">
      <alignment horizontal="right"/>
    </xf>
    <xf numFmtId="0" fontId="1" fillId="0" borderId="14" xfId="3" applyFont="1" applyBorder="1" applyAlignment="1">
      <alignment horizontal="right"/>
    </xf>
    <xf numFmtId="165" fontId="1" fillId="0" borderId="14" xfId="0" applyFont="1" applyBorder="1">
      <alignment vertical="top"/>
    </xf>
    <xf numFmtId="1" fontId="1" fillId="2" borderId="0" xfId="0" applyNumberFormat="1" applyFont="1" applyFill="1" applyBorder="1">
      <alignment vertical="top"/>
    </xf>
    <xf numFmtId="171" fontId="1" fillId="0" borderId="3" xfId="3" applyNumberFormat="1" applyFont="1" applyFill="1" applyBorder="1" applyAlignment="1">
      <alignment horizontal="right"/>
    </xf>
    <xf numFmtId="171" fontId="1" fillId="0" borderId="15" xfId="3" applyNumberFormat="1" applyFont="1" applyFill="1" applyBorder="1" applyAlignment="1">
      <alignment horizontal="right"/>
    </xf>
    <xf numFmtId="171" fontId="2" fillId="0" borderId="3" xfId="3" applyNumberFormat="1" applyFont="1" applyFill="1" applyBorder="1" applyAlignment="1">
      <alignment horizontal="right"/>
    </xf>
    <xf numFmtId="171" fontId="2" fillId="0" borderId="15" xfId="3" applyNumberFormat="1" applyFont="1" applyFill="1" applyBorder="1" applyAlignment="1">
      <alignment horizontal="right"/>
    </xf>
    <xf numFmtId="165" fontId="6" fillId="0" borderId="0" xfId="0" applyFont="1">
      <alignment vertical="top"/>
    </xf>
    <xf numFmtId="165" fontId="2" fillId="0" borderId="0" xfId="0" applyFont="1" applyAlignment="1">
      <alignment horizontal="left" vertical="top"/>
    </xf>
    <xf numFmtId="0" fontId="1" fillId="0" borderId="15" xfId="3" applyFont="1" applyFill="1" applyBorder="1"/>
    <xf numFmtId="170" fontId="2" fillId="0" borderId="3" xfId="3" applyNumberFormat="1" applyFont="1" applyBorder="1" applyAlignment="1">
      <alignment horizontal="right"/>
    </xf>
    <xf numFmtId="170" fontId="2" fillId="0" borderId="15" xfId="3" applyNumberFormat="1" applyFont="1" applyBorder="1" applyAlignment="1">
      <alignment horizontal="right"/>
    </xf>
    <xf numFmtId="170" fontId="2" fillId="0" borderId="12" xfId="3" applyNumberFormat="1" applyFont="1" applyBorder="1" applyAlignment="1">
      <alignment horizontal="right"/>
    </xf>
    <xf numFmtId="0" fontId="6" fillId="0" borderId="0" xfId="3" applyFont="1" applyFill="1"/>
    <xf numFmtId="171" fontId="1" fillId="0" borderId="16" xfId="3" applyNumberFormat="1" applyFont="1" applyFill="1" applyBorder="1" applyAlignment="1">
      <alignment horizontal="right"/>
    </xf>
    <xf numFmtId="171" fontId="1" fillId="0" borderId="2" xfId="3" applyNumberFormat="1" applyFont="1" applyFill="1" applyBorder="1" applyAlignment="1">
      <alignment horizontal="right"/>
    </xf>
    <xf numFmtId="171" fontId="1" fillId="0" borderId="17" xfId="3" applyNumberFormat="1" applyFont="1" applyFill="1" applyBorder="1" applyAlignment="1">
      <alignment horizontal="right"/>
    </xf>
    <xf numFmtId="165" fontId="0" fillId="0" borderId="11" xfId="0" applyFont="1" applyFill="1" applyBorder="1">
      <alignment vertical="top"/>
    </xf>
    <xf numFmtId="165" fontId="0" fillId="0" borderId="0" xfId="0" applyFont="1" applyFill="1" applyBorder="1">
      <alignment vertical="top"/>
    </xf>
    <xf numFmtId="165" fontId="0" fillId="0" borderId="14" xfId="0" applyFont="1" applyFill="1" applyBorder="1">
      <alignment vertical="top"/>
    </xf>
    <xf numFmtId="174" fontId="1" fillId="2" borderId="0" xfId="2" applyNumberFormat="1" applyFont="1" applyFill="1" applyBorder="1">
      <alignment vertical="top"/>
    </xf>
    <xf numFmtId="0" fontId="14" fillId="3" borderId="4" xfId="3" applyFont="1" applyFill="1" applyBorder="1"/>
    <xf numFmtId="0" fontId="14" fillId="3" borderId="5" xfId="3" applyFont="1" applyFill="1" applyBorder="1"/>
    <xf numFmtId="0" fontId="14" fillId="3" borderId="6" xfId="3" applyFont="1" applyFill="1" applyBorder="1"/>
    <xf numFmtId="0" fontId="14" fillId="3" borderId="7" xfId="3" applyFont="1" applyFill="1" applyBorder="1"/>
    <xf numFmtId="0" fontId="8" fillId="0" borderId="6" xfId="3" applyFont="1" applyBorder="1"/>
    <xf numFmtId="0" fontId="8" fillId="0" borderId="8" xfId="3" applyFont="1" applyBorder="1"/>
    <xf numFmtId="0" fontId="8" fillId="5" borderId="6" xfId="3" applyFont="1" applyFill="1" applyBorder="1"/>
    <xf numFmtId="0" fontId="8" fillId="5" borderId="7" xfId="3" applyFont="1" applyFill="1" applyBorder="1"/>
    <xf numFmtId="175" fontId="8" fillId="0" borderId="7" xfId="3" applyNumberFormat="1" applyFont="1" applyBorder="1"/>
    <xf numFmtId="175" fontId="8" fillId="0" borderId="10" xfId="3" applyNumberFormat="1" applyFont="1" applyBorder="1"/>
    <xf numFmtId="0" fontId="8" fillId="5" borderId="8" xfId="3" applyFont="1" applyFill="1" applyBorder="1"/>
    <xf numFmtId="175" fontId="8" fillId="5" borderId="10" xfId="3" applyNumberFormat="1" applyFont="1" applyFill="1" applyBorder="1"/>
    <xf numFmtId="0" fontId="8" fillId="0" borderId="8" xfId="3" applyFont="1" applyBorder="1" applyAlignment="1">
      <alignment horizontal="right"/>
    </xf>
    <xf numFmtId="0" fontId="1" fillId="6" borderId="0" xfId="3" applyFont="1" applyFill="1" applyBorder="1" applyAlignment="1">
      <alignment horizontal="centerContinuous"/>
    </xf>
    <xf numFmtId="0" fontId="1" fillId="6" borderId="14" xfId="3" applyFont="1" applyFill="1" applyBorder="1" applyAlignment="1">
      <alignment horizontal="centerContinuous"/>
    </xf>
    <xf numFmtId="0" fontId="16" fillId="7" borderId="12" xfId="3" applyFont="1" applyFill="1" applyBorder="1" applyAlignment="1">
      <alignment horizontal="centerContinuous"/>
    </xf>
    <xf numFmtId="0" fontId="16" fillId="7" borderId="3" xfId="3" applyFont="1" applyFill="1" applyBorder="1" applyAlignment="1">
      <alignment horizontal="centerContinuous"/>
    </xf>
    <xf numFmtId="0" fontId="16" fillId="7" borderId="15" xfId="3" applyFont="1" applyFill="1" applyBorder="1" applyAlignment="1">
      <alignment horizontal="centerContinuous"/>
    </xf>
    <xf numFmtId="0" fontId="12" fillId="7" borderId="0" xfId="3" applyFont="1" applyFill="1"/>
    <xf numFmtId="179" fontId="0" fillId="0" borderId="0" xfId="2" applyNumberFormat="1" applyFont="1">
      <alignment vertical="top"/>
    </xf>
    <xf numFmtId="180" fontId="1" fillId="2" borderId="0" xfId="3" applyNumberFormat="1" applyFont="1" applyFill="1" applyBorder="1"/>
    <xf numFmtId="165" fontId="17" fillId="0" borderId="0" xfId="0" applyFont="1" applyFill="1" applyBorder="1" applyAlignment="1"/>
    <xf numFmtId="181" fontId="1" fillId="0" borderId="0" xfId="3" applyNumberFormat="1" applyFont="1"/>
    <xf numFmtId="182" fontId="1" fillId="0" borderId="0" xfId="3" applyNumberFormat="1" applyFont="1"/>
    <xf numFmtId="0" fontId="5" fillId="0" borderId="0" xfId="3" applyFont="1" applyAlignment="1">
      <alignment horizontal="right"/>
    </xf>
    <xf numFmtId="0" fontId="1" fillId="0" borderId="0" xfId="3" applyFont="1" applyFill="1" applyBorder="1"/>
    <xf numFmtId="170" fontId="2" fillId="0" borderId="0" xfId="3" applyNumberFormat="1" applyFont="1" applyBorder="1" applyAlignment="1">
      <alignment horizontal="right"/>
    </xf>
    <xf numFmtId="180" fontId="1" fillId="0" borderId="11" xfId="3" applyNumberFormat="1" applyFont="1" applyFill="1" applyBorder="1"/>
    <xf numFmtId="170" fontId="2" fillId="0" borderId="12" xfId="3" applyNumberFormat="1" applyFont="1" applyFill="1" applyBorder="1" applyAlignment="1">
      <alignment horizontal="right"/>
    </xf>
    <xf numFmtId="180" fontId="1" fillId="0" borderId="14" xfId="3" applyNumberFormat="1" applyFont="1" applyFill="1" applyBorder="1"/>
    <xf numFmtId="170" fontId="2" fillId="0" borderId="15" xfId="3" applyNumberFormat="1" applyFont="1" applyFill="1" applyBorder="1" applyAlignment="1">
      <alignment horizontal="right"/>
    </xf>
    <xf numFmtId="173" fontId="1" fillId="0" borderId="0" xfId="3" applyNumberFormat="1" applyFont="1"/>
    <xf numFmtId="0" fontId="2" fillId="2" borderId="13" xfId="3" applyFont="1" applyFill="1" applyBorder="1" applyAlignment="1">
      <alignment horizontal="left"/>
    </xf>
    <xf numFmtId="177" fontId="1" fillId="0" borderId="11" xfId="3" applyNumberFormat="1" applyFont="1" applyFill="1" applyBorder="1" applyAlignment="1">
      <alignment horizontal="right"/>
    </xf>
    <xf numFmtId="177" fontId="1" fillId="0" borderId="14" xfId="3" applyNumberFormat="1" applyFont="1" applyFill="1" applyBorder="1" applyAlignment="1">
      <alignment horizontal="right"/>
    </xf>
    <xf numFmtId="170" fontId="2" fillId="0" borderId="11" xfId="3" applyNumberFormat="1" applyFont="1" applyFill="1" applyBorder="1" applyAlignment="1">
      <alignment horizontal="right"/>
    </xf>
    <xf numFmtId="170" fontId="2" fillId="0" borderId="14" xfId="3" applyNumberFormat="1" applyFont="1" applyFill="1" applyBorder="1" applyAlignment="1">
      <alignment horizontal="right"/>
    </xf>
    <xf numFmtId="0" fontId="5" fillId="0" borderId="0" xfId="3" applyFont="1"/>
    <xf numFmtId="170" fontId="1" fillId="0" borderId="12" xfId="3" applyNumberFormat="1" applyFont="1" applyFill="1" applyBorder="1" applyAlignment="1">
      <alignment horizontal="right"/>
    </xf>
    <xf numFmtId="170" fontId="1" fillId="0" borderId="3" xfId="3" applyNumberFormat="1" applyFont="1" applyBorder="1" applyAlignment="1">
      <alignment horizontal="right"/>
    </xf>
    <xf numFmtId="170" fontId="1" fillId="0" borderId="15" xfId="3" applyNumberFormat="1" applyFont="1" applyFill="1" applyBorder="1" applyAlignment="1">
      <alignment horizontal="right"/>
    </xf>
    <xf numFmtId="178" fontId="4" fillId="8" borderId="0" xfId="0" applyNumberFormat="1" applyFont="1" applyFill="1">
      <alignment vertical="top"/>
    </xf>
    <xf numFmtId="165" fontId="0" fillId="0" borderId="2" xfId="0" applyFont="1" applyBorder="1" applyAlignment="1"/>
    <xf numFmtId="0" fontId="1" fillId="0" borderId="0" xfId="3" applyFont="1" applyFill="1" applyAlignment="1"/>
    <xf numFmtId="0" fontId="1" fillId="0" borderId="0" xfId="3" applyFont="1" applyBorder="1"/>
    <xf numFmtId="0" fontId="2" fillId="4" borderId="0" xfId="3" quotePrefix="1" applyFont="1" applyFill="1" applyBorder="1"/>
    <xf numFmtId="170" fontId="2" fillId="0" borderId="0" xfId="3" applyNumberFormat="1" applyFont="1" applyFill="1" applyBorder="1" applyAlignment="1">
      <alignment horizontal="right"/>
    </xf>
    <xf numFmtId="171" fontId="1" fillId="0" borderId="0" xfId="3" applyNumberFormat="1" applyFont="1" applyBorder="1"/>
    <xf numFmtId="170" fontId="1" fillId="0" borderId="3" xfId="3" applyNumberFormat="1" applyFont="1" applyFill="1" applyBorder="1" applyAlignment="1">
      <alignment horizontal="right"/>
    </xf>
    <xf numFmtId="165" fontId="0" fillId="0" borderId="0" xfId="0" applyFont="1" applyAlignment="1">
      <alignment horizontal="left"/>
    </xf>
    <xf numFmtId="165" fontId="21" fillId="6" borderId="11" xfId="0" applyFont="1" applyFill="1" applyBorder="1" applyAlignment="1">
      <alignment horizontal="centerContinuous"/>
    </xf>
    <xf numFmtId="0" fontId="0" fillId="6" borderId="0" xfId="3" applyFont="1" applyFill="1" applyBorder="1" applyAlignment="1">
      <alignment horizontal="centerContinuous"/>
    </xf>
    <xf numFmtId="0" fontId="0" fillId="6" borderId="14" xfId="3" applyFont="1" applyFill="1" applyBorder="1" applyAlignment="1">
      <alignment horizontal="centerContinuous"/>
    </xf>
    <xf numFmtId="165" fontId="21" fillId="6" borderId="0" xfId="0" applyFont="1" applyFill="1" applyBorder="1" applyAlignment="1">
      <alignment horizontal="centerContinuous"/>
    </xf>
    <xf numFmtId="165" fontId="2" fillId="0" borderId="0" xfId="0" applyFont="1" applyAlignment="1"/>
    <xf numFmtId="165" fontId="0" fillId="0" borderId="0" xfId="0" applyFont="1" applyAlignment="1"/>
    <xf numFmtId="165" fontId="1" fillId="0" borderId="0" xfId="0" applyFont="1" applyAlignment="1"/>
    <xf numFmtId="0" fontId="2" fillId="0" borderId="0" xfId="3" applyFont="1"/>
    <xf numFmtId="0" fontId="1" fillId="0" borderId="0" xfId="3" applyFont="1"/>
    <xf numFmtId="0" fontId="1" fillId="0" borderId="0" xfId="3" applyFont="1" applyAlignment="1">
      <alignment horizontal="right"/>
    </xf>
    <xf numFmtId="0" fontId="1" fillId="0" borderId="0" xfId="3" applyFont="1" applyFill="1"/>
    <xf numFmtId="165" fontId="1" fillId="0" borderId="0" xfId="0" applyFont="1" applyFill="1" applyAlignment="1"/>
    <xf numFmtId="165" fontId="0" fillId="0" borderId="0" xfId="0" applyFont="1" applyFill="1" applyAlignment="1"/>
    <xf numFmtId="0" fontId="1" fillId="0" borderId="0" xfId="3" applyFont="1" applyAlignment="1">
      <alignment horizontal="left"/>
    </xf>
    <xf numFmtId="0" fontId="1" fillId="0" borderId="0" xfId="3" applyFont="1" applyFill="1" applyAlignment="1">
      <alignment horizontal="right"/>
    </xf>
    <xf numFmtId="165" fontId="1" fillId="0" borderId="0" xfId="0" applyFont="1" applyFill="1">
      <alignment vertical="top"/>
    </xf>
    <xf numFmtId="0" fontId="1" fillId="0" borderId="0" xfId="3" applyFont="1" applyFill="1" applyAlignment="1">
      <alignment horizontal="left"/>
    </xf>
    <xf numFmtId="9" fontId="1" fillId="0" borderId="0" xfId="3" applyNumberFormat="1" applyFont="1" applyFill="1" applyAlignment="1">
      <alignment horizontal="right"/>
    </xf>
    <xf numFmtId="10" fontId="1" fillId="0" borderId="0" xfId="3" applyNumberFormat="1" applyFont="1" applyFill="1" applyAlignment="1">
      <alignment horizontal="right"/>
    </xf>
    <xf numFmtId="171" fontId="1" fillId="0" borderId="0" xfId="1" applyNumberFormat="1" applyFont="1" applyFill="1" applyAlignment="1">
      <alignment vertical="top"/>
    </xf>
    <xf numFmtId="165" fontId="0" fillId="0" borderId="3" xfId="0" applyFont="1" applyBorder="1" applyAlignment="1"/>
    <xf numFmtId="0" fontId="11" fillId="0" borderId="0" xfId="3" applyFont="1"/>
    <xf numFmtId="0" fontId="2" fillId="0" borderId="0" xfId="3" applyFont="1" applyAlignment="1">
      <alignment horizontal="right"/>
    </xf>
    <xf numFmtId="0" fontId="2" fillId="0" borderId="0" xfId="3" applyFont="1" applyFill="1" applyAlignment="1">
      <alignment horizontal="right"/>
    </xf>
    <xf numFmtId="0" fontId="6" fillId="0" borderId="0" xfId="3" applyFont="1"/>
    <xf numFmtId="165" fontId="5" fillId="0" borderId="0" xfId="0" applyFont="1" applyAlignment="1">
      <alignment horizontal="left" vertical="top"/>
    </xf>
    <xf numFmtId="0" fontId="1" fillId="2" borderId="11" xfId="3" applyFont="1" applyFill="1" applyBorder="1" applyAlignment="1">
      <alignment horizontal="right"/>
    </xf>
    <xf numFmtId="9" fontId="1" fillId="0" borderId="11" xfId="3" applyNumberFormat="1" applyFont="1" applyFill="1" applyBorder="1" applyAlignment="1">
      <alignment horizontal="right"/>
    </xf>
    <xf numFmtId="171" fontId="1" fillId="0" borderId="11" xfId="1" applyNumberFormat="1" applyFont="1" applyFill="1" applyBorder="1" applyAlignment="1">
      <alignment vertical="top"/>
    </xf>
    <xf numFmtId="165" fontId="1" fillId="2" borderId="11" xfId="0" applyFont="1" applyFill="1" applyBorder="1">
      <alignment vertical="top"/>
    </xf>
    <xf numFmtId="0" fontId="1" fillId="0" borderId="11" xfId="3" applyFont="1" applyFill="1" applyBorder="1" applyAlignment="1">
      <alignment horizontal="right"/>
    </xf>
    <xf numFmtId="0" fontId="1" fillId="2" borderId="0" xfId="3" applyFont="1" applyFill="1" applyBorder="1" applyAlignment="1">
      <alignment horizontal="right"/>
    </xf>
    <xf numFmtId="0" fontId="1" fillId="2" borderId="14" xfId="3" applyFont="1" applyFill="1" applyBorder="1" applyAlignment="1">
      <alignment horizontal="right"/>
    </xf>
    <xf numFmtId="9" fontId="1" fillId="0" borderId="0" xfId="3" applyNumberFormat="1" applyFont="1" applyFill="1" applyBorder="1" applyAlignment="1">
      <alignment horizontal="right"/>
    </xf>
    <xf numFmtId="9" fontId="1" fillId="0" borderId="14" xfId="3" applyNumberFormat="1" applyFont="1" applyFill="1" applyBorder="1" applyAlignment="1">
      <alignment horizontal="right"/>
    </xf>
    <xf numFmtId="171" fontId="1" fillId="0" borderId="0" xfId="1" applyNumberFormat="1" applyFont="1" applyFill="1" applyBorder="1" applyAlignment="1">
      <alignment vertical="top"/>
    </xf>
    <xf numFmtId="171" fontId="1" fillId="0" borderId="14" xfId="1" applyNumberFormat="1" applyFont="1" applyFill="1" applyBorder="1" applyAlignment="1">
      <alignment vertical="top"/>
    </xf>
    <xf numFmtId="165" fontId="1" fillId="2" borderId="0" xfId="0" applyFont="1" applyFill="1" applyBorder="1">
      <alignment vertical="top"/>
    </xf>
    <xf numFmtId="165" fontId="1" fillId="2" borderId="14" xfId="0" applyFont="1" applyFill="1" applyBorder="1">
      <alignment vertical="top"/>
    </xf>
    <xf numFmtId="165" fontId="1" fillId="0" borderId="11" xfId="0" applyFont="1" applyFill="1" applyBorder="1">
      <alignment vertical="top"/>
    </xf>
    <xf numFmtId="0" fontId="1" fillId="0" borderId="14" xfId="3" applyFont="1" applyFill="1" applyBorder="1" applyAlignment="1">
      <alignment horizontal="right"/>
    </xf>
    <xf numFmtId="165" fontId="1" fillId="0" borderId="0" xfId="0" applyFont="1" applyBorder="1">
      <alignment vertical="top"/>
    </xf>
    <xf numFmtId="165" fontId="0" fillId="0" borderId="0" xfId="0" applyFont="1" applyFill="1" applyBorder="1" applyAlignment="1"/>
    <xf numFmtId="165" fontId="0" fillId="0" borderId="3" xfId="0" applyFont="1" applyFill="1" applyBorder="1" applyAlignment="1"/>
    <xf numFmtId="171" fontId="1" fillId="0" borderId="12" xfId="1" applyNumberFormat="1" applyFont="1" applyFill="1" applyBorder="1" applyAlignment="1">
      <alignment vertical="top"/>
    </xf>
    <xf numFmtId="171" fontId="1" fillId="0" borderId="3" xfId="1" applyNumberFormat="1" applyFont="1" applyFill="1" applyBorder="1" applyAlignment="1">
      <alignment vertical="top"/>
    </xf>
    <xf numFmtId="171" fontId="1" fillId="0" borderId="15" xfId="1" applyNumberFormat="1" applyFont="1" applyFill="1" applyBorder="1" applyAlignment="1">
      <alignment vertical="top"/>
    </xf>
    <xf numFmtId="165" fontId="1" fillId="0" borderId="0" xfId="0" applyFont="1" applyFill="1" applyBorder="1">
      <alignment vertical="top"/>
    </xf>
    <xf numFmtId="165" fontId="1" fillId="0" borderId="14" xfId="0" applyFont="1" applyFill="1" applyBorder="1">
      <alignment vertical="top"/>
    </xf>
    <xf numFmtId="165" fontId="6" fillId="0" borderId="0" xfId="0" applyFont="1" applyAlignment="1"/>
    <xf numFmtId="0" fontId="2" fillId="0" borderId="0" xfId="3" applyFont="1" applyAlignment="1">
      <alignment horizontal="left"/>
    </xf>
    <xf numFmtId="165" fontId="2" fillId="0" borderId="3" xfId="0" applyFont="1" applyBorder="1" applyAlignment="1"/>
    <xf numFmtId="165" fontId="2" fillId="0" borderId="3" xfId="0" applyFont="1" applyFill="1" applyBorder="1" applyAlignment="1"/>
    <xf numFmtId="171" fontId="2" fillId="0" borderId="12" xfId="1" applyNumberFormat="1" applyFont="1" applyFill="1" applyBorder="1" applyAlignment="1">
      <alignment vertical="top"/>
    </xf>
    <xf numFmtId="171" fontId="2" fillId="0" borderId="3" xfId="1" applyNumberFormat="1" applyFont="1" applyFill="1" applyBorder="1" applyAlignment="1">
      <alignment vertical="top"/>
    </xf>
    <xf numFmtId="171" fontId="2" fillId="0" borderId="15" xfId="1" applyNumberFormat="1" applyFont="1" applyFill="1" applyBorder="1" applyAlignment="1">
      <alignment vertical="top"/>
    </xf>
    <xf numFmtId="171" fontId="2" fillId="0" borderId="0" xfId="1" applyNumberFormat="1" applyFont="1" applyFill="1" applyAlignment="1">
      <alignment vertical="top"/>
    </xf>
    <xf numFmtId="165" fontId="2" fillId="0" borderId="0" xfId="0" applyFont="1" applyBorder="1" applyAlignment="1"/>
    <xf numFmtId="171" fontId="2" fillId="0" borderId="0" xfId="3" applyNumberFormat="1" applyFont="1" applyFill="1" applyBorder="1" applyAlignment="1">
      <alignment horizontal="right"/>
    </xf>
    <xf numFmtId="171" fontId="2" fillId="0" borderId="14" xfId="3" applyNumberFormat="1" applyFont="1" applyFill="1" applyBorder="1" applyAlignment="1">
      <alignment horizontal="right"/>
    </xf>
    <xf numFmtId="165" fontId="6" fillId="0" borderId="0" xfId="0" applyFont="1" applyFill="1" applyAlignment="1"/>
    <xf numFmtId="0" fontId="4" fillId="0" borderId="0" xfId="3" applyFont="1" applyFill="1" applyAlignment="1">
      <alignment horizontal="centerContinuous"/>
    </xf>
    <xf numFmtId="0" fontId="6" fillId="0" borderId="0" xfId="3" applyFont="1" applyAlignment="1">
      <alignment horizontal="right"/>
    </xf>
    <xf numFmtId="0" fontId="6" fillId="0" borderId="0" xfId="3" applyFont="1" applyFill="1" applyAlignment="1">
      <alignment horizontal="right"/>
    </xf>
    <xf numFmtId="0" fontId="2" fillId="0" borderId="0" xfId="3" applyFont="1" applyFill="1" applyAlignment="1">
      <alignment horizontal="left"/>
    </xf>
    <xf numFmtId="165" fontId="1" fillId="0" borderId="3" xfId="0" applyFont="1" applyBorder="1" applyAlignment="1"/>
    <xf numFmtId="165" fontId="1" fillId="0" borderId="12" xfId="0" applyFont="1" applyFill="1" applyBorder="1">
      <alignment vertical="top"/>
    </xf>
    <xf numFmtId="165" fontId="1" fillId="0" borderId="3" xfId="0" applyFont="1" applyFill="1" applyBorder="1">
      <alignment vertical="top"/>
    </xf>
    <xf numFmtId="165" fontId="1" fillId="0" borderId="15" xfId="0" applyFont="1" applyFill="1" applyBorder="1">
      <alignment vertical="top"/>
    </xf>
    <xf numFmtId="171" fontId="2" fillId="0" borderId="11" xfId="3" applyNumberFormat="1" applyFont="1" applyFill="1" applyBorder="1" applyAlignment="1">
      <alignment horizontal="right"/>
    </xf>
    <xf numFmtId="171" fontId="2" fillId="0" borderId="0" xfId="3" applyNumberFormat="1" applyFont="1" applyFill="1" applyAlignment="1">
      <alignment horizontal="right"/>
    </xf>
    <xf numFmtId="165" fontId="2" fillId="0" borderId="2" xfId="0" applyFont="1" applyBorder="1" applyAlignment="1"/>
    <xf numFmtId="171" fontId="2" fillId="0" borderId="16" xfId="3" applyNumberFormat="1" applyFont="1" applyFill="1" applyBorder="1" applyAlignment="1">
      <alignment horizontal="right"/>
    </xf>
    <xf numFmtId="171" fontId="2" fillId="0" borderId="2" xfId="3" applyNumberFormat="1" applyFont="1" applyFill="1" applyBorder="1" applyAlignment="1">
      <alignment horizontal="right"/>
    </xf>
    <xf numFmtId="171" fontId="2" fillId="0" borderId="17" xfId="3" applyNumberFormat="1" applyFont="1" applyFill="1" applyBorder="1" applyAlignment="1">
      <alignment horizontal="right"/>
    </xf>
    <xf numFmtId="165" fontId="2" fillId="0" borderId="18" xfId="0" applyFont="1" applyBorder="1" applyAlignment="1"/>
    <xf numFmtId="0" fontId="2" fillId="0" borderId="0" xfId="3" applyFont="1" applyFill="1"/>
    <xf numFmtId="173" fontId="2" fillId="0" borderId="18" xfId="3" applyNumberFormat="1" applyFont="1" applyFill="1" applyBorder="1" applyAlignment="1">
      <alignment horizontal="center"/>
    </xf>
    <xf numFmtId="173" fontId="2" fillId="0" borderId="19" xfId="3" applyNumberFormat="1" applyFont="1" applyFill="1" applyBorder="1" applyAlignment="1"/>
    <xf numFmtId="172" fontId="2" fillId="0" borderId="18" xfId="3" applyNumberFormat="1" applyFont="1" applyFill="1" applyBorder="1" applyAlignment="1"/>
    <xf numFmtId="172" fontId="2" fillId="0" borderId="20" xfId="3" applyNumberFormat="1" applyFont="1" applyFill="1" applyBorder="1" applyAlignment="1"/>
    <xf numFmtId="171" fontId="2" fillId="0" borderId="0" xfId="3" applyNumberFormat="1" applyFont="1" applyFill="1" applyAlignment="1"/>
    <xf numFmtId="165" fontId="2" fillId="0" borderId="0" xfId="0" applyFont="1" applyAlignment="1">
      <alignment horizontal="left"/>
    </xf>
    <xf numFmtId="165" fontId="1" fillId="0" borderId="0" xfId="0" applyFont="1" applyAlignment="1">
      <alignment horizontal="left"/>
    </xf>
    <xf numFmtId="0" fontId="2" fillId="0" borderId="0" xfId="3" applyFont="1" applyBorder="1" applyAlignment="1">
      <alignment horizontal="left"/>
    </xf>
    <xf numFmtId="0" fontId="12" fillId="6" borderId="0" xfId="3" applyFont="1" applyFill="1" applyBorder="1" applyAlignment="1">
      <alignment horizontal="centerContinuous"/>
    </xf>
    <xf numFmtId="0" fontId="12" fillId="6" borderId="14" xfId="3" applyFont="1" applyFill="1" applyBorder="1" applyAlignment="1">
      <alignment horizontal="centerContinuous"/>
    </xf>
    <xf numFmtId="0" fontId="6" fillId="0" borderId="0" xfId="3" applyFont="1" applyBorder="1" applyAlignment="1">
      <alignment horizontal="right"/>
    </xf>
    <xf numFmtId="0" fontId="2" fillId="4" borderId="0" xfId="3" quotePrefix="1" applyFont="1" applyFill="1"/>
    <xf numFmtId="176" fontId="1" fillId="2" borderId="0" xfId="3" applyNumberFormat="1" applyFont="1" applyFill="1" applyBorder="1" applyAlignment="1">
      <alignment horizontal="right"/>
    </xf>
    <xf numFmtId="176" fontId="1" fillId="2" borderId="14" xfId="3" applyNumberFormat="1" applyFont="1" applyFill="1" applyBorder="1" applyAlignment="1">
      <alignment horizontal="right"/>
    </xf>
    <xf numFmtId="177" fontId="1" fillId="2" borderId="11" xfId="3" applyNumberFormat="1" applyFont="1" applyFill="1" applyBorder="1" applyAlignment="1">
      <alignment horizontal="right"/>
    </xf>
    <xf numFmtId="177" fontId="1" fillId="2" borderId="0" xfId="3" applyNumberFormat="1" applyFont="1" applyFill="1" applyBorder="1" applyAlignment="1">
      <alignment horizontal="right"/>
    </xf>
    <xf numFmtId="177" fontId="1" fillId="2" borderId="14" xfId="3" applyNumberFormat="1" applyFont="1" applyFill="1" applyBorder="1" applyAlignment="1">
      <alignment horizontal="right"/>
    </xf>
    <xf numFmtId="165" fontId="13" fillId="6" borderId="11" xfId="0" applyFont="1" applyFill="1" applyBorder="1" applyAlignment="1">
      <alignment horizontal="centerContinuous"/>
    </xf>
    <xf numFmtId="0" fontId="15" fillId="0" borderId="12" xfId="3" applyFont="1" applyFill="1" applyBorder="1" applyAlignment="1">
      <alignment horizontal="centerContinuous"/>
    </xf>
    <xf numFmtId="0" fontId="15" fillId="0" borderId="3" xfId="3" applyFont="1" applyFill="1" applyBorder="1" applyAlignment="1">
      <alignment horizontal="centerContinuous"/>
    </xf>
    <xf numFmtId="0" fontId="15" fillId="0" borderId="15" xfId="3" applyFont="1" applyFill="1" applyBorder="1" applyAlignment="1">
      <alignment horizontal="centerContinuous"/>
    </xf>
    <xf numFmtId="0" fontId="1" fillId="0" borderId="0" xfId="3" quotePrefix="1" applyFont="1" applyFill="1"/>
    <xf numFmtId="178" fontId="2" fillId="0" borderId="0" xfId="0" applyNumberFormat="1" applyFont="1">
      <alignment vertical="top"/>
    </xf>
    <xf numFmtId="178" fontId="6" fillId="0" borderId="0" xfId="0" applyNumberFormat="1" applyFont="1">
      <alignment vertical="top"/>
    </xf>
    <xf numFmtId="178" fontId="1" fillId="0" borderId="0" xfId="0" applyNumberFormat="1" applyFont="1">
      <alignment vertical="top"/>
    </xf>
    <xf numFmtId="178" fontId="1" fillId="2" borderId="0" xfId="0" applyNumberFormat="1" applyFont="1" applyFill="1" applyBorder="1">
      <alignment vertical="top"/>
    </xf>
    <xf numFmtId="178" fontId="1" fillId="0" borderId="0" xfId="0" applyNumberFormat="1" applyFont="1" applyFill="1">
      <alignment vertical="top"/>
    </xf>
    <xf numFmtId="179" fontId="2" fillId="0" borderId="0" xfId="2" applyNumberFormat="1" applyFont="1">
      <alignment vertical="top"/>
    </xf>
    <xf numFmtId="179" fontId="6" fillId="0" borderId="0" xfId="2" applyNumberFormat="1" applyFont="1">
      <alignment vertical="top"/>
    </xf>
    <xf numFmtId="179" fontId="1" fillId="0" borderId="0" xfId="2" applyNumberFormat="1" applyFont="1">
      <alignment vertical="top"/>
    </xf>
    <xf numFmtId="179" fontId="1" fillId="2" borderId="11" xfId="2" applyNumberFormat="1" applyFont="1" applyFill="1" applyBorder="1">
      <alignment vertical="top"/>
    </xf>
    <xf numFmtId="179" fontId="1" fillId="2" borderId="0" xfId="2" applyNumberFormat="1" applyFont="1" applyFill="1" applyBorder="1">
      <alignment vertical="top"/>
    </xf>
    <xf numFmtId="179" fontId="1" fillId="2" borderId="14" xfId="2" applyNumberFormat="1" applyFont="1" applyFill="1" applyBorder="1">
      <alignment vertical="top"/>
    </xf>
    <xf numFmtId="179" fontId="1" fillId="0" borderId="0" xfId="2" applyNumberFormat="1" applyFont="1" applyFill="1">
      <alignment vertical="top"/>
    </xf>
    <xf numFmtId="179" fontId="0" fillId="0" borderId="0" xfId="2" applyNumberFormat="1" applyFont="1" applyFill="1" applyBorder="1">
      <alignment vertical="top"/>
    </xf>
    <xf numFmtId="10" fontId="1" fillId="0" borderId="11" xfId="3" applyNumberFormat="1" applyFont="1" applyFill="1" applyBorder="1" applyAlignment="1">
      <alignment horizontal="right"/>
    </xf>
    <xf numFmtId="10" fontId="1" fillId="0" borderId="0" xfId="3" applyNumberFormat="1" applyFont="1" applyFill="1" applyBorder="1" applyAlignment="1">
      <alignment horizontal="right"/>
    </xf>
    <xf numFmtId="10" fontId="1" fillId="0" borderId="14" xfId="3" applyNumberFormat="1" applyFont="1" applyFill="1" applyBorder="1" applyAlignment="1">
      <alignment horizontal="right"/>
    </xf>
    <xf numFmtId="9" fontId="1" fillId="0" borderId="0" xfId="3" applyNumberFormat="1" applyFont="1" applyAlignment="1">
      <alignment horizontal="right"/>
    </xf>
    <xf numFmtId="9" fontId="1" fillId="0" borderId="14" xfId="3" applyNumberFormat="1" applyFont="1" applyBorder="1" applyAlignment="1">
      <alignment horizontal="right"/>
    </xf>
    <xf numFmtId="10" fontId="1" fillId="0" borderId="0" xfId="3" applyNumberFormat="1" applyFont="1" applyAlignment="1">
      <alignment horizontal="right"/>
    </xf>
    <xf numFmtId="10" fontId="1" fillId="0" borderId="14" xfId="3" applyNumberFormat="1" applyFont="1" applyBorder="1" applyAlignment="1">
      <alignment horizontal="right"/>
    </xf>
    <xf numFmtId="171" fontId="2" fillId="0" borderId="0" xfId="1" applyNumberFormat="1" applyFont="1" applyAlignment="1">
      <alignment vertical="top"/>
    </xf>
    <xf numFmtId="172" fontId="2" fillId="0" borderId="20" xfId="3" applyNumberFormat="1" applyFont="1" applyBorder="1"/>
    <xf numFmtId="171" fontId="2" fillId="0" borderId="0" xfId="3" applyNumberFormat="1" applyFont="1"/>
    <xf numFmtId="171" fontId="1" fillId="0" borderId="15" xfId="3" applyNumberFormat="1" applyFont="1" applyBorder="1" applyAlignment="1">
      <alignment horizontal="right"/>
    </xf>
    <xf numFmtId="180" fontId="1" fillId="0" borderId="14" xfId="3" applyNumberFormat="1" applyFont="1" applyBorder="1"/>
    <xf numFmtId="170" fontId="1" fillId="0" borderId="15" xfId="3" applyNumberFormat="1" applyFont="1" applyBorder="1" applyAlignment="1">
      <alignment horizontal="right"/>
    </xf>
    <xf numFmtId="175" fontId="22" fillId="2" borderId="11" xfId="3" applyNumberFormat="1" applyFont="1" applyFill="1" applyBorder="1" applyAlignment="1">
      <alignment horizontal="right"/>
    </xf>
    <xf numFmtId="175" fontId="22" fillId="2" borderId="0" xfId="3" applyNumberFormat="1" applyFont="1" applyFill="1" applyBorder="1" applyAlignment="1">
      <alignment horizontal="right"/>
    </xf>
    <xf numFmtId="176" fontId="22" fillId="2" borderId="14" xfId="3" applyNumberFormat="1" applyFont="1" applyFill="1" applyBorder="1" applyAlignment="1">
      <alignment horizontal="right"/>
    </xf>
    <xf numFmtId="184" fontId="1" fillId="2" borderId="11" xfId="0" applyNumberFormat="1" applyFont="1" applyFill="1" applyBorder="1">
      <alignment vertical="top"/>
    </xf>
    <xf numFmtId="184" fontId="1" fillId="2" borderId="0" xfId="0" applyNumberFormat="1" applyFont="1" applyFill="1" applyBorder="1">
      <alignment vertical="top"/>
    </xf>
    <xf numFmtId="184" fontId="1" fillId="2" borderId="14" xfId="0" applyNumberFormat="1" applyFont="1" applyFill="1" applyBorder="1">
      <alignment vertical="top"/>
    </xf>
    <xf numFmtId="0" fontId="12" fillId="2" borderId="11" xfId="3" applyFont="1" applyFill="1" applyBorder="1" applyAlignment="1">
      <alignment horizontal="left"/>
    </xf>
    <xf numFmtId="176" fontId="22" fillId="2" borderId="0" xfId="3" applyNumberFormat="1" applyFont="1" applyFill="1" applyBorder="1" applyAlignment="1">
      <alignment horizontal="right"/>
    </xf>
    <xf numFmtId="165" fontId="2" fillId="0" borderId="18" xfId="0" applyFont="1" applyFill="1" applyBorder="1">
      <alignment vertical="top"/>
    </xf>
    <xf numFmtId="165" fontId="2" fillId="0" borderId="20" xfId="0" applyFont="1" applyFill="1" applyBorder="1">
      <alignment vertical="top"/>
    </xf>
    <xf numFmtId="165" fontId="2" fillId="0" borderId="0" xfId="0" applyFont="1" applyFill="1">
      <alignment vertical="top"/>
    </xf>
    <xf numFmtId="165" fontId="2" fillId="0" borderId="19" xfId="0" applyFont="1" applyFill="1" applyBorder="1">
      <alignment vertical="top"/>
    </xf>
    <xf numFmtId="0" fontId="4" fillId="2" borderId="0" xfId="3" applyFont="1" applyFill="1" applyAlignment="1">
      <alignment horizontal="centerContinuous"/>
    </xf>
    <xf numFmtId="184" fontId="1" fillId="0" borderId="0" xfId="0" applyNumberFormat="1" applyFont="1" applyBorder="1">
      <alignment vertical="top"/>
    </xf>
    <xf numFmtId="164" fontId="1" fillId="0" borderId="0" xfId="3" applyNumberFormat="1" applyFont="1" applyBorder="1"/>
    <xf numFmtId="172" fontId="2" fillId="0" borderId="18" xfId="3" applyNumberFormat="1" applyFont="1" applyFill="1" applyBorder="1" applyAlignment="1">
      <alignment horizontal="center"/>
    </xf>
    <xf numFmtId="9" fontId="22" fillId="0" borderId="11" xfId="3" applyNumberFormat="1" applyFont="1" applyFill="1" applyBorder="1" applyAlignment="1">
      <alignment horizontal="right"/>
    </xf>
    <xf numFmtId="9" fontId="22" fillId="0" borderId="0" xfId="3" applyNumberFormat="1" applyFont="1" applyFill="1" applyAlignment="1">
      <alignment horizontal="centerContinuous"/>
    </xf>
    <xf numFmtId="9" fontId="22" fillId="0" borderId="14" xfId="3" applyNumberFormat="1" applyFont="1" applyFill="1" applyBorder="1" applyAlignment="1">
      <alignment horizontal="right"/>
    </xf>
    <xf numFmtId="9" fontId="12" fillId="0" borderId="0" xfId="3" applyNumberFormat="1" applyFont="1" applyFill="1" applyAlignment="1">
      <alignment horizontal="centerContinuous"/>
    </xf>
    <xf numFmtId="178" fontId="1" fillId="0" borderId="0" xfId="0" applyNumberFormat="1" applyFont="1" applyFill="1" applyAlignment="1"/>
    <xf numFmtId="0" fontId="23" fillId="0" borderId="0" xfId="3" applyFont="1"/>
    <xf numFmtId="165" fontId="8" fillId="0" borderId="0" xfId="0" applyFont="1">
      <alignment vertical="top"/>
    </xf>
    <xf numFmtId="165" fontId="25" fillId="0" borderId="18" xfId="0" applyFont="1" applyBorder="1">
      <alignment vertical="top"/>
    </xf>
    <xf numFmtId="0" fontId="28" fillId="0" borderId="0" xfId="3" applyFont="1"/>
    <xf numFmtId="0" fontId="29" fillId="0" borderId="0" xfId="3" applyFont="1"/>
    <xf numFmtId="165" fontId="30" fillId="0" borderId="0" xfId="0" applyFont="1">
      <alignment vertical="top"/>
    </xf>
    <xf numFmtId="0" fontId="30" fillId="0" borderId="0" xfId="3" applyFont="1"/>
    <xf numFmtId="165" fontId="24" fillId="10" borderId="21" xfId="0" applyFont="1" applyFill="1" applyBorder="1" applyAlignment="1">
      <alignment horizontal="right" vertical="top" wrapText="1" readingOrder="1"/>
    </xf>
    <xf numFmtId="0" fontId="28" fillId="0" borderId="0" xfId="3" applyFont="1" applyFill="1"/>
    <xf numFmtId="0" fontId="29" fillId="0" borderId="0" xfId="3" applyFont="1" applyFill="1"/>
    <xf numFmtId="0" fontId="30" fillId="0" borderId="0" xfId="3" applyFont="1" applyFill="1"/>
    <xf numFmtId="165" fontId="30" fillId="0" borderId="0" xfId="0" applyFont="1" applyFill="1">
      <alignment vertical="top"/>
    </xf>
    <xf numFmtId="165" fontId="30" fillId="6" borderId="0" xfId="0" applyFont="1" applyFill="1">
      <alignment vertical="top"/>
    </xf>
    <xf numFmtId="0" fontId="30" fillId="0" borderId="0" xfId="3" applyFont="1" applyAlignment="1">
      <alignment horizontal="right"/>
    </xf>
    <xf numFmtId="0" fontId="8" fillId="0" borderId="0" xfId="3" applyFont="1" applyAlignment="1">
      <alignment horizontal="left"/>
    </xf>
    <xf numFmtId="0" fontId="30" fillId="0" borderId="0" xfId="3" applyFont="1" applyAlignment="1">
      <alignment horizontal="left"/>
    </xf>
    <xf numFmtId="174" fontId="31" fillId="0" borderId="0" xfId="2" applyNumberFormat="1" applyFont="1">
      <alignment vertical="top"/>
    </xf>
    <xf numFmtId="174" fontId="25" fillId="0" borderId="0" xfId="2" applyNumberFormat="1" applyFont="1">
      <alignment vertical="top"/>
    </xf>
    <xf numFmtId="174" fontId="30" fillId="0" borderId="0" xfId="2" applyNumberFormat="1" applyFont="1">
      <alignment vertical="top"/>
    </xf>
    <xf numFmtId="174" fontId="31" fillId="0" borderId="0" xfId="2" applyNumberFormat="1" applyFont="1" applyFill="1">
      <alignment vertical="top"/>
    </xf>
    <xf numFmtId="165" fontId="31" fillId="0" borderId="0" xfId="0" applyFont="1">
      <alignment vertical="top"/>
    </xf>
    <xf numFmtId="165" fontId="31" fillId="0" borderId="0" xfId="0" applyFont="1" applyFill="1">
      <alignment vertical="top"/>
    </xf>
    <xf numFmtId="165" fontId="31" fillId="0" borderId="0" xfId="0" applyFont="1" applyFill="1" applyBorder="1">
      <alignment vertical="top"/>
    </xf>
    <xf numFmtId="174" fontId="31" fillId="0" borderId="0" xfId="2" applyNumberFormat="1" applyFont="1" applyFill="1" applyBorder="1">
      <alignment vertical="top"/>
    </xf>
    <xf numFmtId="165" fontId="31" fillId="11" borderId="0" xfId="0" applyFont="1" applyFill="1" applyBorder="1" applyAlignment="1">
      <alignment horizontal="right" vertical="top" readingOrder="1"/>
    </xf>
    <xf numFmtId="0" fontId="30" fillId="0" borderId="0" xfId="3" applyFont="1" applyFill="1" applyBorder="1"/>
    <xf numFmtId="9" fontId="31" fillId="0" borderId="0" xfId="2" applyNumberFormat="1" applyFont="1" applyFill="1" applyBorder="1">
      <alignment vertical="top"/>
    </xf>
    <xf numFmtId="165" fontId="31" fillId="0" borderId="0" xfId="0" applyFont="1" applyBorder="1">
      <alignment vertical="top"/>
    </xf>
    <xf numFmtId="165" fontId="31" fillId="0" borderId="2" xfId="0" applyFont="1" applyFill="1" applyBorder="1">
      <alignment vertical="top"/>
    </xf>
    <xf numFmtId="165" fontId="31" fillId="11" borderId="2" xfId="0" applyFont="1" applyFill="1" applyBorder="1" applyAlignment="1">
      <alignment horizontal="right" vertical="top" readingOrder="1"/>
    </xf>
    <xf numFmtId="165" fontId="31" fillId="0" borderId="18" xfId="0" applyFont="1" applyFill="1" applyBorder="1">
      <alignment vertical="top"/>
    </xf>
    <xf numFmtId="165" fontId="31" fillId="11" borderId="18" xfId="0" applyFont="1" applyFill="1" applyBorder="1" applyAlignment="1">
      <alignment horizontal="right" vertical="top" readingOrder="1"/>
    </xf>
    <xf numFmtId="165" fontId="31" fillId="0" borderId="2" xfId="0" applyFont="1" applyBorder="1">
      <alignment vertical="top"/>
    </xf>
    <xf numFmtId="174" fontId="25" fillId="0" borderId="0" xfId="2" applyNumberFormat="1" applyFont="1" applyBorder="1">
      <alignment vertical="top"/>
    </xf>
    <xf numFmtId="0" fontId="30" fillId="0" borderId="0" xfId="3" applyFont="1" applyBorder="1"/>
    <xf numFmtId="9" fontId="26" fillId="0" borderId="0" xfId="3" applyNumberFormat="1" applyFont="1" applyBorder="1"/>
    <xf numFmtId="165" fontId="25" fillId="0" borderId="0" xfId="0" applyFont="1" applyBorder="1">
      <alignment vertical="top"/>
    </xf>
    <xf numFmtId="9" fontId="31" fillId="0" borderId="0" xfId="2" applyNumberFormat="1" applyFont="1" applyBorder="1">
      <alignment vertical="top"/>
    </xf>
    <xf numFmtId="165" fontId="25" fillId="0" borderId="2" xfId="0" applyFont="1" applyBorder="1">
      <alignment vertical="top"/>
    </xf>
    <xf numFmtId="9" fontId="31" fillId="0" borderId="2" xfId="2" applyNumberFormat="1" applyFont="1" applyBorder="1">
      <alignment vertical="top"/>
    </xf>
    <xf numFmtId="9" fontId="31" fillId="0" borderId="18" xfId="2" applyNumberFormat="1" applyFont="1" applyBorder="1">
      <alignment vertical="top"/>
    </xf>
    <xf numFmtId="165" fontId="28" fillId="0" borderId="0" xfId="0" applyFont="1">
      <alignment vertical="top"/>
    </xf>
    <xf numFmtId="165" fontId="28" fillId="0" borderId="0" xfId="0" applyFont="1" applyBorder="1">
      <alignment vertical="top"/>
    </xf>
    <xf numFmtId="165" fontId="28" fillId="0" borderId="18" xfId="0" applyFont="1" applyFill="1" applyBorder="1">
      <alignment vertical="top"/>
    </xf>
    <xf numFmtId="165" fontId="28" fillId="0" borderId="0" xfId="0" applyFont="1" applyFill="1">
      <alignment vertical="top"/>
    </xf>
    <xf numFmtId="165" fontId="28" fillId="0" borderId="2" xfId="0" applyFont="1" applyFill="1" applyBorder="1">
      <alignment vertical="top"/>
    </xf>
    <xf numFmtId="165" fontId="28" fillId="0" borderId="0" xfId="0" applyFont="1" applyFill="1" applyBorder="1">
      <alignment vertical="top"/>
    </xf>
    <xf numFmtId="165" fontId="27" fillId="0" borderId="2" xfId="0" applyFont="1" applyBorder="1">
      <alignment vertical="top"/>
    </xf>
    <xf numFmtId="165" fontId="27" fillId="0" borderId="0" xfId="0" applyFont="1" applyBorder="1">
      <alignment vertical="top"/>
    </xf>
    <xf numFmtId="165" fontId="27" fillId="0" borderId="18" xfId="0" applyFont="1" applyBorder="1">
      <alignment vertical="top"/>
    </xf>
    <xf numFmtId="165" fontId="28" fillId="0" borderId="2" xfId="0" applyFont="1" applyBorder="1">
      <alignment vertical="top"/>
    </xf>
    <xf numFmtId="9" fontId="31" fillId="0" borderId="0" xfId="3" applyNumberFormat="1" applyFont="1" applyBorder="1"/>
    <xf numFmtId="9" fontId="31" fillId="0" borderId="18" xfId="3" applyNumberFormat="1" applyFont="1" applyBorder="1"/>
    <xf numFmtId="0" fontId="31" fillId="0" borderId="0" xfId="3" applyFont="1" applyBorder="1"/>
    <xf numFmtId="9" fontId="31" fillId="0" borderId="0" xfId="3" applyNumberFormat="1" applyFont="1" applyFill="1" applyBorder="1"/>
    <xf numFmtId="165" fontId="0" fillId="2" borderId="11" xfId="0" applyFill="1" applyBorder="1">
      <alignment vertical="top"/>
    </xf>
    <xf numFmtId="165" fontId="0" fillId="2" borderId="0" xfId="0" applyFill="1">
      <alignment vertical="top"/>
    </xf>
    <xf numFmtId="165" fontId="0" fillId="2" borderId="14" xfId="0" applyFill="1" applyBorder="1">
      <alignment vertical="top"/>
    </xf>
    <xf numFmtId="178" fontId="0" fillId="0" borderId="0" xfId="0" applyNumberFormat="1">
      <alignment vertical="top"/>
    </xf>
    <xf numFmtId="171" fontId="0" fillId="0" borderId="15" xfId="1" applyNumberFormat="1" applyFont="1" applyBorder="1" applyAlignment="1">
      <alignment vertical="top"/>
    </xf>
    <xf numFmtId="171" fontId="0" fillId="0" borderId="14" xfId="1" applyNumberFormat="1" applyFont="1" applyBorder="1" applyAlignment="1">
      <alignment vertical="top"/>
    </xf>
    <xf numFmtId="171" fontId="0" fillId="0" borderId="0" xfId="1" applyNumberFormat="1" applyFont="1" applyAlignment="1">
      <alignment vertical="top"/>
    </xf>
    <xf numFmtId="171" fontId="2" fillId="0" borderId="15" xfId="3" applyNumberFormat="1" applyFont="1" applyBorder="1" applyAlignment="1">
      <alignment horizontal="right"/>
    </xf>
    <xf numFmtId="165" fontId="0" fillId="0" borderId="14" xfId="0" applyBorder="1">
      <alignment vertical="top"/>
    </xf>
    <xf numFmtId="165" fontId="0" fillId="0" borderId="15" xfId="0" applyBorder="1">
      <alignment vertical="top"/>
    </xf>
    <xf numFmtId="171" fontId="1" fillId="0" borderId="17" xfId="3" applyNumberFormat="1" applyFont="1" applyBorder="1" applyAlignment="1">
      <alignment horizontal="right"/>
    </xf>
    <xf numFmtId="170" fontId="2" fillId="0" borderId="14" xfId="3" applyNumberFormat="1" applyFont="1" applyBorder="1" applyAlignment="1">
      <alignment horizontal="right"/>
    </xf>
    <xf numFmtId="177" fontId="1" fillId="0" borderId="14" xfId="3" applyNumberFormat="1" applyFont="1" applyBorder="1" applyAlignment="1">
      <alignment horizontal="right"/>
    </xf>
    <xf numFmtId="183" fontId="1" fillId="0" borderId="15" xfId="3" applyNumberFormat="1" applyFont="1" applyFill="1" applyBorder="1" applyAlignment="1">
      <alignment horizontal="right"/>
    </xf>
    <xf numFmtId="178" fontId="1" fillId="0" borderId="14" xfId="0" applyNumberFormat="1" applyFont="1" applyBorder="1">
      <alignment vertical="top"/>
    </xf>
    <xf numFmtId="178" fontId="1" fillId="0" borderId="11" xfId="0" applyNumberFormat="1" applyFont="1" applyBorder="1">
      <alignment vertical="top"/>
    </xf>
    <xf numFmtId="171" fontId="12" fillId="0" borderId="0" xfId="3" applyNumberFormat="1" applyFont="1" applyFill="1" applyAlignment="1">
      <alignment horizontal="centerContinuous"/>
    </xf>
    <xf numFmtId="165" fontId="12" fillId="0" borderId="0" xfId="0" applyFont="1" applyFill="1">
      <alignment vertical="top"/>
    </xf>
    <xf numFmtId="165" fontId="31" fillId="0" borderId="0" xfId="0" applyFont="1" applyFill="1" applyBorder="1" applyAlignment="1">
      <alignment horizontal="right" vertical="top" readingOrder="1"/>
    </xf>
    <xf numFmtId="186" fontId="1" fillId="0" borderId="0" xfId="2" applyFont="1">
      <alignment vertical="top"/>
    </xf>
    <xf numFmtId="165" fontId="27" fillId="0" borderId="0" xfId="0" applyFont="1" applyFill="1" applyBorder="1">
      <alignment vertical="top"/>
    </xf>
    <xf numFmtId="9" fontId="31" fillId="0" borderId="0" xfId="0" applyNumberFormat="1" applyFont="1" applyFill="1" applyBorder="1" applyAlignment="1">
      <alignment horizontal="right" vertical="top" readingOrder="1"/>
    </xf>
    <xf numFmtId="169" fontId="1" fillId="2" borderId="11" xfId="7" applyFont="1" applyFill="1" applyBorder="1">
      <alignment vertical="top"/>
    </xf>
    <xf numFmtId="169" fontId="1" fillId="2" borderId="0" xfId="7" applyFont="1" applyFill="1" applyBorder="1">
      <alignment vertical="top"/>
    </xf>
    <xf numFmtId="169" fontId="1" fillId="2" borderId="14" xfId="7" applyFont="1" applyFill="1" applyBorder="1">
      <alignment vertical="top"/>
    </xf>
    <xf numFmtId="175" fontId="22" fillId="2" borderId="14" xfId="3" applyNumberFormat="1" applyFont="1" applyFill="1" applyBorder="1" applyAlignment="1">
      <alignment horizontal="right"/>
    </xf>
    <xf numFmtId="169" fontId="1" fillId="2" borderId="11" xfId="7" applyFont="1" applyFill="1" applyBorder="1" applyAlignment="1">
      <alignment horizontal="right" vertical="top"/>
    </xf>
    <xf numFmtId="169" fontId="1" fillId="2" borderId="0" xfId="7" applyFont="1" applyFill="1" applyBorder="1" applyAlignment="1">
      <alignment horizontal="right" vertical="top"/>
    </xf>
    <xf numFmtId="169" fontId="1" fillId="2" borderId="14" xfId="7" applyFont="1" applyFill="1" applyBorder="1" applyAlignment="1">
      <alignment horizontal="right" vertical="top"/>
    </xf>
    <xf numFmtId="184" fontId="1" fillId="0" borderId="11" xfId="0" applyNumberFormat="1" applyFont="1" applyFill="1" applyBorder="1">
      <alignment vertical="top"/>
    </xf>
    <xf numFmtId="184" fontId="1" fillId="0" borderId="0" xfId="0" applyNumberFormat="1" applyFont="1" applyFill="1" applyBorder="1">
      <alignment vertical="top"/>
    </xf>
    <xf numFmtId="0" fontId="30" fillId="6" borderId="0" xfId="3" applyFont="1" applyFill="1"/>
    <xf numFmtId="184" fontId="2" fillId="0" borderId="18" xfId="0" applyNumberFormat="1" applyFont="1" applyFill="1" applyBorder="1">
      <alignment vertical="top"/>
    </xf>
    <xf numFmtId="165" fontId="0" fillId="2" borderId="0" xfId="0" applyFill="1" applyBorder="1">
      <alignment vertical="top"/>
    </xf>
    <xf numFmtId="184" fontId="1" fillId="0" borderId="14" xfId="0" applyNumberFormat="1" applyFont="1" applyFill="1" applyBorder="1">
      <alignment vertical="top"/>
    </xf>
    <xf numFmtId="0" fontId="32" fillId="3" borderId="0" xfId="3" applyFont="1" applyFill="1"/>
    <xf numFmtId="0" fontId="30" fillId="9" borderId="0" xfId="3" applyFont="1" applyFill="1"/>
    <xf numFmtId="9" fontId="31" fillId="0" borderId="18" xfId="0" applyNumberFormat="1" applyFont="1" applyFill="1" applyBorder="1" applyAlignment="1">
      <alignment horizontal="right" vertical="top" readingOrder="1"/>
    </xf>
    <xf numFmtId="177" fontId="31" fillId="0" borderId="0" xfId="0" applyNumberFormat="1" applyFont="1" applyFill="1" applyBorder="1" applyAlignment="1">
      <alignment horizontal="right" vertical="top" readingOrder="1"/>
    </xf>
    <xf numFmtId="165" fontId="31" fillId="0" borderId="9" xfId="0" applyFont="1" applyFill="1" applyBorder="1">
      <alignment vertical="top"/>
    </xf>
    <xf numFmtId="9" fontId="31" fillId="0" borderId="9" xfId="0" applyNumberFormat="1" applyFont="1" applyFill="1" applyBorder="1" applyAlignment="1">
      <alignment horizontal="right" vertical="top" readingOrder="1"/>
    </xf>
    <xf numFmtId="165" fontId="31" fillId="11" borderId="9" xfId="0" applyFont="1" applyFill="1" applyBorder="1" applyAlignment="1">
      <alignment horizontal="right" vertical="top" readingOrder="1"/>
    </xf>
    <xf numFmtId="9" fontId="31" fillId="0" borderId="18" xfId="2" applyNumberFormat="1" applyFont="1" applyFill="1" applyBorder="1">
      <alignment vertical="top"/>
    </xf>
    <xf numFmtId="9" fontId="26" fillId="11" borderId="2" xfId="0" applyNumberFormat="1" applyFont="1" applyFill="1" applyBorder="1" applyAlignment="1">
      <alignment horizontal="right" vertical="top" readingOrder="1"/>
    </xf>
    <xf numFmtId="0" fontId="28" fillId="0" borderId="0" xfId="3" applyFont="1" applyBorder="1"/>
    <xf numFmtId="0" fontId="29" fillId="0" borderId="0" xfId="3" applyFont="1" applyBorder="1"/>
    <xf numFmtId="165" fontId="31" fillId="0" borderId="1" xfId="0" applyFont="1" applyFill="1" applyBorder="1">
      <alignment vertical="top"/>
    </xf>
    <xf numFmtId="165" fontId="31" fillId="11" borderId="1" xfId="0" applyFont="1" applyFill="1" applyBorder="1" applyAlignment="1">
      <alignment horizontal="right" vertical="top" readingOrder="1"/>
    </xf>
    <xf numFmtId="9" fontId="31" fillId="0" borderId="1" xfId="3" applyNumberFormat="1" applyFont="1" applyBorder="1"/>
    <xf numFmtId="9" fontId="31" fillId="0" borderId="1" xfId="0" applyNumberFormat="1" applyFont="1" applyFill="1" applyBorder="1" applyAlignment="1">
      <alignment horizontal="right" vertical="top" readingOrder="1"/>
    </xf>
    <xf numFmtId="177" fontId="31" fillId="0" borderId="0" xfId="2" applyNumberFormat="1" applyFont="1" applyFill="1" applyBorder="1">
      <alignment vertical="top"/>
    </xf>
    <xf numFmtId="177" fontId="31" fillId="0" borderId="9" xfId="2" applyNumberFormat="1" applyFont="1" applyFill="1" applyBorder="1">
      <alignment vertical="top"/>
    </xf>
    <xf numFmtId="177" fontId="31" fillId="0" borderId="9" xfId="2" applyNumberFormat="1" applyFont="1" applyBorder="1">
      <alignment vertical="top"/>
    </xf>
    <xf numFmtId="177" fontId="31" fillId="0" borderId="2" xfId="2" applyNumberFormat="1" applyFont="1" applyFill="1" applyBorder="1">
      <alignment vertical="top"/>
    </xf>
    <xf numFmtId="186" fontId="1" fillId="0" borderId="11" xfId="2" applyFont="1" applyFill="1" applyBorder="1">
      <alignment vertical="top"/>
    </xf>
    <xf numFmtId="175" fontId="22" fillId="2" borderId="11" xfId="0" applyNumberFormat="1" applyFont="1" applyFill="1" applyBorder="1">
      <alignment vertical="top"/>
    </xf>
    <xf numFmtId="175" fontId="22" fillId="2" borderId="0" xfId="0" applyNumberFormat="1" applyFont="1" applyFill="1" applyBorder="1">
      <alignment vertical="top"/>
    </xf>
    <xf numFmtId="175" fontId="22" fillId="2" borderId="14" xfId="0" applyNumberFormat="1" applyFont="1" applyFill="1" applyBorder="1">
      <alignment vertical="top"/>
    </xf>
    <xf numFmtId="0" fontId="30" fillId="0" borderId="0" xfId="3" applyFont="1" applyFill="1" applyAlignment="1">
      <alignment horizontal="right"/>
    </xf>
    <xf numFmtId="177" fontId="31" fillId="0" borderId="18" xfId="0" applyNumberFormat="1" applyFont="1" applyFill="1" applyBorder="1" applyAlignment="1">
      <alignment horizontal="right" vertical="top" readingOrder="1"/>
    </xf>
    <xf numFmtId="0" fontId="30" fillId="0" borderId="0" xfId="3" applyFont="1" applyFill="1" applyAlignment="1">
      <alignment horizontal="left"/>
    </xf>
    <xf numFmtId="0" fontId="28" fillId="9" borderId="0" xfId="3" applyFont="1" applyFill="1"/>
    <xf numFmtId="0" fontId="29" fillId="9" borderId="0" xfId="3" applyFont="1" applyFill="1"/>
    <xf numFmtId="165" fontId="30" fillId="9" borderId="0" xfId="0" applyFont="1" applyFill="1">
      <alignment vertical="top"/>
    </xf>
    <xf numFmtId="0" fontId="30" fillId="9" borderId="0" xfId="3" applyFont="1" applyFill="1" applyAlignment="1">
      <alignment horizontal="right"/>
    </xf>
    <xf numFmtId="0" fontId="30" fillId="9" borderId="0" xfId="3" applyFont="1" applyFill="1" applyAlignment="1">
      <alignment horizontal="left"/>
    </xf>
    <xf numFmtId="3" fontId="30" fillId="0" borderId="0" xfId="3" applyNumberFormat="1" applyFont="1"/>
    <xf numFmtId="3" fontId="30" fillId="0" borderId="0" xfId="3" applyNumberFormat="1" applyFont="1" applyFill="1"/>
    <xf numFmtId="0" fontId="33" fillId="3" borderId="0" xfId="3" applyFont="1" applyFill="1" applyAlignment="1">
      <alignment horizontal="right"/>
    </xf>
    <xf numFmtId="3" fontId="30" fillId="6" borderId="0" xfId="3" applyNumberFormat="1" applyFont="1" applyFill="1"/>
    <xf numFmtId="0" fontId="28" fillId="13" borderId="0" xfId="3" applyFont="1" applyFill="1"/>
    <xf numFmtId="0" fontId="30" fillId="13" borderId="0" xfId="3" applyFont="1" applyFill="1"/>
    <xf numFmtId="3" fontId="28" fillId="13" borderId="0" xfId="3" applyNumberFormat="1" applyFont="1" applyFill="1"/>
    <xf numFmtId="165" fontId="31" fillId="0" borderId="0" xfId="3" applyNumberFormat="1" applyFont="1"/>
    <xf numFmtId="165" fontId="31" fillId="6" borderId="0" xfId="3" applyNumberFormat="1" applyFont="1" applyFill="1"/>
    <xf numFmtId="165" fontId="31" fillId="0" borderId="0" xfId="3" applyNumberFormat="1" applyFont="1" applyFill="1"/>
    <xf numFmtId="0" fontId="34" fillId="0" borderId="0" xfId="3" applyFont="1"/>
    <xf numFmtId="0" fontId="35" fillId="0" borderId="0" xfId="3" applyFont="1"/>
    <xf numFmtId="0" fontId="36" fillId="0" borderId="0" xfId="3" applyFont="1"/>
    <xf numFmtId="165" fontId="37" fillId="0" borderId="0" xfId="0" applyFont="1">
      <alignment vertical="top"/>
    </xf>
    <xf numFmtId="0" fontId="37" fillId="0" borderId="0" xfId="3" applyFont="1"/>
    <xf numFmtId="0" fontId="37" fillId="0" borderId="0" xfId="3" applyFont="1" applyAlignment="1">
      <alignment horizontal="right"/>
    </xf>
    <xf numFmtId="0" fontId="37" fillId="0" borderId="0" xfId="3" applyFont="1" applyAlignment="1">
      <alignment horizontal="left"/>
    </xf>
    <xf numFmtId="0" fontId="37" fillId="0" borderId="0" xfId="3" applyFont="1" applyFill="1"/>
    <xf numFmtId="0" fontId="37" fillId="0" borderId="0" xfId="3" applyFont="1" applyBorder="1"/>
    <xf numFmtId="0" fontId="37" fillId="0" borderId="0" xfId="3" applyFont="1" applyFill="1" applyBorder="1"/>
    <xf numFmtId="0" fontId="37" fillId="0" borderId="0" xfId="3" applyFont="1" applyBorder="1" applyAlignment="1">
      <alignment horizontal="left"/>
    </xf>
    <xf numFmtId="0" fontId="39" fillId="3" borderId="0" xfId="3" applyFont="1" applyFill="1"/>
    <xf numFmtId="0" fontId="40" fillId="3" borderId="0" xfId="3" applyFont="1" applyFill="1"/>
    <xf numFmtId="0" fontId="39" fillId="3" borderId="0" xfId="3" applyFont="1" applyFill="1" applyAlignment="1">
      <alignment wrapText="1"/>
    </xf>
    <xf numFmtId="0" fontId="35" fillId="0" borderId="0" xfId="3" applyFont="1" applyFill="1"/>
    <xf numFmtId="0" fontId="36" fillId="0" borderId="0" xfId="3" applyFont="1" applyFill="1"/>
    <xf numFmtId="165" fontId="43" fillId="6" borderId="0" xfId="0" applyFont="1" applyFill="1" applyBorder="1" applyAlignment="1">
      <alignment horizontal="left" vertical="top"/>
    </xf>
    <xf numFmtId="165" fontId="38" fillId="6" borderId="0" xfId="0" applyFont="1" applyFill="1" applyBorder="1" applyAlignment="1">
      <alignment horizontal="left" vertical="top" wrapText="1"/>
    </xf>
    <xf numFmtId="165" fontId="38" fillId="6" borderId="0" xfId="0" applyFont="1" applyFill="1" applyBorder="1" applyAlignment="1">
      <alignment horizontal="right" vertical="top" wrapText="1" readingOrder="1"/>
    </xf>
    <xf numFmtId="165" fontId="41" fillId="6" borderId="0" xfId="0" applyFont="1" applyFill="1" applyBorder="1" applyAlignment="1">
      <alignment horizontal="right" vertical="top" wrapText="1" readingOrder="1"/>
    </xf>
    <xf numFmtId="165" fontId="42" fillId="6" borderId="0" xfId="0" applyFont="1" applyFill="1" applyBorder="1" applyAlignment="1">
      <alignment horizontal="right" vertical="top" wrapText="1" readingOrder="1"/>
    </xf>
    <xf numFmtId="0" fontId="37" fillId="12" borderId="0" xfId="3" applyFont="1" applyFill="1"/>
    <xf numFmtId="172" fontId="37" fillId="12" borderId="0" xfId="3" applyNumberFormat="1" applyFont="1" applyFill="1"/>
    <xf numFmtId="172" fontId="44" fillId="0" borderId="0" xfId="3" applyNumberFormat="1" applyFont="1"/>
    <xf numFmtId="172" fontId="44" fillId="0" borderId="0" xfId="2" applyNumberFormat="1" applyFont="1">
      <alignment vertical="top"/>
    </xf>
    <xf numFmtId="172" fontId="46" fillId="0" borderId="0" xfId="2" applyNumberFormat="1" applyFont="1">
      <alignment vertical="top"/>
    </xf>
    <xf numFmtId="184" fontId="47" fillId="0" borderId="0" xfId="0" applyNumberFormat="1" applyFont="1">
      <alignment vertical="top"/>
    </xf>
    <xf numFmtId="172" fontId="44" fillId="0" borderId="0" xfId="0" applyNumberFormat="1" applyFont="1">
      <alignment vertical="top"/>
    </xf>
    <xf numFmtId="183" fontId="44" fillId="0" borderId="0" xfId="3" applyNumberFormat="1" applyFont="1"/>
    <xf numFmtId="183" fontId="44" fillId="0" borderId="0" xfId="2" applyNumberFormat="1" applyFont="1" applyBorder="1">
      <alignment vertical="top"/>
    </xf>
    <xf numFmtId="172" fontId="37" fillId="0" borderId="0" xfId="3" applyNumberFormat="1" applyFont="1"/>
    <xf numFmtId="172" fontId="48" fillId="0" borderId="0" xfId="3" applyNumberFormat="1" applyFont="1"/>
    <xf numFmtId="165" fontId="46" fillId="11" borderId="0" xfId="0" applyFont="1" applyFill="1" applyBorder="1" applyAlignment="1">
      <alignment horizontal="right" vertical="top" readingOrder="1"/>
    </xf>
    <xf numFmtId="172" fontId="48" fillId="0" borderId="0" xfId="3" applyNumberFormat="1" applyFont="1" applyFill="1"/>
    <xf numFmtId="172" fontId="48" fillId="0" borderId="0" xfId="3" applyNumberFormat="1" applyFont="1" applyFill="1" applyBorder="1"/>
    <xf numFmtId="165" fontId="46" fillId="0" borderId="0" xfId="0" applyFont="1" applyAlignment="1">
      <alignment horizontal="right" vertical="center"/>
    </xf>
    <xf numFmtId="165" fontId="37" fillId="0" borderId="0" xfId="0" applyFont="1" applyFill="1">
      <alignment vertical="top"/>
    </xf>
    <xf numFmtId="172" fontId="44" fillId="0" borderId="0" xfId="2" applyNumberFormat="1" applyFont="1" applyFill="1">
      <alignment vertical="top"/>
    </xf>
    <xf numFmtId="183" fontId="44" fillId="0" borderId="0" xfId="2" applyNumberFormat="1" applyFont="1" applyFill="1">
      <alignment vertical="top"/>
    </xf>
    <xf numFmtId="174" fontId="46" fillId="0" borderId="0" xfId="2" applyNumberFormat="1" applyFont="1" applyFill="1" applyBorder="1">
      <alignment vertical="top"/>
    </xf>
    <xf numFmtId="183" fontId="44" fillId="0" borderId="0" xfId="0" applyNumberFormat="1" applyFont="1" applyFill="1" applyBorder="1" applyAlignment="1">
      <alignment horizontal="right" vertical="top" readingOrder="1"/>
    </xf>
    <xf numFmtId="183" fontId="44" fillId="0" borderId="0" xfId="2" applyNumberFormat="1" applyFont="1" applyFill="1" applyBorder="1">
      <alignment vertical="top"/>
    </xf>
    <xf numFmtId="172" fontId="44" fillId="0" borderId="0" xfId="2" applyNumberFormat="1" applyFont="1" applyFill="1" applyAlignment="1">
      <alignment horizontal="right" vertical="top"/>
    </xf>
    <xf numFmtId="174" fontId="46" fillId="0" borderId="0" xfId="2" applyNumberFormat="1" applyFont="1" applyFill="1" applyAlignment="1">
      <alignment horizontal="right" vertical="top"/>
    </xf>
    <xf numFmtId="183" fontId="44" fillId="0" borderId="0" xfId="3" applyNumberFormat="1" applyFont="1" applyFill="1" applyBorder="1" applyAlignment="1">
      <alignment horizontal="right"/>
    </xf>
    <xf numFmtId="183" fontId="44" fillId="0" borderId="0" xfId="2" applyNumberFormat="1" applyFont="1" applyFill="1" applyAlignment="1">
      <alignment horizontal="right" vertical="top"/>
    </xf>
    <xf numFmtId="172" fontId="37" fillId="0" borderId="0" xfId="3" applyNumberFormat="1" applyFont="1" applyFill="1"/>
    <xf numFmtId="9" fontId="46" fillId="0" borderId="0" xfId="2" applyNumberFormat="1" applyFont="1" applyFill="1" applyBorder="1">
      <alignment vertical="top"/>
    </xf>
    <xf numFmtId="165" fontId="46" fillId="0" borderId="0" xfId="0" applyFont="1" applyFill="1" applyBorder="1" applyAlignment="1">
      <alignment horizontal="right" vertical="top" readingOrder="1"/>
    </xf>
    <xf numFmtId="172" fontId="46" fillId="0" borderId="0" xfId="2" applyNumberFormat="1" applyFont="1" applyFill="1" applyBorder="1">
      <alignment vertical="top"/>
    </xf>
    <xf numFmtId="172" fontId="44" fillId="0" borderId="0" xfId="2" applyNumberFormat="1" applyFont="1" applyFill="1" applyBorder="1">
      <alignment vertical="top"/>
    </xf>
    <xf numFmtId="165" fontId="35" fillId="0" borderId="0" xfId="0" applyFont="1" applyFill="1" applyBorder="1">
      <alignment vertical="top"/>
    </xf>
    <xf numFmtId="165" fontId="49" fillId="6" borderId="0" xfId="0" applyFont="1" applyFill="1" applyBorder="1" applyAlignment="1">
      <alignment horizontal="left" vertical="top"/>
    </xf>
    <xf numFmtId="0" fontId="37" fillId="6" borderId="0" xfId="3" applyFont="1" applyFill="1"/>
    <xf numFmtId="165" fontId="46" fillId="6" borderId="0" xfId="0" applyFont="1" applyFill="1" applyBorder="1" applyAlignment="1">
      <alignment horizontal="right" vertical="top" readingOrder="1"/>
    </xf>
    <xf numFmtId="9" fontId="46" fillId="6" borderId="0" xfId="2" applyNumberFormat="1" applyFont="1" applyFill="1" applyBorder="1">
      <alignment vertical="top"/>
    </xf>
    <xf numFmtId="174" fontId="46" fillId="0" borderId="0" xfId="2" applyNumberFormat="1" applyFont="1" applyFill="1" applyBorder="1" applyAlignment="1">
      <alignment horizontal="right" vertical="top"/>
    </xf>
    <xf numFmtId="0" fontId="37" fillId="0" borderId="0" xfId="3" applyFont="1" applyFill="1" applyAlignment="1">
      <alignment horizontal="right"/>
    </xf>
    <xf numFmtId="0" fontId="37" fillId="0" borderId="3" xfId="3" applyFont="1" applyBorder="1"/>
    <xf numFmtId="9" fontId="37" fillId="2" borderId="3" xfId="3" applyNumberFormat="1" applyFont="1" applyFill="1" applyBorder="1"/>
    <xf numFmtId="0" fontId="37" fillId="0" borderId="3" xfId="3" applyFont="1" applyFill="1" applyBorder="1"/>
    <xf numFmtId="9" fontId="37" fillId="0" borderId="0" xfId="3" applyNumberFormat="1" applyFont="1" applyFill="1" applyBorder="1"/>
    <xf numFmtId="9" fontId="37" fillId="0" borderId="0" xfId="3" applyNumberFormat="1" applyFont="1" applyFill="1"/>
    <xf numFmtId="165" fontId="46" fillId="0" borderId="0" xfId="0" applyFont="1" applyFill="1" applyBorder="1">
      <alignment vertical="top"/>
    </xf>
    <xf numFmtId="172" fontId="46" fillId="0" borderId="0" xfId="2" applyNumberFormat="1" applyFont="1" applyFill="1" applyBorder="1" applyAlignment="1">
      <alignment horizontal="right" vertical="top"/>
    </xf>
    <xf numFmtId="9" fontId="46" fillId="0" borderId="0" xfId="3" applyNumberFormat="1" applyFont="1" applyFill="1" applyBorder="1" applyAlignment="1">
      <alignment horizontal="right"/>
    </xf>
    <xf numFmtId="183" fontId="46" fillId="0" borderId="0" xfId="3" applyNumberFormat="1" applyFont="1" applyFill="1"/>
    <xf numFmtId="183" fontId="46" fillId="0" borderId="0" xfId="3" applyNumberFormat="1" applyFont="1" applyFill="1" applyBorder="1" applyAlignment="1">
      <alignment horizontal="right"/>
    </xf>
    <xf numFmtId="172" fontId="48" fillId="0" borderId="0" xfId="3" applyNumberFormat="1" applyFont="1" applyBorder="1"/>
    <xf numFmtId="165" fontId="47" fillId="0" borderId="0" xfId="0" applyFont="1" applyFill="1" applyBorder="1">
      <alignment vertical="top"/>
    </xf>
    <xf numFmtId="165" fontId="46" fillId="0" borderId="0" xfId="0" applyFont="1" applyFill="1" applyBorder="1" applyAlignment="1">
      <alignment vertical="top" readingOrder="1"/>
    </xf>
    <xf numFmtId="172" fontId="48" fillId="0" borderId="0" xfId="0" applyNumberFormat="1" applyFont="1" applyFill="1" applyBorder="1">
      <alignment vertical="top"/>
    </xf>
    <xf numFmtId="172" fontId="48" fillId="0" borderId="0" xfId="0" applyNumberFormat="1" applyFont="1" applyFill="1" applyBorder="1" applyAlignment="1">
      <alignment horizontal="right" vertical="top" readingOrder="1"/>
    </xf>
    <xf numFmtId="184" fontId="46" fillId="0" borderId="0" xfId="0" applyNumberFormat="1" applyFont="1" applyFill="1" applyBorder="1" applyAlignment="1">
      <alignment horizontal="right" vertical="top" readingOrder="1"/>
    </xf>
    <xf numFmtId="178" fontId="46" fillId="0" borderId="0" xfId="0" applyNumberFormat="1" applyFont="1" applyFill="1" applyBorder="1" applyAlignment="1">
      <alignment horizontal="right" vertical="top" readingOrder="1"/>
    </xf>
    <xf numFmtId="184" fontId="46" fillId="0" borderId="0" xfId="0" applyNumberFormat="1" applyFont="1" applyFill="1" applyBorder="1">
      <alignment vertical="top"/>
    </xf>
    <xf numFmtId="0" fontId="35" fillId="12" borderId="0" xfId="3" applyFont="1" applyFill="1"/>
    <xf numFmtId="0" fontId="36" fillId="12" borderId="0" xfId="3" applyFont="1" applyFill="1"/>
    <xf numFmtId="0" fontId="37" fillId="12" borderId="0" xfId="3" applyFont="1" applyFill="1" applyBorder="1"/>
    <xf numFmtId="0" fontId="50" fillId="12" borderId="0" xfId="3" applyFont="1" applyFill="1" applyBorder="1" applyAlignment="1">
      <alignment horizontal="right"/>
    </xf>
    <xf numFmtId="0" fontId="35" fillId="12" borderId="0" xfId="3" applyFont="1" applyFill="1" applyBorder="1"/>
    <xf numFmtId="0" fontId="35" fillId="12" borderId="0" xfId="3" applyFont="1" applyFill="1" applyBorder="1" applyAlignment="1">
      <alignment horizontal="right"/>
    </xf>
    <xf numFmtId="165" fontId="51" fillId="0" borderId="0" xfId="0" applyFont="1" applyFill="1" applyBorder="1">
      <alignment vertical="top"/>
    </xf>
    <xf numFmtId="0" fontId="35" fillId="6" borderId="0" xfId="3" applyFont="1" applyFill="1"/>
    <xf numFmtId="0" fontId="36" fillId="6" borderId="0" xfId="3" applyFont="1" applyFill="1"/>
    <xf numFmtId="165" fontId="52" fillId="6" borderId="0" xfId="0" applyFont="1" applyFill="1" applyBorder="1">
      <alignment vertical="top"/>
    </xf>
    <xf numFmtId="165" fontId="51" fillId="6" borderId="0" xfId="0" applyFont="1" applyFill="1" applyBorder="1">
      <alignment vertical="top"/>
    </xf>
    <xf numFmtId="174" fontId="46" fillId="6" borderId="0" xfId="2" applyNumberFormat="1" applyFont="1" applyFill="1" applyBorder="1">
      <alignment vertical="top"/>
    </xf>
    <xf numFmtId="184" fontId="46" fillId="6" borderId="0" xfId="0" applyNumberFormat="1" applyFont="1" applyFill="1" applyBorder="1" applyAlignment="1">
      <alignment horizontal="right" vertical="top" readingOrder="1"/>
    </xf>
    <xf numFmtId="184" fontId="46" fillId="6" borderId="0" xfId="0" applyNumberFormat="1" applyFont="1" applyFill="1" applyBorder="1">
      <alignment vertical="top"/>
    </xf>
    <xf numFmtId="172" fontId="37" fillId="0" borderId="0" xfId="3" applyNumberFormat="1" applyFont="1" applyAlignment="1">
      <alignment horizontal="right"/>
    </xf>
    <xf numFmtId="9" fontId="44" fillId="6" borderId="0" xfId="3" applyNumberFormat="1" applyFont="1" applyFill="1" applyBorder="1"/>
    <xf numFmtId="165" fontId="48" fillId="0" borderId="0" xfId="3" applyNumberFormat="1" applyFont="1" applyAlignment="1">
      <alignment horizontal="right"/>
    </xf>
    <xf numFmtId="165" fontId="38" fillId="3" borderId="21" xfId="0" applyFont="1" applyFill="1" applyBorder="1" applyAlignment="1">
      <alignment horizontal="right" vertical="top" wrapText="1" readingOrder="1"/>
    </xf>
    <xf numFmtId="165" fontId="41" fillId="3" borderId="21" xfId="0" applyFont="1" applyFill="1" applyBorder="1" applyAlignment="1">
      <alignment horizontal="right" vertical="top" wrapText="1" readingOrder="1"/>
    </xf>
    <xf numFmtId="165" fontId="42" fillId="3" borderId="21" xfId="0" applyFont="1" applyFill="1" applyBorder="1" applyAlignment="1">
      <alignment horizontal="right" vertical="top" wrapText="1" readingOrder="1"/>
    </xf>
    <xf numFmtId="165" fontId="38" fillId="3" borderId="0" xfId="0" applyFont="1" applyFill="1" applyBorder="1" applyAlignment="1">
      <alignment horizontal="right" vertical="top" wrapText="1"/>
    </xf>
    <xf numFmtId="165" fontId="38" fillId="3" borderId="0" xfId="0" applyFont="1" applyFill="1" applyBorder="1" applyAlignment="1">
      <alignment vertical="top" wrapText="1"/>
    </xf>
    <xf numFmtId="172" fontId="54" fillId="0" borderId="18" xfId="3" applyNumberFormat="1" applyFont="1" applyFill="1" applyBorder="1" applyAlignment="1">
      <alignment horizontal="center"/>
    </xf>
    <xf numFmtId="165" fontId="22" fillId="0" borderId="0" xfId="0" applyFont="1" applyFill="1">
      <alignment vertical="top"/>
    </xf>
    <xf numFmtId="9" fontId="1" fillId="2" borderId="11" xfId="3" applyNumberFormat="1" applyFont="1" applyFill="1" applyBorder="1" applyAlignment="1">
      <alignment horizontal="right"/>
    </xf>
    <xf numFmtId="9" fontId="1" fillId="2" borderId="0" xfId="3" applyNumberFormat="1" applyFont="1" applyFill="1" applyBorder="1" applyAlignment="1">
      <alignment horizontal="right"/>
    </xf>
    <xf numFmtId="9" fontId="1" fillId="2" borderId="14" xfId="3" applyNumberFormat="1" applyFont="1" applyFill="1" applyBorder="1" applyAlignment="1">
      <alignment horizontal="right"/>
    </xf>
    <xf numFmtId="183" fontId="2" fillId="0" borderId="3" xfId="3" applyNumberFormat="1" applyFont="1" applyFill="1" applyBorder="1" applyAlignment="1">
      <alignment horizontal="right"/>
    </xf>
    <xf numFmtId="174" fontId="2" fillId="0" borderId="0" xfId="2" applyNumberFormat="1" applyFont="1">
      <alignment vertical="top"/>
    </xf>
    <xf numFmtId="174" fontId="6" fillId="0" borderId="0" xfId="2" applyNumberFormat="1" applyFont="1">
      <alignment vertical="top"/>
    </xf>
    <xf numFmtId="174" fontId="1" fillId="0" borderId="0" xfId="2" applyNumberFormat="1" applyFont="1">
      <alignment vertical="top"/>
    </xf>
    <xf numFmtId="174" fontId="1" fillId="0" borderId="0" xfId="2" applyNumberFormat="1" applyFont="1" applyFill="1">
      <alignment vertical="top"/>
    </xf>
    <xf numFmtId="174" fontId="0" fillId="0" borderId="0" xfId="2" applyNumberFormat="1" applyFont="1" applyFill="1" applyBorder="1">
      <alignment vertical="top"/>
    </xf>
    <xf numFmtId="174" fontId="1" fillId="2" borderId="14" xfId="2" applyNumberFormat="1" applyFont="1" applyFill="1" applyBorder="1">
      <alignment vertical="top"/>
    </xf>
    <xf numFmtId="174" fontId="1" fillId="2" borderId="11" xfId="2" applyNumberFormat="1" applyFont="1" applyFill="1" applyBorder="1">
      <alignment vertical="top"/>
    </xf>
    <xf numFmtId="174" fontId="0" fillId="0" borderId="0" xfId="2" applyNumberFormat="1" applyFont="1" applyFill="1">
      <alignment vertical="top"/>
    </xf>
    <xf numFmtId="174" fontId="0" fillId="0" borderId="0" xfId="2" applyNumberFormat="1" applyFont="1">
      <alignment vertical="top"/>
    </xf>
    <xf numFmtId="174" fontId="0" fillId="2" borderId="14" xfId="2" applyNumberFormat="1" applyFont="1" applyFill="1" applyBorder="1">
      <alignment vertical="top"/>
    </xf>
    <xf numFmtId="174" fontId="1" fillId="0" borderId="11" xfId="2" applyNumberFormat="1" applyFont="1" applyFill="1" applyBorder="1">
      <alignment vertical="top"/>
    </xf>
    <xf numFmtId="174" fontId="1" fillId="0" borderId="14" xfId="2" applyNumberFormat="1" applyFont="1" applyFill="1" applyBorder="1">
      <alignment vertical="top"/>
    </xf>
    <xf numFmtId="174" fontId="0" fillId="0" borderId="14" xfId="2" applyNumberFormat="1" applyFont="1" applyBorder="1">
      <alignment vertical="top"/>
    </xf>
    <xf numFmtId="174" fontId="1" fillId="0" borderId="14" xfId="2" applyNumberFormat="1" applyFont="1" applyBorder="1">
      <alignment vertical="top"/>
    </xf>
    <xf numFmtId="174" fontId="1" fillId="0" borderId="0" xfId="2" applyNumberFormat="1" applyFont="1" applyFill="1" applyBorder="1">
      <alignment vertical="top"/>
    </xf>
    <xf numFmtId="180" fontId="1" fillId="0" borderId="0" xfId="3" applyNumberFormat="1" applyFont="1" applyFill="1" applyBorder="1"/>
    <xf numFmtId="165" fontId="30" fillId="14" borderId="0" xfId="3" applyNumberFormat="1" applyFont="1" applyFill="1" applyAlignment="1">
      <alignment horizontal="right"/>
    </xf>
    <xf numFmtId="183" fontId="54" fillId="0" borderId="3" xfId="3" applyNumberFormat="1" applyFont="1" applyFill="1" applyBorder="1" applyAlignment="1">
      <alignment horizontal="right"/>
    </xf>
    <xf numFmtId="174" fontId="45" fillId="2" borderId="0" xfId="2" applyNumberFormat="1" applyFont="1" applyFill="1">
      <alignment vertical="top"/>
    </xf>
    <xf numFmtId="0" fontId="36" fillId="0" borderId="3" xfId="3" applyFont="1" applyFill="1" applyBorder="1"/>
    <xf numFmtId="183" fontId="48" fillId="0" borderId="0" xfId="3" applyNumberFormat="1" applyFont="1" applyFill="1" applyBorder="1" applyAlignment="1">
      <alignment horizontal="right"/>
    </xf>
    <xf numFmtId="183" fontId="44" fillId="0" borderId="0" xfId="3" applyNumberFormat="1" applyFont="1" applyFill="1"/>
    <xf numFmtId="0" fontId="35" fillId="12" borderId="0" xfId="3" applyFont="1" applyFill="1" applyBorder="1" applyAlignment="1"/>
    <xf numFmtId="184" fontId="46" fillId="0" borderId="0" xfId="0" applyNumberFormat="1" applyFont="1" applyFill="1" applyBorder="1" applyAlignment="1">
      <alignment vertical="top" readingOrder="1"/>
    </xf>
    <xf numFmtId="0" fontId="37" fillId="0" borderId="0" xfId="3" quotePrefix="1" applyFont="1" applyFill="1"/>
    <xf numFmtId="0" fontId="53" fillId="0" borderId="3" xfId="3" applyFont="1" applyBorder="1" applyAlignment="1">
      <alignment horizontal="right"/>
    </xf>
    <xf numFmtId="0" fontId="37" fillId="0" borderId="0" xfId="3" applyFont="1" applyFill="1" applyAlignment="1">
      <alignment horizontal="left"/>
    </xf>
    <xf numFmtId="9" fontId="45" fillId="0" borderId="0" xfId="2" applyNumberFormat="1" applyFont="1" applyFill="1" applyBorder="1">
      <alignment vertical="top"/>
    </xf>
    <xf numFmtId="172" fontId="37" fillId="0" borderId="0" xfId="3" applyNumberFormat="1" applyFont="1" applyFill="1" applyBorder="1"/>
    <xf numFmtId="165" fontId="40" fillId="3" borderId="0" xfId="0" applyFont="1" applyFill="1" applyBorder="1" applyAlignment="1">
      <alignment vertical="top"/>
    </xf>
    <xf numFmtId="165" fontId="38" fillId="3" borderId="0" xfId="0" applyFont="1" applyFill="1" applyBorder="1" applyAlignment="1">
      <alignment vertical="top"/>
    </xf>
    <xf numFmtId="169" fontId="42" fillId="3" borderId="0" xfId="7" applyFont="1" applyFill="1" applyBorder="1">
      <alignment vertical="top"/>
    </xf>
    <xf numFmtId="165" fontId="42" fillId="3" borderId="0" xfId="0" applyFont="1" applyFill="1" applyBorder="1" applyAlignment="1">
      <alignment horizontal="right" vertical="top" wrapText="1"/>
    </xf>
    <xf numFmtId="178" fontId="37" fillId="0" borderId="0" xfId="0" applyNumberFormat="1" applyFont="1" applyFill="1">
      <alignment vertical="top"/>
    </xf>
    <xf numFmtId="172" fontId="37" fillId="0" borderId="6" xfId="3" applyNumberFormat="1" applyFont="1" applyBorder="1" applyAlignment="1">
      <alignment horizontal="right"/>
    </xf>
    <xf numFmtId="165" fontId="38" fillId="3" borderId="22" xfId="0" applyFont="1" applyFill="1" applyBorder="1" applyAlignment="1">
      <alignment vertical="top" wrapText="1"/>
    </xf>
    <xf numFmtId="165" fontId="38" fillId="3" borderId="23" xfId="0" applyFont="1" applyFill="1" applyBorder="1" applyAlignment="1">
      <alignment vertical="top" wrapText="1"/>
    </xf>
    <xf numFmtId="0" fontId="37" fillId="0" borderId="25" xfId="3" applyFont="1" applyBorder="1" applyAlignment="1">
      <alignment horizontal="left"/>
    </xf>
    <xf numFmtId="0" fontId="37" fillId="0" borderId="27" xfId="3" applyFont="1" applyBorder="1" applyAlignment="1">
      <alignment horizontal="left"/>
    </xf>
    <xf numFmtId="178" fontId="35" fillId="0" borderId="24" xfId="0" applyNumberFormat="1" applyFont="1" applyBorder="1">
      <alignment vertical="top"/>
    </xf>
    <xf numFmtId="178" fontId="35" fillId="0" borderId="26" xfId="0" applyNumberFormat="1" applyFont="1" applyBorder="1">
      <alignment vertical="top"/>
    </xf>
    <xf numFmtId="0" fontId="37" fillId="0" borderId="0" xfId="3" applyFont="1" applyFill="1" applyBorder="1" applyAlignment="1">
      <alignment horizontal="left"/>
    </xf>
    <xf numFmtId="165" fontId="40" fillId="6" borderId="0" xfId="0" applyFont="1" applyFill="1" applyBorder="1" applyAlignment="1">
      <alignment vertical="top"/>
    </xf>
    <xf numFmtId="169" fontId="42" fillId="6" borderId="0" xfId="7" applyFont="1" applyFill="1" applyBorder="1">
      <alignment vertical="top"/>
    </xf>
    <xf numFmtId="165" fontId="41" fillId="6" borderId="0" xfId="0" applyFont="1" applyFill="1" applyBorder="1" applyAlignment="1">
      <alignment horizontal="left" vertical="top" wrapText="1"/>
    </xf>
    <xf numFmtId="165" fontId="38" fillId="6" borderId="24" xfId="0" applyFont="1" applyFill="1" applyBorder="1" applyAlignment="1">
      <alignment horizontal="center" vertical="top" wrapText="1"/>
    </xf>
    <xf numFmtId="165" fontId="38" fillId="6" borderId="25" xfId="0" applyFont="1" applyFill="1" applyBorder="1" applyAlignment="1">
      <alignment horizontal="center" vertical="top" wrapText="1"/>
    </xf>
    <xf numFmtId="165" fontId="45" fillId="6" borderId="6" xfId="0" applyFont="1" applyFill="1" applyBorder="1" applyAlignment="1">
      <alignment horizontal="right" vertical="top" wrapText="1"/>
    </xf>
    <xf numFmtId="165" fontId="45" fillId="6" borderId="0" xfId="0" applyFont="1" applyFill="1" applyBorder="1" applyAlignment="1">
      <alignment horizontal="right" vertical="top" wrapText="1"/>
    </xf>
    <xf numFmtId="0" fontId="56" fillId="0" borderId="0" xfId="3" applyFont="1"/>
    <xf numFmtId="0" fontId="35" fillId="9" borderId="0" xfId="3" applyFont="1" applyFill="1"/>
    <xf numFmtId="178" fontId="37" fillId="0" borderId="6" xfId="0" applyNumberFormat="1" applyFont="1" applyFill="1" applyBorder="1">
      <alignment vertical="top"/>
    </xf>
    <xf numFmtId="165" fontId="31" fillId="11" borderId="0" xfId="0" applyFont="1" applyFill="1" applyAlignment="1">
      <alignment horizontal="right" vertical="top" readingOrder="1"/>
    </xf>
    <xf numFmtId="165" fontId="57" fillId="0" borderId="0" xfId="0" applyFont="1">
      <alignment vertical="top"/>
    </xf>
    <xf numFmtId="165" fontId="0" fillId="0" borderId="11" xfId="0" applyFill="1" applyBorder="1">
      <alignment vertical="top"/>
    </xf>
    <xf numFmtId="172" fontId="37" fillId="6" borderId="0" xfId="3" applyNumberFormat="1" applyFont="1" applyFill="1"/>
    <xf numFmtId="0" fontId="39" fillId="0" borderId="0" xfId="3" applyFont="1" applyFill="1"/>
    <xf numFmtId="0" fontId="35" fillId="0" borderId="0" xfId="3" applyFont="1" applyFill="1" applyBorder="1"/>
    <xf numFmtId="0" fontId="36" fillId="0" borderId="0" xfId="3" applyFont="1" applyFill="1" applyBorder="1"/>
    <xf numFmtId="0" fontId="37" fillId="0" borderId="0" xfId="3" applyFont="1" applyFill="1" applyBorder="1" applyAlignment="1">
      <alignment horizontal="right"/>
    </xf>
    <xf numFmtId="0" fontId="35" fillId="0" borderId="0" xfId="3" applyFont="1" applyFill="1" applyBorder="1" applyAlignment="1">
      <alignment horizontal="right"/>
    </xf>
    <xf numFmtId="165" fontId="58" fillId="0" borderId="0" xfId="3" applyNumberFormat="1" applyFont="1"/>
    <xf numFmtId="165" fontId="58" fillId="6" borderId="0" xfId="3" applyNumberFormat="1" applyFont="1" applyFill="1"/>
    <xf numFmtId="165" fontId="58" fillId="0" borderId="0" xfId="3" applyNumberFormat="1" applyFont="1" applyFill="1"/>
    <xf numFmtId="184" fontId="1" fillId="0" borderId="0" xfId="0" applyNumberFormat="1" applyFont="1">
      <alignment vertical="top"/>
    </xf>
    <xf numFmtId="0" fontId="39" fillId="3" borderId="0" xfId="3" applyFont="1" applyFill="1" applyAlignment="1">
      <alignment vertical="top" wrapText="1"/>
    </xf>
    <xf numFmtId="0" fontId="40" fillId="3" borderId="0" xfId="3" applyFont="1" applyFill="1" applyAlignment="1">
      <alignment horizontal="right"/>
    </xf>
    <xf numFmtId="0" fontId="46" fillId="0" borderId="22" xfId="3" applyFont="1" applyFill="1" applyBorder="1"/>
    <xf numFmtId="186" fontId="46" fillId="0" borderId="28" xfId="2" applyFont="1" applyFill="1" applyBorder="1">
      <alignment vertical="top"/>
    </xf>
    <xf numFmtId="10" fontId="46" fillId="0" borderId="28" xfId="3" applyNumberFormat="1" applyFont="1" applyFill="1" applyBorder="1"/>
    <xf numFmtId="0" fontId="46" fillId="0" borderId="26" xfId="3" applyFont="1" applyFill="1" applyBorder="1"/>
    <xf numFmtId="186" fontId="46" fillId="0" borderId="29" xfId="2" applyFont="1" applyFill="1" applyBorder="1">
      <alignment vertical="top"/>
    </xf>
    <xf numFmtId="10" fontId="46" fillId="0" borderId="29" xfId="3" applyNumberFormat="1" applyFont="1" applyFill="1" applyBorder="1"/>
    <xf numFmtId="0" fontId="40" fillId="3" borderId="22" xfId="3" applyFont="1" applyFill="1" applyBorder="1"/>
    <xf numFmtId="0" fontId="40" fillId="3" borderId="28" xfId="3" applyFont="1" applyFill="1" applyBorder="1"/>
    <xf numFmtId="0" fontId="40" fillId="3" borderId="23" xfId="3" applyFont="1" applyFill="1" applyBorder="1"/>
    <xf numFmtId="0" fontId="46" fillId="0" borderId="24" xfId="3" applyFont="1" applyFill="1" applyBorder="1"/>
    <xf numFmtId="0" fontId="46" fillId="0" borderId="0" xfId="3" applyFont="1" applyFill="1" applyBorder="1"/>
    <xf numFmtId="10" fontId="46" fillId="0" borderId="0" xfId="3" applyNumberFormat="1" applyFont="1" applyFill="1" applyBorder="1"/>
    <xf numFmtId="9" fontId="46" fillId="0" borderId="25" xfId="3" applyNumberFormat="1" applyFont="1" applyFill="1" applyBorder="1"/>
    <xf numFmtId="9" fontId="46" fillId="0" borderId="27" xfId="3" applyNumberFormat="1" applyFont="1" applyFill="1" applyBorder="1"/>
    <xf numFmtId="0" fontId="40" fillId="3" borderId="24" xfId="3" applyFont="1" applyFill="1" applyBorder="1"/>
    <xf numFmtId="9" fontId="46" fillId="0" borderId="24" xfId="3" applyNumberFormat="1" applyFont="1" applyFill="1" applyBorder="1"/>
    <xf numFmtId="9" fontId="46" fillId="0" borderId="26" xfId="3" applyNumberFormat="1" applyFont="1" applyFill="1" applyBorder="1"/>
    <xf numFmtId="10" fontId="46" fillId="0" borderId="23" xfId="3" applyNumberFormat="1" applyFont="1" applyFill="1" applyBorder="1" applyAlignment="1">
      <alignment horizontal="right"/>
    </xf>
    <xf numFmtId="10" fontId="46" fillId="0" borderId="27" xfId="3" applyNumberFormat="1" applyFont="1" applyFill="1" applyBorder="1" applyAlignment="1">
      <alignment horizontal="right"/>
    </xf>
    <xf numFmtId="172" fontId="60" fillId="0" borderId="0" xfId="3" applyNumberFormat="1" applyFont="1" applyFill="1"/>
    <xf numFmtId="165" fontId="60" fillId="11" borderId="0" xfId="0" applyFont="1" applyFill="1" applyBorder="1" applyAlignment="1">
      <alignment horizontal="right" vertical="top" readingOrder="1"/>
    </xf>
    <xf numFmtId="172" fontId="60" fillId="0" borderId="0" xfId="3" applyNumberFormat="1" applyFont="1"/>
    <xf numFmtId="172" fontId="60" fillId="0" borderId="0" xfId="3" applyNumberFormat="1" applyFont="1" applyFill="1" applyBorder="1"/>
    <xf numFmtId="0" fontId="39" fillId="3" borderId="0" xfId="3" applyFont="1" applyFill="1" applyAlignment="1">
      <alignment horizontal="right"/>
    </xf>
    <xf numFmtId="10" fontId="46" fillId="0" borderId="25" xfId="3" applyNumberFormat="1" applyFont="1" applyFill="1" applyBorder="1" applyAlignment="1">
      <alignment horizontal="right"/>
    </xf>
    <xf numFmtId="186" fontId="46" fillId="0" borderId="0" xfId="2" applyFont="1" applyFill="1" applyBorder="1">
      <alignment vertical="top"/>
    </xf>
    <xf numFmtId="10" fontId="46" fillId="0" borderId="0" xfId="3" applyNumberFormat="1" applyFont="1" applyFill="1" applyBorder="1" applyAlignment="1">
      <alignment horizontal="right"/>
    </xf>
    <xf numFmtId="0" fontId="39" fillId="3" borderId="0" xfId="3" applyFont="1" applyFill="1" applyBorder="1" applyAlignment="1">
      <alignment horizontal="right" vertical="top" wrapText="1"/>
    </xf>
    <xf numFmtId="0" fontId="39" fillId="3" borderId="25" xfId="3" applyFont="1" applyFill="1" applyBorder="1" applyAlignment="1">
      <alignment horizontal="right" vertical="top" wrapText="1"/>
    </xf>
    <xf numFmtId="0" fontId="39" fillId="3" borderId="24" xfId="3" applyFont="1" applyFill="1" applyBorder="1" applyAlignment="1">
      <alignment horizontal="right" vertical="top"/>
    </xf>
    <xf numFmtId="0" fontId="39" fillId="3" borderId="25" xfId="3" applyFont="1" applyFill="1" applyBorder="1" applyAlignment="1">
      <alignment horizontal="right" vertical="top"/>
    </xf>
    <xf numFmtId="165" fontId="46" fillId="0" borderId="0" xfId="0" quotePrefix="1" applyFont="1" applyFill="1" applyBorder="1" applyAlignment="1">
      <alignment horizontal="right" vertical="top"/>
    </xf>
    <xf numFmtId="165" fontId="52" fillId="6" borderId="0" xfId="0" applyFont="1" applyFill="1" applyBorder="1" applyAlignment="1">
      <alignment vertical="top" readingOrder="1"/>
    </xf>
    <xf numFmtId="165" fontId="24" fillId="10" borderId="21" xfId="0" applyFont="1" applyFill="1" applyBorder="1" applyAlignment="1">
      <alignment horizontal="left" vertical="top" wrapText="1"/>
    </xf>
    <xf numFmtId="0" fontId="37" fillId="0" borderId="0" xfId="3" applyFont="1" applyFill="1" applyBorder="1" applyAlignment="1">
      <alignment horizontal="left" wrapText="1"/>
    </xf>
    <xf numFmtId="165" fontId="38" fillId="3" borderId="21" xfId="0" applyFont="1" applyFill="1" applyBorder="1" applyAlignment="1">
      <alignment horizontal="left" vertical="top" wrapText="1"/>
    </xf>
    <xf numFmtId="165" fontId="38" fillId="3" borderId="21" xfId="0" applyFont="1" applyFill="1" applyBorder="1" applyAlignment="1">
      <alignment horizontal="center" vertical="top" wrapText="1" readingOrder="1"/>
    </xf>
    <xf numFmtId="165" fontId="38" fillId="3" borderId="21" xfId="0" applyFont="1" applyFill="1" applyBorder="1" applyAlignment="1">
      <alignment horizontal="right" vertical="top" wrapText="1" readingOrder="1"/>
    </xf>
    <xf numFmtId="0" fontId="40" fillId="3" borderId="0" xfId="3" applyFont="1" applyFill="1" applyAlignment="1">
      <alignment horizontal="left" wrapText="1"/>
    </xf>
    <xf numFmtId="185" fontId="48" fillId="0" borderId="0" xfId="3" applyNumberFormat="1" applyFont="1" applyBorder="1" applyAlignment="1">
      <alignment horizontal="center"/>
    </xf>
    <xf numFmtId="172" fontId="48" fillId="0" borderId="0" xfId="3" applyNumberFormat="1" applyFont="1" applyBorder="1" applyAlignment="1">
      <alignment horizontal="center"/>
    </xf>
    <xf numFmtId="172" fontId="48" fillId="0" borderId="0" xfId="3" applyNumberFormat="1" applyFont="1" applyFill="1" applyBorder="1" applyAlignment="1">
      <alignment horizontal="center"/>
    </xf>
    <xf numFmtId="165" fontId="41" fillId="3" borderId="0" xfId="0" applyFont="1" applyFill="1" applyBorder="1" applyAlignment="1">
      <alignment horizontal="left" vertical="top" wrapText="1"/>
    </xf>
    <xf numFmtId="165" fontId="38" fillId="3" borderId="24" xfId="0" applyFont="1" applyFill="1" applyBorder="1" applyAlignment="1">
      <alignment horizontal="left" vertical="top" wrapText="1"/>
    </xf>
    <xf numFmtId="165" fontId="38" fillId="3" borderId="25" xfId="0" applyFont="1" applyFill="1" applyBorder="1" applyAlignment="1">
      <alignment horizontal="left" vertical="top" wrapText="1"/>
    </xf>
    <xf numFmtId="185" fontId="48" fillId="0" borderId="0" xfId="3" applyNumberFormat="1" applyFont="1" applyFill="1" applyBorder="1" applyAlignment="1">
      <alignment horizontal="center"/>
    </xf>
    <xf numFmtId="165" fontId="55" fillId="2" borderId="11" xfId="0" applyFont="1" applyFill="1" applyBorder="1" applyAlignment="1">
      <alignment horizontal="center" wrapText="1"/>
    </xf>
    <xf numFmtId="165" fontId="55" fillId="2" borderId="0" xfId="0" applyFont="1" applyFill="1" applyBorder="1" applyAlignment="1">
      <alignment horizontal="center" wrapText="1"/>
    </xf>
    <xf numFmtId="165" fontId="55" fillId="2" borderId="14" xfId="0" applyFont="1" applyFill="1" applyBorder="1" applyAlignment="1">
      <alignment horizontal="center" wrapText="1"/>
    </xf>
    <xf numFmtId="165" fontId="12" fillId="2" borderId="11" xfId="0" applyFont="1" applyFill="1" applyBorder="1" applyAlignment="1">
      <alignment horizontal="center" wrapText="1"/>
    </xf>
    <xf numFmtId="165" fontId="12" fillId="2" borderId="0" xfId="0" applyFont="1" applyFill="1" applyBorder="1" applyAlignment="1">
      <alignment horizontal="center"/>
    </xf>
    <xf numFmtId="165" fontId="12" fillId="2" borderId="14" xfId="0" applyFont="1" applyFill="1" applyBorder="1" applyAlignment="1">
      <alignment horizontal="center"/>
    </xf>
    <xf numFmtId="165" fontId="12" fillId="2" borderId="11" xfId="0" applyFont="1" applyFill="1" applyBorder="1" applyAlignment="1">
      <alignment horizontal="center"/>
    </xf>
    <xf numFmtId="0" fontId="15" fillId="0" borderId="12" xfId="3" applyFont="1" applyFill="1" applyBorder="1" applyAlignment="1">
      <alignment horizontal="left" wrapText="1"/>
    </xf>
    <xf numFmtId="0" fontId="15" fillId="0" borderId="3" xfId="3" applyFont="1" applyFill="1" applyBorder="1" applyAlignment="1">
      <alignment horizontal="left" wrapText="1"/>
    </xf>
    <xf numFmtId="0" fontId="15" fillId="0" borderId="15" xfId="3" applyFont="1" applyFill="1" applyBorder="1" applyAlignment="1">
      <alignment horizontal="left" wrapText="1"/>
    </xf>
    <xf numFmtId="165" fontId="18" fillId="2" borderId="11" xfId="0" applyFont="1" applyFill="1" applyBorder="1" applyAlignment="1">
      <alignment horizontal="center"/>
    </xf>
    <xf numFmtId="165" fontId="18" fillId="2" borderId="0" xfId="0" applyFont="1" applyFill="1" applyBorder="1" applyAlignment="1">
      <alignment horizontal="center"/>
    </xf>
    <xf numFmtId="165" fontId="18" fillId="2" borderId="14" xfId="0" applyFont="1" applyFill="1" applyBorder="1" applyAlignment="1">
      <alignment horizontal="center"/>
    </xf>
    <xf numFmtId="165" fontId="19" fillId="2" borderId="11" xfId="0" applyFont="1" applyFill="1" applyBorder="1" applyAlignment="1">
      <alignment horizontal="center" wrapText="1"/>
    </xf>
    <xf numFmtId="165" fontId="19" fillId="2" borderId="0" xfId="0" applyFont="1" applyFill="1" applyBorder="1" applyAlignment="1">
      <alignment horizontal="center" wrapText="1"/>
    </xf>
    <xf numFmtId="165" fontId="19" fillId="2" borderId="14" xfId="0" applyFont="1" applyFill="1" applyBorder="1" applyAlignment="1">
      <alignment horizontal="center" wrapText="1"/>
    </xf>
  </cellXfs>
  <cellStyles count="8">
    <cellStyle name="Currency" xfId="1" builtinId="4"/>
    <cellStyle name="DateLong" xfId="5" xr:uid="{82830E1C-BD3E-4CA8-88B2-EF2992A30E3B}"/>
    <cellStyle name="DateShort" xfId="6" xr:uid="{06BBF83B-DD28-4434-8964-D892B279245A}"/>
    <cellStyle name="Factor" xfId="4" xr:uid="{2124D35C-E40D-48E8-B65F-081CB7F203E1}"/>
    <cellStyle name="Normal" xfId="0" builtinId="0" customBuiltin="1"/>
    <cellStyle name="Normal 2" xfId="3" xr:uid="{39C8F0A5-B567-442F-8DF5-AEA5D93052BC}"/>
    <cellStyle name="Percent" xfId="2" builtinId="5" customBuiltin="1"/>
    <cellStyle name="Year" xfId="7" xr:uid="{A6015CB1-E2F9-4CF6-A69D-171C89795746}"/>
  </cellStyles>
  <dxfs count="138"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/>
        </patternFill>
      </fill>
    </dxf>
    <dxf>
      <fill>
        <patternFill>
          <bgColor rgb="FF2AB4A8"/>
        </patternFill>
      </fill>
    </dxf>
    <dxf>
      <fill>
        <patternFill>
          <bgColor rgb="FF59B1CC"/>
        </patternFill>
      </fill>
    </dxf>
    <dxf>
      <fill>
        <patternFill>
          <bgColor rgb="FF2AB4A8"/>
        </patternFill>
      </fill>
    </dxf>
    <dxf>
      <fill>
        <patternFill>
          <bgColor rgb="FFA6A6A6"/>
        </patternFill>
      </fill>
    </dxf>
    <dxf>
      <fill>
        <patternFill>
          <bgColor rgb="FFE63329"/>
        </patternFill>
      </fill>
    </dxf>
    <dxf>
      <fill>
        <patternFill>
          <bgColor rgb="FF2AB4A8"/>
        </patternFill>
      </fill>
    </dxf>
    <dxf>
      <fill>
        <patternFill>
          <bgColor rgb="FF59B1CC"/>
        </patternFill>
      </fill>
    </dxf>
    <dxf>
      <fill>
        <patternFill>
          <bgColor rgb="FF2AB4A8"/>
        </patternFill>
      </fill>
    </dxf>
    <dxf>
      <fill>
        <patternFill>
          <bgColor rgb="FFA6A6A6"/>
        </patternFill>
      </fill>
    </dxf>
    <dxf>
      <fill>
        <patternFill>
          <bgColor rgb="FFE63329"/>
        </patternFill>
      </fill>
    </dxf>
    <dxf>
      <fill>
        <patternFill>
          <bgColor rgb="FF2AB4A8"/>
        </patternFill>
      </fill>
    </dxf>
    <dxf>
      <fill>
        <patternFill>
          <bgColor rgb="FF59B1CC"/>
        </patternFill>
      </fill>
    </dxf>
    <dxf>
      <fill>
        <patternFill>
          <bgColor rgb="FF2AB4A8"/>
        </patternFill>
      </fill>
    </dxf>
    <dxf>
      <fill>
        <patternFill>
          <bgColor rgb="FFA6A6A6"/>
        </patternFill>
      </fill>
    </dxf>
    <dxf>
      <fill>
        <patternFill>
          <bgColor rgb="FFE63329"/>
        </patternFill>
      </fill>
    </dxf>
    <dxf>
      <fill>
        <patternFill>
          <bgColor rgb="FF2AB4A8"/>
        </patternFill>
      </fill>
    </dxf>
    <dxf>
      <fill>
        <patternFill>
          <bgColor rgb="FF59B1CC"/>
        </patternFill>
      </fill>
    </dxf>
    <dxf>
      <fill>
        <patternFill>
          <bgColor rgb="FF2AB4A8"/>
        </patternFill>
      </fill>
    </dxf>
    <dxf>
      <fill>
        <patternFill>
          <bgColor rgb="FFA6A6A6"/>
        </patternFill>
      </fill>
    </dxf>
    <dxf>
      <fill>
        <patternFill>
          <bgColor rgb="FFE63329"/>
        </patternFill>
      </fill>
    </dxf>
    <dxf>
      <fill>
        <patternFill>
          <bgColor rgb="FF2AB4A8"/>
        </patternFill>
      </fill>
    </dxf>
    <dxf>
      <fill>
        <patternFill>
          <bgColor rgb="FF59B1CC"/>
        </patternFill>
      </fill>
    </dxf>
    <dxf>
      <fill>
        <patternFill>
          <bgColor rgb="FF2AB4A8"/>
        </patternFill>
      </fill>
    </dxf>
    <dxf>
      <fill>
        <patternFill>
          <bgColor rgb="FFA6A6A6"/>
        </patternFill>
      </fill>
    </dxf>
    <dxf>
      <fill>
        <patternFill>
          <bgColor rgb="FFE63329"/>
        </patternFill>
      </fill>
    </dxf>
    <dxf>
      <fill>
        <patternFill>
          <bgColor rgb="FF2AB4A8"/>
        </patternFill>
      </fill>
    </dxf>
    <dxf>
      <fill>
        <patternFill>
          <bgColor rgb="FF59B1CC"/>
        </patternFill>
      </fill>
    </dxf>
    <dxf>
      <fill>
        <patternFill>
          <bgColor rgb="FF2AB4A8"/>
        </patternFill>
      </fill>
    </dxf>
    <dxf>
      <fill>
        <patternFill>
          <bgColor rgb="FFA6A6A6"/>
        </patternFill>
      </fill>
    </dxf>
    <dxf>
      <fill>
        <patternFill>
          <bgColor rgb="FFE63329"/>
        </patternFill>
      </fill>
    </dxf>
    <dxf>
      <fill>
        <patternFill>
          <bgColor rgb="FF2AB4A8"/>
        </patternFill>
      </fill>
    </dxf>
    <dxf>
      <fill>
        <patternFill>
          <bgColor rgb="FF59B1CC"/>
        </patternFill>
      </fill>
    </dxf>
    <dxf>
      <fill>
        <patternFill>
          <bgColor rgb="FF2AB4A8"/>
        </patternFill>
      </fill>
    </dxf>
    <dxf>
      <fill>
        <patternFill>
          <bgColor rgb="FFA6A6A6"/>
        </patternFill>
      </fill>
    </dxf>
    <dxf>
      <fill>
        <patternFill>
          <bgColor rgb="FFE63329"/>
        </patternFill>
      </fill>
    </dxf>
    <dxf>
      <fill>
        <patternFill>
          <bgColor rgb="FF2AB4A8"/>
        </patternFill>
      </fill>
    </dxf>
    <dxf>
      <fill>
        <patternFill>
          <bgColor rgb="FF59B1CC"/>
        </patternFill>
      </fill>
    </dxf>
    <dxf>
      <fill>
        <patternFill>
          <bgColor rgb="FF2AB4A8"/>
        </patternFill>
      </fill>
    </dxf>
    <dxf>
      <fill>
        <patternFill>
          <bgColor rgb="FFA6A6A6"/>
        </patternFill>
      </fill>
    </dxf>
    <dxf>
      <fill>
        <patternFill>
          <bgColor rgb="FFE63329"/>
        </patternFill>
      </fill>
    </dxf>
    <dxf>
      <fill>
        <patternFill>
          <bgColor rgb="FF2AB4A8"/>
        </patternFill>
      </fill>
    </dxf>
    <dxf>
      <fill>
        <patternFill>
          <bgColor rgb="FF59B1CC"/>
        </patternFill>
      </fill>
    </dxf>
    <dxf>
      <fill>
        <patternFill>
          <bgColor rgb="FF2AB4A8"/>
        </patternFill>
      </fill>
    </dxf>
    <dxf>
      <fill>
        <patternFill>
          <bgColor rgb="FFA6A6A6"/>
        </patternFill>
      </fill>
    </dxf>
    <dxf>
      <fill>
        <patternFill>
          <bgColor rgb="FFE63329"/>
        </patternFill>
      </fill>
    </dxf>
    <dxf>
      <fill>
        <patternFill>
          <bgColor rgb="FF2AB4A8"/>
        </patternFill>
      </fill>
    </dxf>
    <dxf>
      <fill>
        <patternFill>
          <bgColor rgb="FF59B1CC"/>
        </patternFill>
      </fill>
    </dxf>
    <dxf>
      <fill>
        <patternFill>
          <bgColor rgb="FF2AB4A8"/>
        </patternFill>
      </fill>
    </dxf>
    <dxf>
      <fill>
        <patternFill>
          <bgColor rgb="FFA6A6A6"/>
        </patternFill>
      </fill>
    </dxf>
    <dxf>
      <fill>
        <patternFill>
          <bgColor rgb="FFE63329"/>
        </patternFill>
      </fill>
    </dxf>
    <dxf>
      <fill>
        <patternFill>
          <bgColor rgb="FF2AB4A8"/>
        </patternFill>
      </fill>
    </dxf>
    <dxf>
      <fill>
        <patternFill>
          <bgColor rgb="FF59B1CC"/>
        </patternFill>
      </fill>
    </dxf>
    <dxf>
      <fill>
        <patternFill>
          <bgColor rgb="FF2AB4A8"/>
        </patternFill>
      </fill>
    </dxf>
    <dxf>
      <fill>
        <patternFill>
          <bgColor rgb="FFA6A6A6"/>
        </patternFill>
      </fill>
    </dxf>
    <dxf>
      <fill>
        <patternFill>
          <bgColor rgb="FFE63329"/>
        </patternFill>
      </fill>
    </dxf>
    <dxf>
      <fill>
        <patternFill>
          <bgColor rgb="FF2AB4A8"/>
        </patternFill>
      </fill>
    </dxf>
    <dxf>
      <fill>
        <patternFill>
          <bgColor rgb="FF59B1CC"/>
        </patternFill>
      </fill>
    </dxf>
    <dxf>
      <fill>
        <patternFill>
          <bgColor rgb="FF2AB4A8"/>
        </patternFill>
      </fill>
    </dxf>
    <dxf>
      <fill>
        <patternFill>
          <bgColor rgb="FFA6A6A6"/>
        </patternFill>
      </fill>
    </dxf>
    <dxf>
      <fill>
        <patternFill>
          <bgColor rgb="FFE63329"/>
        </patternFill>
      </fill>
    </dxf>
    <dxf>
      <fill>
        <patternFill>
          <bgColor rgb="FF2AB4A8"/>
        </patternFill>
      </fill>
    </dxf>
    <dxf>
      <fill>
        <patternFill>
          <bgColor rgb="FF59B1CC"/>
        </patternFill>
      </fill>
    </dxf>
    <dxf>
      <fill>
        <patternFill>
          <bgColor rgb="FF2AB4A8"/>
        </patternFill>
      </fill>
    </dxf>
    <dxf>
      <fill>
        <patternFill>
          <bgColor rgb="FFA6A6A6"/>
        </patternFill>
      </fill>
    </dxf>
    <dxf>
      <fill>
        <patternFill>
          <bgColor rgb="FFE63329"/>
        </patternFill>
      </fill>
    </dxf>
    <dxf>
      <fill>
        <patternFill>
          <bgColor rgb="FF2AB4A8"/>
        </patternFill>
      </fill>
    </dxf>
    <dxf>
      <fill>
        <patternFill>
          <bgColor rgb="FF59B1CC"/>
        </patternFill>
      </fill>
    </dxf>
    <dxf>
      <fill>
        <patternFill>
          <bgColor rgb="FF2AB4A8"/>
        </patternFill>
      </fill>
    </dxf>
    <dxf>
      <fill>
        <patternFill>
          <bgColor rgb="FFA6A6A6"/>
        </patternFill>
      </fill>
    </dxf>
    <dxf>
      <fill>
        <patternFill>
          <bgColor rgb="FFE63329"/>
        </patternFill>
      </fill>
    </dxf>
    <dxf>
      <fill>
        <patternFill>
          <bgColor rgb="FF2AB4A8"/>
        </patternFill>
      </fill>
    </dxf>
    <dxf>
      <fill>
        <patternFill>
          <bgColor rgb="FF59B1CC"/>
        </patternFill>
      </fill>
    </dxf>
    <dxf>
      <fill>
        <patternFill>
          <bgColor rgb="FF2AB4A8"/>
        </patternFill>
      </fill>
    </dxf>
    <dxf>
      <fill>
        <patternFill>
          <bgColor rgb="FFA6A6A6"/>
        </patternFill>
      </fill>
    </dxf>
    <dxf>
      <fill>
        <patternFill>
          <bgColor rgb="FFE63329"/>
        </patternFill>
      </fill>
    </dxf>
    <dxf>
      <fill>
        <patternFill>
          <bgColor rgb="FF2AB4A8"/>
        </patternFill>
      </fill>
    </dxf>
    <dxf>
      <fill>
        <patternFill>
          <bgColor rgb="FF59B1CC"/>
        </patternFill>
      </fill>
    </dxf>
    <dxf>
      <fill>
        <patternFill>
          <bgColor rgb="FF2AB4A8"/>
        </patternFill>
      </fill>
    </dxf>
    <dxf>
      <fill>
        <patternFill>
          <bgColor rgb="FFA6A6A6"/>
        </patternFill>
      </fill>
    </dxf>
    <dxf>
      <fill>
        <patternFill>
          <bgColor rgb="FFE63329"/>
        </patternFill>
      </fill>
    </dxf>
    <dxf>
      <fill>
        <patternFill>
          <bgColor rgb="FF2AB4A8"/>
        </patternFill>
      </fill>
    </dxf>
    <dxf>
      <fill>
        <patternFill>
          <bgColor rgb="FF59B1CC"/>
        </patternFill>
      </fill>
    </dxf>
    <dxf>
      <fill>
        <patternFill>
          <bgColor rgb="FF2AB4A8"/>
        </patternFill>
      </fill>
    </dxf>
    <dxf>
      <fill>
        <patternFill>
          <bgColor rgb="FFA6A6A6"/>
        </patternFill>
      </fill>
    </dxf>
    <dxf>
      <fill>
        <patternFill>
          <bgColor rgb="FFE63329"/>
        </patternFill>
      </fill>
    </dxf>
    <dxf>
      <fill>
        <patternFill>
          <bgColor rgb="FF2AB4A8"/>
        </patternFill>
      </fill>
    </dxf>
    <dxf>
      <fill>
        <patternFill>
          <bgColor rgb="FF59B1CC"/>
        </patternFill>
      </fill>
    </dxf>
    <dxf>
      <fill>
        <patternFill>
          <bgColor rgb="FF2AB4A8"/>
        </patternFill>
      </fill>
    </dxf>
    <dxf>
      <fill>
        <patternFill>
          <bgColor rgb="FFA6A6A6"/>
        </patternFill>
      </fill>
    </dxf>
    <dxf>
      <fill>
        <patternFill>
          <bgColor rgb="FFE63329"/>
        </patternFill>
      </fill>
    </dxf>
    <dxf>
      <fill>
        <patternFill>
          <bgColor rgb="FF2AB4A8"/>
        </patternFill>
      </fill>
    </dxf>
    <dxf>
      <fill>
        <patternFill>
          <bgColor rgb="FF59B1CC"/>
        </patternFill>
      </fill>
    </dxf>
    <dxf>
      <fill>
        <patternFill>
          <bgColor rgb="FF2AB4A8"/>
        </patternFill>
      </fill>
    </dxf>
    <dxf>
      <fill>
        <patternFill>
          <bgColor rgb="FFA6A6A6"/>
        </patternFill>
      </fill>
    </dxf>
    <dxf>
      <fill>
        <patternFill>
          <bgColor rgb="FFE63329"/>
        </patternFill>
      </fill>
    </dxf>
    <dxf>
      <fill>
        <patternFill>
          <bgColor rgb="FF2AB4A8"/>
        </patternFill>
      </fill>
    </dxf>
    <dxf>
      <fill>
        <patternFill>
          <bgColor rgb="FF59B1CC"/>
        </patternFill>
      </fill>
    </dxf>
    <dxf>
      <fill>
        <patternFill>
          <bgColor rgb="FF2AB4A8"/>
        </patternFill>
      </fill>
    </dxf>
    <dxf>
      <fill>
        <patternFill>
          <bgColor rgb="FFA6A6A6"/>
        </patternFill>
      </fill>
    </dxf>
    <dxf>
      <fill>
        <patternFill>
          <bgColor rgb="FFE63329"/>
        </patternFill>
      </fill>
    </dxf>
    <dxf>
      <fill>
        <patternFill>
          <bgColor rgb="FF2AB4A8"/>
        </patternFill>
      </fill>
    </dxf>
    <dxf>
      <fill>
        <patternFill>
          <bgColor rgb="FF59B1CC"/>
        </patternFill>
      </fill>
    </dxf>
    <dxf>
      <fill>
        <patternFill>
          <bgColor rgb="FF2AB4A8"/>
        </patternFill>
      </fill>
    </dxf>
    <dxf>
      <fill>
        <patternFill>
          <bgColor rgb="FFA6A6A6"/>
        </patternFill>
      </fill>
    </dxf>
    <dxf>
      <fill>
        <patternFill>
          <bgColor rgb="FFE63329"/>
        </patternFill>
      </fill>
    </dxf>
    <dxf>
      <fill>
        <patternFill>
          <bgColor rgb="FF2AB4A8"/>
        </patternFill>
      </fill>
    </dxf>
    <dxf>
      <fill>
        <patternFill>
          <bgColor rgb="FF59B1CC"/>
        </patternFill>
      </fill>
    </dxf>
    <dxf>
      <fill>
        <patternFill>
          <bgColor rgb="FF2AB4A8"/>
        </patternFill>
      </fill>
    </dxf>
    <dxf>
      <fill>
        <patternFill>
          <bgColor rgb="FFA6A6A6"/>
        </patternFill>
      </fill>
    </dxf>
    <dxf>
      <fill>
        <patternFill>
          <bgColor rgb="FFE6332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5A8B25"/>
      <color rgb="FFE63329"/>
      <color rgb="FFA6A6A6"/>
      <color rgb="FF2AB4A8"/>
      <color rgb="FF59B1CC"/>
      <color rgb="FFFFF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1479177</xdr:colOff>
      <xdr:row>5</xdr:row>
      <xdr:rowOff>16920</xdr:rowOff>
    </xdr:from>
    <xdr:to>
      <xdr:col>6</xdr:col>
      <xdr:colOff>31713</xdr:colOff>
      <xdr:row>9</xdr:row>
      <xdr:rowOff>134695</xdr:rowOff>
    </xdr:to>
    <xdr:sp macro="" textlink="">
      <xdr:nvSpPr>
        <xdr:cNvPr id="2" name="Left Brace 1">
          <a:extLst>
            <a:ext uri="{FF2B5EF4-FFF2-40B4-BE49-F238E27FC236}">
              <a16:creationId xmlns:a16="http://schemas.microsoft.com/office/drawing/2014/main" id="{A0EA25E5-C2D2-4415-B3D5-1828E05218BD}"/>
            </a:ext>
          </a:extLst>
        </xdr:cNvPr>
        <xdr:cNvSpPr/>
      </xdr:nvSpPr>
      <xdr:spPr>
        <a:xfrm>
          <a:off x="1815353" y="1451273"/>
          <a:ext cx="367889" cy="1014246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1463714</xdr:colOff>
      <xdr:row>15</xdr:row>
      <xdr:rowOff>11206</xdr:rowOff>
    </xdr:from>
    <xdr:to>
      <xdr:col>6</xdr:col>
      <xdr:colOff>92562</xdr:colOff>
      <xdr:row>19</xdr:row>
      <xdr:rowOff>19836</xdr:rowOff>
    </xdr:to>
    <xdr:sp macro="" textlink="">
      <xdr:nvSpPr>
        <xdr:cNvPr id="3" name="Left Brace 2">
          <a:extLst>
            <a:ext uri="{FF2B5EF4-FFF2-40B4-BE49-F238E27FC236}">
              <a16:creationId xmlns:a16="http://schemas.microsoft.com/office/drawing/2014/main" id="{5826EE7A-BD5B-4432-8AAA-C565DFB27A7A}"/>
            </a:ext>
          </a:extLst>
        </xdr:cNvPr>
        <xdr:cNvSpPr/>
      </xdr:nvSpPr>
      <xdr:spPr>
        <a:xfrm>
          <a:off x="1799890" y="3406588"/>
          <a:ext cx="444201" cy="770630"/>
        </a:xfrm>
        <a:prstGeom prst="leftBrac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18096</xdr:colOff>
      <xdr:row>43</xdr:row>
      <xdr:rowOff>121919</xdr:rowOff>
    </xdr:from>
    <xdr:to>
      <xdr:col>10</xdr:col>
      <xdr:colOff>855344</xdr:colOff>
      <xdr:row>44</xdr:row>
      <xdr:rowOff>125729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6B4FA046-C917-4B65-A866-D4A89C0CA0B0}"/>
            </a:ext>
          </a:extLst>
        </xdr:cNvPr>
        <xdr:cNvSpPr/>
      </xdr:nvSpPr>
      <xdr:spPr>
        <a:xfrm rot="5400000">
          <a:off x="7296625" y="6698455"/>
          <a:ext cx="184785" cy="3647123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30</xdr:col>
      <xdr:colOff>18096</xdr:colOff>
      <xdr:row>43</xdr:row>
      <xdr:rowOff>121919</xdr:rowOff>
    </xdr:from>
    <xdr:to>
      <xdr:col>34</xdr:col>
      <xdr:colOff>855344</xdr:colOff>
      <xdr:row>44</xdr:row>
      <xdr:rowOff>125729</xdr:rowOff>
    </xdr:to>
    <xdr:sp macro="" textlink="">
      <xdr:nvSpPr>
        <xdr:cNvPr id="4" name="Right Brace 3">
          <a:extLst>
            <a:ext uri="{FF2B5EF4-FFF2-40B4-BE49-F238E27FC236}">
              <a16:creationId xmlns:a16="http://schemas.microsoft.com/office/drawing/2014/main" id="{E11D7CB9-2AA6-4656-9318-0D2F51D6D284}"/>
            </a:ext>
          </a:extLst>
        </xdr:cNvPr>
        <xdr:cNvSpPr/>
      </xdr:nvSpPr>
      <xdr:spPr>
        <a:xfrm rot="5400000">
          <a:off x="14883287" y="6674643"/>
          <a:ext cx="184785" cy="369474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36</xdr:col>
      <xdr:colOff>18096</xdr:colOff>
      <xdr:row>43</xdr:row>
      <xdr:rowOff>121919</xdr:rowOff>
    </xdr:from>
    <xdr:to>
      <xdr:col>40</xdr:col>
      <xdr:colOff>855344</xdr:colOff>
      <xdr:row>44</xdr:row>
      <xdr:rowOff>125729</xdr:rowOff>
    </xdr:to>
    <xdr:sp macro="" textlink="">
      <xdr:nvSpPr>
        <xdr:cNvPr id="5" name="Right Brace 4">
          <a:extLst>
            <a:ext uri="{FF2B5EF4-FFF2-40B4-BE49-F238E27FC236}">
              <a16:creationId xmlns:a16="http://schemas.microsoft.com/office/drawing/2014/main" id="{773191FF-191F-41BE-8BD4-74A729FE3C37}"/>
            </a:ext>
          </a:extLst>
        </xdr:cNvPr>
        <xdr:cNvSpPr/>
      </xdr:nvSpPr>
      <xdr:spPr>
        <a:xfrm rot="5400000">
          <a:off x="18712337" y="6674643"/>
          <a:ext cx="184785" cy="369474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48</xdr:col>
      <xdr:colOff>18096</xdr:colOff>
      <xdr:row>43</xdr:row>
      <xdr:rowOff>121919</xdr:rowOff>
    </xdr:from>
    <xdr:to>
      <xdr:col>52</xdr:col>
      <xdr:colOff>855344</xdr:colOff>
      <xdr:row>44</xdr:row>
      <xdr:rowOff>125729</xdr:rowOff>
    </xdr:to>
    <xdr:sp macro="" textlink="">
      <xdr:nvSpPr>
        <xdr:cNvPr id="6" name="Right Brace 5">
          <a:extLst>
            <a:ext uri="{FF2B5EF4-FFF2-40B4-BE49-F238E27FC236}">
              <a16:creationId xmlns:a16="http://schemas.microsoft.com/office/drawing/2014/main" id="{31024676-786F-4875-8DD4-0005E24FA889}"/>
            </a:ext>
          </a:extLst>
        </xdr:cNvPr>
        <xdr:cNvSpPr/>
      </xdr:nvSpPr>
      <xdr:spPr>
        <a:xfrm rot="5400000">
          <a:off x="22541387" y="6674643"/>
          <a:ext cx="184785" cy="369474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18</xdr:col>
      <xdr:colOff>18096</xdr:colOff>
      <xdr:row>43</xdr:row>
      <xdr:rowOff>121919</xdr:rowOff>
    </xdr:from>
    <xdr:to>
      <xdr:col>22</xdr:col>
      <xdr:colOff>855344</xdr:colOff>
      <xdr:row>44</xdr:row>
      <xdr:rowOff>125729</xdr:rowOff>
    </xdr:to>
    <xdr:sp macro="" textlink="">
      <xdr:nvSpPr>
        <xdr:cNvPr id="7" name="Right Brace 6">
          <a:extLst>
            <a:ext uri="{FF2B5EF4-FFF2-40B4-BE49-F238E27FC236}">
              <a16:creationId xmlns:a16="http://schemas.microsoft.com/office/drawing/2014/main" id="{D6C557C5-EFCE-4B88-991E-484FA7B24BF0}"/>
            </a:ext>
          </a:extLst>
        </xdr:cNvPr>
        <xdr:cNvSpPr/>
      </xdr:nvSpPr>
      <xdr:spPr>
        <a:xfrm rot="5400000">
          <a:off x="11078050" y="6698455"/>
          <a:ext cx="184785" cy="3647123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18096</xdr:colOff>
      <xdr:row>43</xdr:row>
      <xdr:rowOff>121919</xdr:rowOff>
    </xdr:from>
    <xdr:to>
      <xdr:col>16</xdr:col>
      <xdr:colOff>855344</xdr:colOff>
      <xdr:row>44</xdr:row>
      <xdr:rowOff>125729</xdr:rowOff>
    </xdr:to>
    <xdr:sp macro="" textlink="">
      <xdr:nvSpPr>
        <xdr:cNvPr id="8" name="Right Brace 7">
          <a:extLst>
            <a:ext uri="{FF2B5EF4-FFF2-40B4-BE49-F238E27FC236}">
              <a16:creationId xmlns:a16="http://schemas.microsoft.com/office/drawing/2014/main" id="{2A00105E-A55D-4CC1-BE7B-6856CADF6CDE}"/>
            </a:ext>
          </a:extLst>
        </xdr:cNvPr>
        <xdr:cNvSpPr/>
      </xdr:nvSpPr>
      <xdr:spPr>
        <a:xfrm rot="5400000">
          <a:off x="7296625" y="6517480"/>
          <a:ext cx="184785" cy="3647123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24</xdr:col>
      <xdr:colOff>18096</xdr:colOff>
      <xdr:row>43</xdr:row>
      <xdr:rowOff>121919</xdr:rowOff>
    </xdr:from>
    <xdr:to>
      <xdr:col>28</xdr:col>
      <xdr:colOff>855344</xdr:colOff>
      <xdr:row>44</xdr:row>
      <xdr:rowOff>125729</xdr:rowOff>
    </xdr:to>
    <xdr:sp macro="" textlink="">
      <xdr:nvSpPr>
        <xdr:cNvPr id="9" name="Right Brace 8">
          <a:extLst>
            <a:ext uri="{FF2B5EF4-FFF2-40B4-BE49-F238E27FC236}">
              <a16:creationId xmlns:a16="http://schemas.microsoft.com/office/drawing/2014/main" id="{7AA665BA-2290-4B11-9251-BEE889A8C54B}"/>
            </a:ext>
          </a:extLst>
        </xdr:cNvPr>
        <xdr:cNvSpPr/>
      </xdr:nvSpPr>
      <xdr:spPr>
        <a:xfrm rot="5400000">
          <a:off x="11078050" y="6517480"/>
          <a:ext cx="184785" cy="3647123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42</xdr:col>
      <xdr:colOff>18096</xdr:colOff>
      <xdr:row>43</xdr:row>
      <xdr:rowOff>121919</xdr:rowOff>
    </xdr:from>
    <xdr:to>
      <xdr:col>46</xdr:col>
      <xdr:colOff>855344</xdr:colOff>
      <xdr:row>44</xdr:row>
      <xdr:rowOff>125729</xdr:rowOff>
    </xdr:to>
    <xdr:sp macro="" textlink="">
      <xdr:nvSpPr>
        <xdr:cNvPr id="10" name="Right Brace 9">
          <a:extLst>
            <a:ext uri="{FF2B5EF4-FFF2-40B4-BE49-F238E27FC236}">
              <a16:creationId xmlns:a16="http://schemas.microsoft.com/office/drawing/2014/main" id="{8BB7A159-96E7-4247-A110-EB06FD4AE669}"/>
            </a:ext>
          </a:extLst>
        </xdr:cNvPr>
        <xdr:cNvSpPr/>
      </xdr:nvSpPr>
      <xdr:spPr>
        <a:xfrm rot="5400000">
          <a:off x="14883287" y="6493668"/>
          <a:ext cx="184785" cy="369474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18096</xdr:colOff>
      <xdr:row>43</xdr:row>
      <xdr:rowOff>121919</xdr:rowOff>
    </xdr:from>
    <xdr:to>
      <xdr:col>10</xdr:col>
      <xdr:colOff>855344</xdr:colOff>
      <xdr:row>44</xdr:row>
      <xdr:rowOff>125729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659F84ED-F857-47F8-8A6D-62654E3D3FA7}"/>
            </a:ext>
          </a:extLst>
        </xdr:cNvPr>
        <xdr:cNvSpPr/>
      </xdr:nvSpPr>
      <xdr:spPr>
        <a:xfrm rot="5400000">
          <a:off x="7296625" y="6698455"/>
          <a:ext cx="184785" cy="3647123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24</xdr:col>
      <xdr:colOff>18096</xdr:colOff>
      <xdr:row>43</xdr:row>
      <xdr:rowOff>121919</xdr:rowOff>
    </xdr:from>
    <xdr:to>
      <xdr:col>28</xdr:col>
      <xdr:colOff>855344</xdr:colOff>
      <xdr:row>44</xdr:row>
      <xdr:rowOff>125729</xdr:rowOff>
    </xdr:to>
    <xdr:sp macro="" textlink="">
      <xdr:nvSpPr>
        <xdr:cNvPr id="5" name="Right Brace 4">
          <a:extLst>
            <a:ext uri="{FF2B5EF4-FFF2-40B4-BE49-F238E27FC236}">
              <a16:creationId xmlns:a16="http://schemas.microsoft.com/office/drawing/2014/main" id="{796C4149-CA84-4C89-9617-2C8B98745A5D}"/>
            </a:ext>
          </a:extLst>
        </xdr:cNvPr>
        <xdr:cNvSpPr/>
      </xdr:nvSpPr>
      <xdr:spPr>
        <a:xfrm rot="5400000">
          <a:off x="18712337" y="6674643"/>
          <a:ext cx="184785" cy="369474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18096</xdr:colOff>
      <xdr:row>43</xdr:row>
      <xdr:rowOff>121919</xdr:rowOff>
    </xdr:from>
    <xdr:to>
      <xdr:col>16</xdr:col>
      <xdr:colOff>855344</xdr:colOff>
      <xdr:row>44</xdr:row>
      <xdr:rowOff>125729</xdr:rowOff>
    </xdr:to>
    <xdr:sp macro="" textlink="">
      <xdr:nvSpPr>
        <xdr:cNvPr id="7" name="Right Brace 6">
          <a:extLst>
            <a:ext uri="{FF2B5EF4-FFF2-40B4-BE49-F238E27FC236}">
              <a16:creationId xmlns:a16="http://schemas.microsoft.com/office/drawing/2014/main" id="{F3239768-890A-4249-B8B1-39DD8E4DAAF4}"/>
            </a:ext>
          </a:extLst>
        </xdr:cNvPr>
        <xdr:cNvSpPr/>
      </xdr:nvSpPr>
      <xdr:spPr>
        <a:xfrm rot="5400000">
          <a:off x="11078050" y="6698455"/>
          <a:ext cx="184785" cy="3647123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24</xdr:col>
      <xdr:colOff>18096</xdr:colOff>
      <xdr:row>43</xdr:row>
      <xdr:rowOff>121919</xdr:rowOff>
    </xdr:from>
    <xdr:to>
      <xdr:col>28</xdr:col>
      <xdr:colOff>855344</xdr:colOff>
      <xdr:row>44</xdr:row>
      <xdr:rowOff>125729</xdr:rowOff>
    </xdr:to>
    <xdr:sp macro="" textlink="">
      <xdr:nvSpPr>
        <xdr:cNvPr id="8" name="Right Brace 7">
          <a:extLst>
            <a:ext uri="{FF2B5EF4-FFF2-40B4-BE49-F238E27FC236}">
              <a16:creationId xmlns:a16="http://schemas.microsoft.com/office/drawing/2014/main" id="{94F715A4-6DEB-4D39-985A-8911E66551DE}"/>
            </a:ext>
          </a:extLst>
        </xdr:cNvPr>
        <xdr:cNvSpPr/>
      </xdr:nvSpPr>
      <xdr:spPr>
        <a:xfrm rot="5400000">
          <a:off x="14883287" y="6674643"/>
          <a:ext cx="184785" cy="369474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18</xdr:col>
      <xdr:colOff>55924</xdr:colOff>
      <xdr:row>43</xdr:row>
      <xdr:rowOff>159748</xdr:rowOff>
    </xdr:from>
    <xdr:to>
      <xdr:col>22</xdr:col>
      <xdr:colOff>716824</xdr:colOff>
      <xdr:row>44</xdr:row>
      <xdr:rowOff>165463</xdr:rowOff>
    </xdr:to>
    <xdr:sp macro="" textlink="">
      <xdr:nvSpPr>
        <xdr:cNvPr id="9" name="Right Brace 8">
          <a:extLst>
            <a:ext uri="{FF2B5EF4-FFF2-40B4-BE49-F238E27FC236}">
              <a16:creationId xmlns:a16="http://schemas.microsoft.com/office/drawing/2014/main" id="{68743B7C-3679-439E-BF1E-2C0435ADE592}"/>
            </a:ext>
          </a:extLst>
        </xdr:cNvPr>
        <xdr:cNvSpPr/>
      </xdr:nvSpPr>
      <xdr:spPr>
        <a:xfrm rot="5400000">
          <a:off x="14922749" y="6819423"/>
          <a:ext cx="182608" cy="3654471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20000</xdr:colOff>
      <xdr:row>39</xdr:row>
      <xdr:rowOff>106682</xdr:rowOff>
    </xdr:from>
    <xdr:to>
      <xdr:col>8</xdr:col>
      <xdr:colOff>857248</xdr:colOff>
      <xdr:row>40</xdr:row>
      <xdr:rowOff>100967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901FBC4F-63F1-40A7-8A8A-9CC57F05F015}"/>
            </a:ext>
          </a:extLst>
        </xdr:cNvPr>
        <xdr:cNvSpPr/>
      </xdr:nvSpPr>
      <xdr:spPr>
        <a:xfrm rot="5400000">
          <a:off x="6560341" y="6870861"/>
          <a:ext cx="177165" cy="217836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14</xdr:col>
      <xdr:colOff>20000</xdr:colOff>
      <xdr:row>39</xdr:row>
      <xdr:rowOff>106682</xdr:rowOff>
    </xdr:from>
    <xdr:to>
      <xdr:col>17</xdr:col>
      <xdr:colOff>0</xdr:colOff>
      <xdr:row>40</xdr:row>
      <xdr:rowOff>100967</xdr:rowOff>
    </xdr:to>
    <xdr:sp macro="" textlink="">
      <xdr:nvSpPr>
        <xdr:cNvPr id="4" name="Right Brace 3">
          <a:extLst>
            <a:ext uri="{FF2B5EF4-FFF2-40B4-BE49-F238E27FC236}">
              <a16:creationId xmlns:a16="http://schemas.microsoft.com/office/drawing/2014/main" id="{50FD97B8-DC5F-4634-877B-94CDB9DCB235}"/>
            </a:ext>
          </a:extLst>
        </xdr:cNvPr>
        <xdr:cNvSpPr/>
      </xdr:nvSpPr>
      <xdr:spPr>
        <a:xfrm rot="5400000">
          <a:off x="8890157" y="6849905"/>
          <a:ext cx="177165" cy="2220280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30</xdr:col>
      <xdr:colOff>20000</xdr:colOff>
      <xdr:row>39</xdr:row>
      <xdr:rowOff>106682</xdr:rowOff>
    </xdr:from>
    <xdr:to>
      <xdr:col>32</xdr:col>
      <xdr:colOff>857248</xdr:colOff>
      <xdr:row>40</xdr:row>
      <xdr:rowOff>100967</xdr:rowOff>
    </xdr:to>
    <xdr:sp macro="" textlink="">
      <xdr:nvSpPr>
        <xdr:cNvPr id="5" name="Right Brace 4">
          <a:extLst>
            <a:ext uri="{FF2B5EF4-FFF2-40B4-BE49-F238E27FC236}">
              <a16:creationId xmlns:a16="http://schemas.microsoft.com/office/drawing/2014/main" id="{4C6225B7-C6A1-4F13-99DE-B044CB6AE463}"/>
            </a:ext>
          </a:extLst>
        </xdr:cNvPr>
        <xdr:cNvSpPr/>
      </xdr:nvSpPr>
      <xdr:spPr>
        <a:xfrm rot="5400000">
          <a:off x="11246641" y="6848001"/>
          <a:ext cx="177165" cy="222408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38</xdr:col>
      <xdr:colOff>0</xdr:colOff>
      <xdr:row>39</xdr:row>
      <xdr:rowOff>106682</xdr:rowOff>
    </xdr:from>
    <xdr:to>
      <xdr:col>38</xdr:col>
      <xdr:colOff>0</xdr:colOff>
      <xdr:row>40</xdr:row>
      <xdr:rowOff>100967</xdr:rowOff>
    </xdr:to>
    <xdr:sp macro="" textlink="">
      <xdr:nvSpPr>
        <xdr:cNvPr id="6" name="Right Brace 5">
          <a:extLst>
            <a:ext uri="{FF2B5EF4-FFF2-40B4-BE49-F238E27FC236}">
              <a16:creationId xmlns:a16="http://schemas.microsoft.com/office/drawing/2014/main" id="{EDDF2EF6-27AA-44FB-B8E2-64B1806ED3C0}"/>
            </a:ext>
          </a:extLst>
        </xdr:cNvPr>
        <xdr:cNvSpPr/>
      </xdr:nvSpPr>
      <xdr:spPr>
        <a:xfrm rot="5400000">
          <a:off x="13601221" y="6848001"/>
          <a:ext cx="177165" cy="222408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10</xdr:col>
      <xdr:colOff>20000</xdr:colOff>
      <xdr:row>39</xdr:row>
      <xdr:rowOff>106682</xdr:rowOff>
    </xdr:from>
    <xdr:to>
      <xdr:col>12</xdr:col>
      <xdr:colOff>857248</xdr:colOff>
      <xdr:row>40</xdr:row>
      <xdr:rowOff>100967</xdr:rowOff>
    </xdr:to>
    <xdr:sp macro="" textlink="">
      <xdr:nvSpPr>
        <xdr:cNvPr id="7" name="Right Brace 6">
          <a:extLst>
            <a:ext uri="{FF2B5EF4-FFF2-40B4-BE49-F238E27FC236}">
              <a16:creationId xmlns:a16="http://schemas.microsoft.com/office/drawing/2014/main" id="{E3F241DA-7EA3-4CFB-BC63-7E217F28D657}"/>
            </a:ext>
          </a:extLst>
        </xdr:cNvPr>
        <xdr:cNvSpPr/>
      </xdr:nvSpPr>
      <xdr:spPr>
        <a:xfrm rot="5400000">
          <a:off x="6567009" y="6422233"/>
          <a:ext cx="173355" cy="2187893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18</xdr:col>
      <xdr:colOff>20000</xdr:colOff>
      <xdr:row>39</xdr:row>
      <xdr:rowOff>106682</xdr:rowOff>
    </xdr:from>
    <xdr:to>
      <xdr:col>21</xdr:col>
      <xdr:colOff>0</xdr:colOff>
      <xdr:row>40</xdr:row>
      <xdr:rowOff>100967</xdr:rowOff>
    </xdr:to>
    <xdr:sp macro="" textlink="">
      <xdr:nvSpPr>
        <xdr:cNvPr id="8" name="Right Brace 7">
          <a:extLst>
            <a:ext uri="{FF2B5EF4-FFF2-40B4-BE49-F238E27FC236}">
              <a16:creationId xmlns:a16="http://schemas.microsoft.com/office/drawing/2014/main" id="{3DDFA528-A471-413B-8FEF-7E3EC898A7EF}"/>
            </a:ext>
          </a:extLst>
        </xdr:cNvPr>
        <xdr:cNvSpPr/>
      </xdr:nvSpPr>
      <xdr:spPr>
        <a:xfrm rot="5400000">
          <a:off x="8893967" y="6409850"/>
          <a:ext cx="173355" cy="2212660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34</xdr:col>
      <xdr:colOff>10475</xdr:colOff>
      <xdr:row>39</xdr:row>
      <xdr:rowOff>114846</xdr:rowOff>
    </xdr:from>
    <xdr:to>
      <xdr:col>37</xdr:col>
      <xdr:colOff>2175</xdr:colOff>
      <xdr:row>40</xdr:row>
      <xdr:rowOff>114846</xdr:rowOff>
    </xdr:to>
    <xdr:sp macro="" textlink="">
      <xdr:nvSpPr>
        <xdr:cNvPr id="9" name="Right Brace 8">
          <a:extLst>
            <a:ext uri="{FF2B5EF4-FFF2-40B4-BE49-F238E27FC236}">
              <a16:creationId xmlns:a16="http://schemas.microsoft.com/office/drawing/2014/main" id="{47D67318-5F26-487B-99BD-745FB1FDEB76}"/>
            </a:ext>
          </a:extLst>
        </xdr:cNvPr>
        <xdr:cNvSpPr/>
      </xdr:nvSpPr>
      <xdr:spPr>
        <a:xfrm rot="5400000">
          <a:off x="23002397" y="6283032"/>
          <a:ext cx="176892" cy="223687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26</xdr:col>
      <xdr:colOff>20000</xdr:colOff>
      <xdr:row>39</xdr:row>
      <xdr:rowOff>106682</xdr:rowOff>
    </xdr:from>
    <xdr:to>
      <xdr:col>28</xdr:col>
      <xdr:colOff>857248</xdr:colOff>
      <xdr:row>40</xdr:row>
      <xdr:rowOff>100967</xdr:rowOff>
    </xdr:to>
    <xdr:sp macro="" textlink="">
      <xdr:nvSpPr>
        <xdr:cNvPr id="10" name="Right Brace 9">
          <a:extLst>
            <a:ext uri="{FF2B5EF4-FFF2-40B4-BE49-F238E27FC236}">
              <a16:creationId xmlns:a16="http://schemas.microsoft.com/office/drawing/2014/main" id="{ADA4399D-FEB8-4780-A907-C2BD22772B2D}"/>
            </a:ext>
          </a:extLst>
        </xdr:cNvPr>
        <xdr:cNvSpPr/>
      </xdr:nvSpPr>
      <xdr:spPr>
        <a:xfrm rot="5400000">
          <a:off x="13582171" y="6407946"/>
          <a:ext cx="173355" cy="221646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21</xdr:col>
      <xdr:colOff>103821</xdr:colOff>
      <xdr:row>39</xdr:row>
      <xdr:rowOff>103145</xdr:rowOff>
    </xdr:from>
    <xdr:to>
      <xdr:col>24</xdr:col>
      <xdr:colOff>736961</xdr:colOff>
      <xdr:row>40</xdr:row>
      <xdr:rowOff>103145</xdr:rowOff>
    </xdr:to>
    <xdr:sp macro="" textlink="">
      <xdr:nvSpPr>
        <xdr:cNvPr id="11" name="Right Brace 10">
          <a:extLst>
            <a:ext uri="{FF2B5EF4-FFF2-40B4-BE49-F238E27FC236}">
              <a16:creationId xmlns:a16="http://schemas.microsoft.com/office/drawing/2014/main" id="{EA415612-108D-4445-8EBC-706E040A96AA}"/>
            </a:ext>
          </a:extLst>
        </xdr:cNvPr>
        <xdr:cNvSpPr/>
      </xdr:nvSpPr>
      <xdr:spPr>
        <a:xfrm rot="5400000">
          <a:off x="15925731" y="6270378"/>
          <a:ext cx="176892" cy="2238783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16191</xdr:colOff>
      <xdr:row>41</xdr:row>
      <xdr:rowOff>97156</xdr:rowOff>
    </xdr:from>
    <xdr:to>
      <xdr:col>48</xdr:col>
      <xdr:colOff>7171</xdr:colOff>
      <xdr:row>42</xdr:row>
      <xdr:rowOff>97156</xdr:rowOff>
    </xdr:to>
    <xdr:sp macro="" textlink="">
      <xdr:nvSpPr>
        <xdr:cNvPr id="3" name="Right Brace 2">
          <a:extLst>
            <a:ext uri="{FF2B5EF4-FFF2-40B4-BE49-F238E27FC236}">
              <a16:creationId xmlns:a16="http://schemas.microsoft.com/office/drawing/2014/main" id="{1C8C041E-4F65-4610-8BCB-157BC05A940B}"/>
            </a:ext>
          </a:extLst>
        </xdr:cNvPr>
        <xdr:cNvSpPr/>
      </xdr:nvSpPr>
      <xdr:spPr>
        <a:xfrm rot="5400000">
          <a:off x="30346005" y="5872695"/>
          <a:ext cx="179294" cy="3688921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72</xdr:col>
      <xdr:colOff>0</xdr:colOff>
      <xdr:row>41</xdr:row>
      <xdr:rowOff>100966</xdr:rowOff>
    </xdr:from>
    <xdr:to>
      <xdr:col>72</xdr:col>
      <xdr:colOff>0</xdr:colOff>
      <xdr:row>42</xdr:row>
      <xdr:rowOff>93346</xdr:rowOff>
    </xdr:to>
    <xdr:sp macro="" textlink="">
      <xdr:nvSpPr>
        <xdr:cNvPr id="4" name="Right Brace 3">
          <a:extLst>
            <a:ext uri="{FF2B5EF4-FFF2-40B4-BE49-F238E27FC236}">
              <a16:creationId xmlns:a16="http://schemas.microsoft.com/office/drawing/2014/main" id="{A5E16576-400E-4FEB-B36A-138B1FDFB000}"/>
            </a:ext>
          </a:extLst>
        </xdr:cNvPr>
        <xdr:cNvSpPr/>
      </xdr:nvSpPr>
      <xdr:spPr>
        <a:xfrm rot="5400000">
          <a:off x="15019495" y="6353652"/>
          <a:ext cx="17526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0</xdr:colOff>
      <xdr:row>41</xdr:row>
      <xdr:rowOff>104776</xdr:rowOff>
    </xdr:from>
    <xdr:to>
      <xdr:col>6</xdr:col>
      <xdr:colOff>0</xdr:colOff>
      <xdr:row>42</xdr:row>
      <xdr:rowOff>104776</xdr:rowOff>
    </xdr:to>
    <xdr:sp macro="" textlink="">
      <xdr:nvSpPr>
        <xdr:cNvPr id="5" name="Right Brace 4">
          <a:extLst>
            <a:ext uri="{FF2B5EF4-FFF2-40B4-BE49-F238E27FC236}">
              <a16:creationId xmlns:a16="http://schemas.microsoft.com/office/drawing/2014/main" id="{AF5CEA32-1AA9-49A3-92E0-04B28F021D75}"/>
            </a:ext>
          </a:extLst>
        </xdr:cNvPr>
        <xdr:cNvSpPr/>
      </xdr:nvSpPr>
      <xdr:spPr>
        <a:xfrm rot="5400000">
          <a:off x="7316629" y="6361272"/>
          <a:ext cx="18288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72</xdr:col>
      <xdr:colOff>0</xdr:colOff>
      <xdr:row>41</xdr:row>
      <xdr:rowOff>100966</xdr:rowOff>
    </xdr:from>
    <xdr:to>
      <xdr:col>72</xdr:col>
      <xdr:colOff>0</xdr:colOff>
      <xdr:row>42</xdr:row>
      <xdr:rowOff>93346</xdr:rowOff>
    </xdr:to>
    <xdr:sp macro="" textlink="">
      <xdr:nvSpPr>
        <xdr:cNvPr id="8" name="Right Brace 7">
          <a:extLst>
            <a:ext uri="{FF2B5EF4-FFF2-40B4-BE49-F238E27FC236}">
              <a16:creationId xmlns:a16="http://schemas.microsoft.com/office/drawing/2014/main" id="{504246C2-3387-45ED-94A3-E5F11266A07A}"/>
            </a:ext>
          </a:extLst>
        </xdr:cNvPr>
        <xdr:cNvSpPr/>
      </xdr:nvSpPr>
      <xdr:spPr>
        <a:xfrm rot="5400000">
          <a:off x="18867595" y="6353652"/>
          <a:ext cx="17526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73</xdr:col>
      <xdr:colOff>20001</xdr:colOff>
      <xdr:row>41</xdr:row>
      <xdr:rowOff>100966</xdr:rowOff>
    </xdr:from>
    <xdr:to>
      <xdr:col>77</xdr:col>
      <xdr:colOff>857249</xdr:colOff>
      <xdr:row>42</xdr:row>
      <xdr:rowOff>93346</xdr:rowOff>
    </xdr:to>
    <xdr:sp macro="" textlink="">
      <xdr:nvSpPr>
        <xdr:cNvPr id="10" name="Right Brace 9">
          <a:extLst>
            <a:ext uri="{FF2B5EF4-FFF2-40B4-BE49-F238E27FC236}">
              <a16:creationId xmlns:a16="http://schemas.microsoft.com/office/drawing/2014/main" id="{277F13D5-ECD5-4745-BB60-A3A6D54A9A76}"/>
            </a:ext>
          </a:extLst>
        </xdr:cNvPr>
        <xdr:cNvSpPr/>
      </xdr:nvSpPr>
      <xdr:spPr>
        <a:xfrm rot="5400000">
          <a:off x="22715695" y="6353652"/>
          <a:ext cx="17526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73</xdr:col>
      <xdr:colOff>9525</xdr:colOff>
      <xdr:row>41</xdr:row>
      <xdr:rowOff>104776</xdr:rowOff>
    </xdr:from>
    <xdr:to>
      <xdr:col>77</xdr:col>
      <xdr:colOff>740093</xdr:colOff>
      <xdr:row>42</xdr:row>
      <xdr:rowOff>104776</xdr:rowOff>
    </xdr:to>
    <xdr:sp macro="" textlink="">
      <xdr:nvSpPr>
        <xdr:cNvPr id="11" name="Right Brace 10">
          <a:extLst>
            <a:ext uri="{FF2B5EF4-FFF2-40B4-BE49-F238E27FC236}">
              <a16:creationId xmlns:a16="http://schemas.microsoft.com/office/drawing/2014/main" id="{E8B20AF1-E843-46E5-85CA-CCC8591C169F}"/>
            </a:ext>
          </a:extLst>
        </xdr:cNvPr>
        <xdr:cNvSpPr/>
      </xdr:nvSpPr>
      <xdr:spPr>
        <a:xfrm rot="5400000">
          <a:off x="22701409" y="6361272"/>
          <a:ext cx="18288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73</xdr:col>
      <xdr:colOff>9525</xdr:colOff>
      <xdr:row>41</xdr:row>
      <xdr:rowOff>104776</xdr:rowOff>
    </xdr:from>
    <xdr:to>
      <xdr:col>77</xdr:col>
      <xdr:colOff>740093</xdr:colOff>
      <xdr:row>42</xdr:row>
      <xdr:rowOff>104776</xdr:rowOff>
    </xdr:to>
    <xdr:sp macro="" textlink="">
      <xdr:nvSpPr>
        <xdr:cNvPr id="15" name="Right Brace 14">
          <a:extLst>
            <a:ext uri="{FF2B5EF4-FFF2-40B4-BE49-F238E27FC236}">
              <a16:creationId xmlns:a16="http://schemas.microsoft.com/office/drawing/2014/main" id="{312B9B18-11A0-41D7-9554-A3AE18B6FB59}"/>
            </a:ext>
          </a:extLst>
        </xdr:cNvPr>
        <xdr:cNvSpPr/>
      </xdr:nvSpPr>
      <xdr:spPr>
        <a:xfrm rot="5400000">
          <a:off x="22701409" y="6361272"/>
          <a:ext cx="18288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37</xdr:col>
      <xdr:colOff>9525</xdr:colOff>
      <xdr:row>41</xdr:row>
      <xdr:rowOff>104776</xdr:rowOff>
    </xdr:from>
    <xdr:to>
      <xdr:col>41</xdr:col>
      <xdr:colOff>740093</xdr:colOff>
      <xdr:row>42</xdr:row>
      <xdr:rowOff>104776</xdr:rowOff>
    </xdr:to>
    <xdr:sp macro="" textlink="">
      <xdr:nvSpPr>
        <xdr:cNvPr id="17" name="Right Brace 16">
          <a:extLst>
            <a:ext uri="{FF2B5EF4-FFF2-40B4-BE49-F238E27FC236}">
              <a16:creationId xmlns:a16="http://schemas.microsoft.com/office/drawing/2014/main" id="{899029E9-2EA5-4499-8A08-26C76E6D4FCE}"/>
            </a:ext>
          </a:extLst>
        </xdr:cNvPr>
        <xdr:cNvSpPr/>
      </xdr:nvSpPr>
      <xdr:spPr>
        <a:xfrm rot="5400000">
          <a:off x="7353368" y="6136754"/>
          <a:ext cx="176893" cy="3730127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55</xdr:col>
      <xdr:colOff>20001</xdr:colOff>
      <xdr:row>41</xdr:row>
      <xdr:rowOff>100966</xdr:rowOff>
    </xdr:from>
    <xdr:to>
      <xdr:col>59</xdr:col>
      <xdr:colOff>857249</xdr:colOff>
      <xdr:row>42</xdr:row>
      <xdr:rowOff>93346</xdr:rowOff>
    </xdr:to>
    <xdr:sp macro="" textlink="">
      <xdr:nvSpPr>
        <xdr:cNvPr id="18" name="Right Brace 17">
          <a:extLst>
            <a:ext uri="{FF2B5EF4-FFF2-40B4-BE49-F238E27FC236}">
              <a16:creationId xmlns:a16="http://schemas.microsoft.com/office/drawing/2014/main" id="{95F9E79A-20B2-4980-AF37-23234D77F8C7}"/>
            </a:ext>
          </a:extLst>
        </xdr:cNvPr>
        <xdr:cNvSpPr/>
      </xdr:nvSpPr>
      <xdr:spPr>
        <a:xfrm rot="5400000">
          <a:off x="14994412" y="6026310"/>
          <a:ext cx="174625" cy="371506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61</xdr:col>
      <xdr:colOff>9525</xdr:colOff>
      <xdr:row>41</xdr:row>
      <xdr:rowOff>104776</xdr:rowOff>
    </xdr:from>
    <xdr:to>
      <xdr:col>65</xdr:col>
      <xdr:colOff>740093</xdr:colOff>
      <xdr:row>42</xdr:row>
      <xdr:rowOff>104776</xdr:rowOff>
    </xdr:to>
    <xdr:sp macro="" textlink="">
      <xdr:nvSpPr>
        <xdr:cNvPr id="21" name="Right Brace 20">
          <a:extLst>
            <a:ext uri="{FF2B5EF4-FFF2-40B4-BE49-F238E27FC236}">
              <a16:creationId xmlns:a16="http://schemas.microsoft.com/office/drawing/2014/main" id="{CE016D87-FA57-44E9-AC64-6003E4FD938F}"/>
            </a:ext>
          </a:extLst>
        </xdr:cNvPr>
        <xdr:cNvSpPr/>
      </xdr:nvSpPr>
      <xdr:spPr>
        <a:xfrm rot="5400000">
          <a:off x="11159966" y="6035835"/>
          <a:ext cx="174625" cy="370744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67</xdr:col>
      <xdr:colOff>20001</xdr:colOff>
      <xdr:row>41</xdr:row>
      <xdr:rowOff>100966</xdr:rowOff>
    </xdr:from>
    <xdr:to>
      <xdr:col>71</xdr:col>
      <xdr:colOff>857249</xdr:colOff>
      <xdr:row>42</xdr:row>
      <xdr:rowOff>93346</xdr:rowOff>
    </xdr:to>
    <xdr:sp macro="" textlink="">
      <xdr:nvSpPr>
        <xdr:cNvPr id="23" name="Right Brace 22">
          <a:extLst>
            <a:ext uri="{FF2B5EF4-FFF2-40B4-BE49-F238E27FC236}">
              <a16:creationId xmlns:a16="http://schemas.microsoft.com/office/drawing/2014/main" id="{06DB78D5-2040-4BCA-B415-BF294FB461E4}"/>
            </a:ext>
          </a:extLst>
        </xdr:cNvPr>
        <xdr:cNvSpPr/>
      </xdr:nvSpPr>
      <xdr:spPr>
        <a:xfrm rot="5400000">
          <a:off x="14994412" y="6026310"/>
          <a:ext cx="174625" cy="371506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9525</xdr:colOff>
      <xdr:row>41</xdr:row>
      <xdr:rowOff>104776</xdr:rowOff>
    </xdr:from>
    <xdr:to>
      <xdr:col>16</xdr:col>
      <xdr:colOff>740093</xdr:colOff>
      <xdr:row>42</xdr:row>
      <xdr:rowOff>104776</xdr:rowOff>
    </xdr:to>
    <xdr:sp macro="" textlink="">
      <xdr:nvSpPr>
        <xdr:cNvPr id="26" name="Right Brace 25">
          <a:extLst>
            <a:ext uri="{FF2B5EF4-FFF2-40B4-BE49-F238E27FC236}">
              <a16:creationId xmlns:a16="http://schemas.microsoft.com/office/drawing/2014/main" id="{18B95688-B527-4226-993E-743E5BE38866}"/>
            </a:ext>
          </a:extLst>
        </xdr:cNvPr>
        <xdr:cNvSpPr/>
      </xdr:nvSpPr>
      <xdr:spPr>
        <a:xfrm rot="5400000">
          <a:off x="16319341" y="6035835"/>
          <a:ext cx="174625" cy="370744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30</xdr:col>
      <xdr:colOff>16190</xdr:colOff>
      <xdr:row>41</xdr:row>
      <xdr:rowOff>124371</xdr:rowOff>
    </xdr:from>
    <xdr:to>
      <xdr:col>34</xdr:col>
      <xdr:colOff>733152</xdr:colOff>
      <xdr:row>42</xdr:row>
      <xdr:rowOff>124371</xdr:rowOff>
    </xdr:to>
    <xdr:sp macro="" textlink="">
      <xdr:nvSpPr>
        <xdr:cNvPr id="27" name="Right Brace 26">
          <a:extLst>
            <a:ext uri="{FF2B5EF4-FFF2-40B4-BE49-F238E27FC236}">
              <a16:creationId xmlns:a16="http://schemas.microsoft.com/office/drawing/2014/main" id="{BB274335-ED6F-4F79-BD41-CF2C3FBA8B07}"/>
            </a:ext>
          </a:extLst>
        </xdr:cNvPr>
        <xdr:cNvSpPr/>
      </xdr:nvSpPr>
      <xdr:spPr>
        <a:xfrm rot="5400000">
          <a:off x="19016456" y="6161248"/>
          <a:ext cx="176893" cy="3724140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18</xdr:col>
      <xdr:colOff>9525</xdr:colOff>
      <xdr:row>41</xdr:row>
      <xdr:rowOff>104776</xdr:rowOff>
    </xdr:from>
    <xdr:to>
      <xdr:col>22</xdr:col>
      <xdr:colOff>740093</xdr:colOff>
      <xdr:row>42</xdr:row>
      <xdr:rowOff>104776</xdr:rowOff>
    </xdr:to>
    <xdr:sp macro="" textlink="">
      <xdr:nvSpPr>
        <xdr:cNvPr id="28" name="Right Brace 27">
          <a:extLst>
            <a:ext uri="{FF2B5EF4-FFF2-40B4-BE49-F238E27FC236}">
              <a16:creationId xmlns:a16="http://schemas.microsoft.com/office/drawing/2014/main" id="{62C3985F-DCF7-4D3C-B63A-F8F6B572E902}"/>
            </a:ext>
          </a:extLst>
        </xdr:cNvPr>
        <xdr:cNvSpPr/>
      </xdr:nvSpPr>
      <xdr:spPr>
        <a:xfrm rot="5400000">
          <a:off x="23531354" y="6031072"/>
          <a:ext cx="174625" cy="3716973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15240</xdr:colOff>
      <xdr:row>41</xdr:row>
      <xdr:rowOff>110491</xdr:rowOff>
    </xdr:from>
    <xdr:to>
      <xdr:col>10</xdr:col>
      <xdr:colOff>726486</xdr:colOff>
      <xdr:row>42</xdr:row>
      <xdr:rowOff>110491</xdr:rowOff>
    </xdr:to>
    <xdr:sp macro="" textlink="">
      <xdr:nvSpPr>
        <xdr:cNvPr id="29" name="Right Brace 28">
          <a:extLst>
            <a:ext uri="{FF2B5EF4-FFF2-40B4-BE49-F238E27FC236}">
              <a16:creationId xmlns:a16="http://schemas.microsoft.com/office/drawing/2014/main" id="{2B139F8A-A2E0-4E1B-9019-C927424EF35C}"/>
            </a:ext>
          </a:extLst>
        </xdr:cNvPr>
        <xdr:cNvSpPr/>
      </xdr:nvSpPr>
      <xdr:spPr>
        <a:xfrm rot="5400000">
          <a:off x="7351327" y="6150225"/>
          <a:ext cx="176893" cy="3718425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24</xdr:col>
      <xdr:colOff>12139</xdr:colOff>
      <xdr:row>41</xdr:row>
      <xdr:rowOff>119209</xdr:rowOff>
    </xdr:from>
    <xdr:to>
      <xdr:col>28</xdr:col>
      <xdr:colOff>706906</xdr:colOff>
      <xdr:row>42</xdr:row>
      <xdr:rowOff>119208</xdr:rowOff>
    </xdr:to>
    <xdr:sp macro="" textlink="">
      <xdr:nvSpPr>
        <xdr:cNvPr id="20" name="Right Brace 19">
          <a:extLst>
            <a:ext uri="{FF2B5EF4-FFF2-40B4-BE49-F238E27FC236}">
              <a16:creationId xmlns:a16="http://schemas.microsoft.com/office/drawing/2014/main" id="{113767BB-F398-4CEE-9B1C-C7575E69344B}"/>
            </a:ext>
          </a:extLst>
        </xdr:cNvPr>
        <xdr:cNvSpPr/>
      </xdr:nvSpPr>
      <xdr:spPr>
        <a:xfrm rot="5400000">
          <a:off x="18885648" y="5820200"/>
          <a:ext cx="176892" cy="368833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48</xdr:col>
      <xdr:colOff>100854</xdr:colOff>
      <xdr:row>41</xdr:row>
      <xdr:rowOff>89648</xdr:rowOff>
    </xdr:from>
    <xdr:to>
      <xdr:col>53</xdr:col>
      <xdr:colOff>719363</xdr:colOff>
      <xdr:row>42</xdr:row>
      <xdr:rowOff>89648</xdr:rowOff>
    </xdr:to>
    <xdr:sp macro="" textlink="">
      <xdr:nvSpPr>
        <xdr:cNvPr id="22" name="Right Brace 21">
          <a:extLst>
            <a:ext uri="{FF2B5EF4-FFF2-40B4-BE49-F238E27FC236}">
              <a16:creationId xmlns:a16="http://schemas.microsoft.com/office/drawing/2014/main" id="{7AA5A3FB-4714-4FB5-8EBA-5A102A0AF545}"/>
            </a:ext>
          </a:extLst>
        </xdr:cNvPr>
        <xdr:cNvSpPr/>
      </xdr:nvSpPr>
      <xdr:spPr>
        <a:xfrm rot="5400000">
          <a:off x="34128609" y="5865187"/>
          <a:ext cx="179294" cy="3688921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20001</xdr:colOff>
      <xdr:row>41</xdr:row>
      <xdr:rowOff>100966</xdr:rowOff>
    </xdr:from>
    <xdr:to>
      <xdr:col>16</xdr:col>
      <xdr:colOff>857249</xdr:colOff>
      <xdr:row>42</xdr:row>
      <xdr:rowOff>93346</xdr:rowOff>
    </xdr:to>
    <xdr:sp macro="" textlink="">
      <xdr:nvSpPr>
        <xdr:cNvPr id="3" name="Right Brace 2">
          <a:extLst>
            <a:ext uri="{FF2B5EF4-FFF2-40B4-BE49-F238E27FC236}">
              <a16:creationId xmlns:a16="http://schemas.microsoft.com/office/drawing/2014/main" id="{5486C3E7-76F0-4243-A04A-C93183438494}"/>
            </a:ext>
          </a:extLst>
        </xdr:cNvPr>
        <xdr:cNvSpPr/>
      </xdr:nvSpPr>
      <xdr:spPr>
        <a:xfrm rot="5400000">
          <a:off x="11171395" y="6353652"/>
          <a:ext cx="17526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18</xdr:col>
      <xdr:colOff>20001</xdr:colOff>
      <xdr:row>41</xdr:row>
      <xdr:rowOff>100966</xdr:rowOff>
    </xdr:from>
    <xdr:to>
      <xdr:col>22</xdr:col>
      <xdr:colOff>857249</xdr:colOff>
      <xdr:row>42</xdr:row>
      <xdr:rowOff>93346</xdr:rowOff>
    </xdr:to>
    <xdr:sp macro="" textlink="">
      <xdr:nvSpPr>
        <xdr:cNvPr id="4" name="Right Brace 3">
          <a:extLst>
            <a:ext uri="{FF2B5EF4-FFF2-40B4-BE49-F238E27FC236}">
              <a16:creationId xmlns:a16="http://schemas.microsoft.com/office/drawing/2014/main" id="{5B94D9A2-29D1-4CCF-A358-65207F1669D5}"/>
            </a:ext>
          </a:extLst>
        </xdr:cNvPr>
        <xdr:cNvSpPr/>
      </xdr:nvSpPr>
      <xdr:spPr>
        <a:xfrm rot="5400000">
          <a:off x="15019495" y="6353652"/>
          <a:ext cx="17526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9525</xdr:colOff>
      <xdr:row>41</xdr:row>
      <xdr:rowOff>104776</xdr:rowOff>
    </xdr:from>
    <xdr:to>
      <xdr:col>10</xdr:col>
      <xdr:colOff>740093</xdr:colOff>
      <xdr:row>42</xdr:row>
      <xdr:rowOff>104776</xdr:rowOff>
    </xdr:to>
    <xdr:sp macro="" textlink="">
      <xdr:nvSpPr>
        <xdr:cNvPr id="5" name="Right Brace 4">
          <a:extLst>
            <a:ext uri="{FF2B5EF4-FFF2-40B4-BE49-F238E27FC236}">
              <a16:creationId xmlns:a16="http://schemas.microsoft.com/office/drawing/2014/main" id="{60DC82AD-9728-44C7-8805-24EBE6355EBF}"/>
            </a:ext>
          </a:extLst>
        </xdr:cNvPr>
        <xdr:cNvSpPr/>
      </xdr:nvSpPr>
      <xdr:spPr>
        <a:xfrm rot="5400000">
          <a:off x="7316629" y="6361272"/>
          <a:ext cx="18288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9525</xdr:colOff>
      <xdr:row>41</xdr:row>
      <xdr:rowOff>104776</xdr:rowOff>
    </xdr:from>
    <xdr:to>
      <xdr:col>16</xdr:col>
      <xdr:colOff>740093</xdr:colOff>
      <xdr:row>42</xdr:row>
      <xdr:rowOff>104776</xdr:rowOff>
    </xdr:to>
    <xdr:sp macro="" textlink="">
      <xdr:nvSpPr>
        <xdr:cNvPr id="6" name="Right Brace 5">
          <a:extLst>
            <a:ext uri="{FF2B5EF4-FFF2-40B4-BE49-F238E27FC236}">
              <a16:creationId xmlns:a16="http://schemas.microsoft.com/office/drawing/2014/main" id="{06594847-9DA4-421D-95A2-E4F15ADED766}"/>
            </a:ext>
          </a:extLst>
        </xdr:cNvPr>
        <xdr:cNvSpPr/>
      </xdr:nvSpPr>
      <xdr:spPr>
        <a:xfrm rot="5400000">
          <a:off x="11157109" y="6361272"/>
          <a:ext cx="18288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18</xdr:col>
      <xdr:colOff>9525</xdr:colOff>
      <xdr:row>41</xdr:row>
      <xdr:rowOff>104776</xdr:rowOff>
    </xdr:from>
    <xdr:to>
      <xdr:col>22</xdr:col>
      <xdr:colOff>740093</xdr:colOff>
      <xdr:row>42</xdr:row>
      <xdr:rowOff>104776</xdr:rowOff>
    </xdr:to>
    <xdr:sp macro="" textlink="">
      <xdr:nvSpPr>
        <xdr:cNvPr id="7" name="Right Brace 6">
          <a:extLst>
            <a:ext uri="{FF2B5EF4-FFF2-40B4-BE49-F238E27FC236}">
              <a16:creationId xmlns:a16="http://schemas.microsoft.com/office/drawing/2014/main" id="{010FC68F-D391-4F78-B6F7-3D91EFC4AB6C}"/>
            </a:ext>
          </a:extLst>
        </xdr:cNvPr>
        <xdr:cNvSpPr/>
      </xdr:nvSpPr>
      <xdr:spPr>
        <a:xfrm rot="5400000">
          <a:off x="15005209" y="6361272"/>
          <a:ext cx="18288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54</xdr:col>
      <xdr:colOff>20001</xdr:colOff>
      <xdr:row>41</xdr:row>
      <xdr:rowOff>100966</xdr:rowOff>
    </xdr:from>
    <xdr:to>
      <xdr:col>58</xdr:col>
      <xdr:colOff>857249</xdr:colOff>
      <xdr:row>42</xdr:row>
      <xdr:rowOff>93346</xdr:rowOff>
    </xdr:to>
    <xdr:sp macro="" textlink="">
      <xdr:nvSpPr>
        <xdr:cNvPr id="8" name="Right Brace 7">
          <a:extLst>
            <a:ext uri="{FF2B5EF4-FFF2-40B4-BE49-F238E27FC236}">
              <a16:creationId xmlns:a16="http://schemas.microsoft.com/office/drawing/2014/main" id="{90386413-D67D-45F4-B5F9-470AA3DC195D}"/>
            </a:ext>
          </a:extLst>
        </xdr:cNvPr>
        <xdr:cNvSpPr/>
      </xdr:nvSpPr>
      <xdr:spPr>
        <a:xfrm rot="5400000">
          <a:off x="18867595" y="6353652"/>
          <a:ext cx="17526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54</xdr:col>
      <xdr:colOff>9525</xdr:colOff>
      <xdr:row>41</xdr:row>
      <xdr:rowOff>104776</xdr:rowOff>
    </xdr:from>
    <xdr:to>
      <xdr:col>58</xdr:col>
      <xdr:colOff>740093</xdr:colOff>
      <xdr:row>42</xdr:row>
      <xdr:rowOff>104776</xdr:rowOff>
    </xdr:to>
    <xdr:sp macro="" textlink="">
      <xdr:nvSpPr>
        <xdr:cNvPr id="9" name="Right Brace 8">
          <a:extLst>
            <a:ext uri="{FF2B5EF4-FFF2-40B4-BE49-F238E27FC236}">
              <a16:creationId xmlns:a16="http://schemas.microsoft.com/office/drawing/2014/main" id="{CF85F91B-EA48-4C22-AC42-DE2165527BB8}"/>
            </a:ext>
          </a:extLst>
        </xdr:cNvPr>
        <xdr:cNvSpPr/>
      </xdr:nvSpPr>
      <xdr:spPr>
        <a:xfrm rot="5400000">
          <a:off x="18853309" y="6361272"/>
          <a:ext cx="18288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60</xdr:col>
      <xdr:colOff>20001</xdr:colOff>
      <xdr:row>41</xdr:row>
      <xdr:rowOff>100966</xdr:rowOff>
    </xdr:from>
    <xdr:to>
      <xdr:col>64</xdr:col>
      <xdr:colOff>857249</xdr:colOff>
      <xdr:row>42</xdr:row>
      <xdr:rowOff>93346</xdr:rowOff>
    </xdr:to>
    <xdr:sp macro="" textlink="">
      <xdr:nvSpPr>
        <xdr:cNvPr id="10" name="Right Brace 9">
          <a:extLst>
            <a:ext uri="{FF2B5EF4-FFF2-40B4-BE49-F238E27FC236}">
              <a16:creationId xmlns:a16="http://schemas.microsoft.com/office/drawing/2014/main" id="{C8CD7A0D-7B5D-4C3B-B75E-37AA11CFA70A}"/>
            </a:ext>
          </a:extLst>
        </xdr:cNvPr>
        <xdr:cNvSpPr/>
      </xdr:nvSpPr>
      <xdr:spPr>
        <a:xfrm rot="5400000">
          <a:off x="22715695" y="6353652"/>
          <a:ext cx="17526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60</xdr:col>
      <xdr:colOff>9525</xdr:colOff>
      <xdr:row>41</xdr:row>
      <xdr:rowOff>104776</xdr:rowOff>
    </xdr:from>
    <xdr:to>
      <xdr:col>64</xdr:col>
      <xdr:colOff>740093</xdr:colOff>
      <xdr:row>42</xdr:row>
      <xdr:rowOff>104776</xdr:rowOff>
    </xdr:to>
    <xdr:sp macro="" textlink="">
      <xdr:nvSpPr>
        <xdr:cNvPr id="11" name="Right Brace 10">
          <a:extLst>
            <a:ext uri="{FF2B5EF4-FFF2-40B4-BE49-F238E27FC236}">
              <a16:creationId xmlns:a16="http://schemas.microsoft.com/office/drawing/2014/main" id="{7FA8359F-9540-4C9E-853F-C5B0B584A970}"/>
            </a:ext>
          </a:extLst>
        </xdr:cNvPr>
        <xdr:cNvSpPr/>
      </xdr:nvSpPr>
      <xdr:spPr>
        <a:xfrm rot="5400000">
          <a:off x="22701409" y="6361272"/>
          <a:ext cx="18288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77</xdr:col>
      <xdr:colOff>0</xdr:colOff>
      <xdr:row>41</xdr:row>
      <xdr:rowOff>100966</xdr:rowOff>
    </xdr:from>
    <xdr:to>
      <xdr:col>77</xdr:col>
      <xdr:colOff>0</xdr:colOff>
      <xdr:row>42</xdr:row>
      <xdr:rowOff>93346</xdr:rowOff>
    </xdr:to>
    <xdr:sp macro="" textlink="">
      <xdr:nvSpPr>
        <xdr:cNvPr id="12" name="Right Brace 11">
          <a:extLst>
            <a:ext uri="{FF2B5EF4-FFF2-40B4-BE49-F238E27FC236}">
              <a16:creationId xmlns:a16="http://schemas.microsoft.com/office/drawing/2014/main" id="{DF56FF2C-BC20-4540-A7BC-CEB53BF97CCA}"/>
            </a:ext>
          </a:extLst>
        </xdr:cNvPr>
        <xdr:cNvSpPr/>
      </xdr:nvSpPr>
      <xdr:spPr>
        <a:xfrm rot="5400000">
          <a:off x="26563795" y="6353652"/>
          <a:ext cx="17526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77</xdr:col>
      <xdr:colOff>0</xdr:colOff>
      <xdr:row>41</xdr:row>
      <xdr:rowOff>104776</xdr:rowOff>
    </xdr:from>
    <xdr:to>
      <xdr:col>77</xdr:col>
      <xdr:colOff>0</xdr:colOff>
      <xdr:row>42</xdr:row>
      <xdr:rowOff>104776</xdr:rowOff>
    </xdr:to>
    <xdr:sp macro="" textlink="">
      <xdr:nvSpPr>
        <xdr:cNvPr id="13" name="Right Brace 12">
          <a:extLst>
            <a:ext uri="{FF2B5EF4-FFF2-40B4-BE49-F238E27FC236}">
              <a16:creationId xmlns:a16="http://schemas.microsoft.com/office/drawing/2014/main" id="{4CEAEB63-9F90-4840-8F63-A5856EC16F39}"/>
            </a:ext>
          </a:extLst>
        </xdr:cNvPr>
        <xdr:cNvSpPr/>
      </xdr:nvSpPr>
      <xdr:spPr>
        <a:xfrm rot="5400000">
          <a:off x="26549509" y="6361272"/>
          <a:ext cx="18288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20001</xdr:colOff>
      <xdr:row>41</xdr:row>
      <xdr:rowOff>100966</xdr:rowOff>
    </xdr:from>
    <xdr:to>
      <xdr:col>16</xdr:col>
      <xdr:colOff>857249</xdr:colOff>
      <xdr:row>42</xdr:row>
      <xdr:rowOff>93346</xdr:rowOff>
    </xdr:to>
    <xdr:sp macro="" textlink="">
      <xdr:nvSpPr>
        <xdr:cNvPr id="14" name="Right Brace 13">
          <a:extLst>
            <a:ext uri="{FF2B5EF4-FFF2-40B4-BE49-F238E27FC236}">
              <a16:creationId xmlns:a16="http://schemas.microsoft.com/office/drawing/2014/main" id="{37753CFD-EBE9-4AAE-AD74-D3B583E0FDC3}"/>
            </a:ext>
          </a:extLst>
        </xdr:cNvPr>
        <xdr:cNvSpPr/>
      </xdr:nvSpPr>
      <xdr:spPr>
        <a:xfrm rot="5400000">
          <a:off x="11171395" y="6353652"/>
          <a:ext cx="17526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18</xdr:col>
      <xdr:colOff>20001</xdr:colOff>
      <xdr:row>41</xdr:row>
      <xdr:rowOff>100966</xdr:rowOff>
    </xdr:from>
    <xdr:to>
      <xdr:col>22</xdr:col>
      <xdr:colOff>857249</xdr:colOff>
      <xdr:row>42</xdr:row>
      <xdr:rowOff>93346</xdr:rowOff>
    </xdr:to>
    <xdr:sp macro="" textlink="">
      <xdr:nvSpPr>
        <xdr:cNvPr id="15" name="Right Brace 14">
          <a:extLst>
            <a:ext uri="{FF2B5EF4-FFF2-40B4-BE49-F238E27FC236}">
              <a16:creationId xmlns:a16="http://schemas.microsoft.com/office/drawing/2014/main" id="{9ECD8369-349F-4B38-870E-919E70057D11}"/>
            </a:ext>
          </a:extLst>
        </xdr:cNvPr>
        <xdr:cNvSpPr/>
      </xdr:nvSpPr>
      <xdr:spPr>
        <a:xfrm rot="5400000">
          <a:off x="15019495" y="6353652"/>
          <a:ext cx="17526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9525</xdr:colOff>
      <xdr:row>41</xdr:row>
      <xdr:rowOff>104776</xdr:rowOff>
    </xdr:from>
    <xdr:to>
      <xdr:col>10</xdr:col>
      <xdr:colOff>740093</xdr:colOff>
      <xdr:row>42</xdr:row>
      <xdr:rowOff>104776</xdr:rowOff>
    </xdr:to>
    <xdr:sp macro="" textlink="">
      <xdr:nvSpPr>
        <xdr:cNvPr id="16" name="Right Brace 15">
          <a:extLst>
            <a:ext uri="{FF2B5EF4-FFF2-40B4-BE49-F238E27FC236}">
              <a16:creationId xmlns:a16="http://schemas.microsoft.com/office/drawing/2014/main" id="{759B12E2-7C9A-4A94-8AAE-0E1EF09FD2EE}"/>
            </a:ext>
          </a:extLst>
        </xdr:cNvPr>
        <xdr:cNvSpPr/>
      </xdr:nvSpPr>
      <xdr:spPr>
        <a:xfrm rot="5400000">
          <a:off x="7316629" y="6361272"/>
          <a:ext cx="18288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9525</xdr:colOff>
      <xdr:row>41</xdr:row>
      <xdr:rowOff>104776</xdr:rowOff>
    </xdr:from>
    <xdr:to>
      <xdr:col>16</xdr:col>
      <xdr:colOff>740093</xdr:colOff>
      <xdr:row>42</xdr:row>
      <xdr:rowOff>104776</xdr:rowOff>
    </xdr:to>
    <xdr:sp macro="" textlink="">
      <xdr:nvSpPr>
        <xdr:cNvPr id="17" name="Right Brace 16">
          <a:extLst>
            <a:ext uri="{FF2B5EF4-FFF2-40B4-BE49-F238E27FC236}">
              <a16:creationId xmlns:a16="http://schemas.microsoft.com/office/drawing/2014/main" id="{DC38FA78-875C-473E-8134-D9D45FF0593F}"/>
            </a:ext>
          </a:extLst>
        </xdr:cNvPr>
        <xdr:cNvSpPr/>
      </xdr:nvSpPr>
      <xdr:spPr>
        <a:xfrm rot="5400000">
          <a:off x="11157109" y="6361272"/>
          <a:ext cx="18288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18</xdr:col>
      <xdr:colOff>9525</xdr:colOff>
      <xdr:row>41</xdr:row>
      <xdr:rowOff>104776</xdr:rowOff>
    </xdr:from>
    <xdr:to>
      <xdr:col>22</xdr:col>
      <xdr:colOff>740093</xdr:colOff>
      <xdr:row>42</xdr:row>
      <xdr:rowOff>104776</xdr:rowOff>
    </xdr:to>
    <xdr:sp macro="" textlink="">
      <xdr:nvSpPr>
        <xdr:cNvPr id="18" name="Right Brace 17">
          <a:extLst>
            <a:ext uri="{FF2B5EF4-FFF2-40B4-BE49-F238E27FC236}">
              <a16:creationId xmlns:a16="http://schemas.microsoft.com/office/drawing/2014/main" id="{C8FBF54B-71D3-4686-822E-20CB24F67B63}"/>
            </a:ext>
          </a:extLst>
        </xdr:cNvPr>
        <xdr:cNvSpPr/>
      </xdr:nvSpPr>
      <xdr:spPr>
        <a:xfrm rot="5400000">
          <a:off x="15005209" y="6361272"/>
          <a:ext cx="18288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54</xdr:col>
      <xdr:colOff>20001</xdr:colOff>
      <xdr:row>41</xdr:row>
      <xdr:rowOff>100966</xdr:rowOff>
    </xdr:from>
    <xdr:to>
      <xdr:col>58</xdr:col>
      <xdr:colOff>857249</xdr:colOff>
      <xdr:row>42</xdr:row>
      <xdr:rowOff>93346</xdr:rowOff>
    </xdr:to>
    <xdr:sp macro="" textlink="">
      <xdr:nvSpPr>
        <xdr:cNvPr id="19" name="Right Brace 18">
          <a:extLst>
            <a:ext uri="{FF2B5EF4-FFF2-40B4-BE49-F238E27FC236}">
              <a16:creationId xmlns:a16="http://schemas.microsoft.com/office/drawing/2014/main" id="{5095BC1D-5A1D-4A36-924A-5F7B7A103AA3}"/>
            </a:ext>
          </a:extLst>
        </xdr:cNvPr>
        <xdr:cNvSpPr/>
      </xdr:nvSpPr>
      <xdr:spPr>
        <a:xfrm rot="5400000">
          <a:off x="18867595" y="6353652"/>
          <a:ext cx="17526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54</xdr:col>
      <xdr:colOff>9525</xdr:colOff>
      <xdr:row>41</xdr:row>
      <xdr:rowOff>104776</xdr:rowOff>
    </xdr:from>
    <xdr:to>
      <xdr:col>58</xdr:col>
      <xdr:colOff>740093</xdr:colOff>
      <xdr:row>42</xdr:row>
      <xdr:rowOff>104776</xdr:rowOff>
    </xdr:to>
    <xdr:sp macro="" textlink="">
      <xdr:nvSpPr>
        <xdr:cNvPr id="20" name="Right Brace 19">
          <a:extLst>
            <a:ext uri="{FF2B5EF4-FFF2-40B4-BE49-F238E27FC236}">
              <a16:creationId xmlns:a16="http://schemas.microsoft.com/office/drawing/2014/main" id="{FCE1E310-054B-4406-9601-181D6E683830}"/>
            </a:ext>
          </a:extLst>
        </xdr:cNvPr>
        <xdr:cNvSpPr/>
      </xdr:nvSpPr>
      <xdr:spPr>
        <a:xfrm rot="5400000">
          <a:off x="18853309" y="6361272"/>
          <a:ext cx="18288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60</xdr:col>
      <xdr:colOff>20001</xdr:colOff>
      <xdr:row>41</xdr:row>
      <xdr:rowOff>100966</xdr:rowOff>
    </xdr:from>
    <xdr:to>
      <xdr:col>64</xdr:col>
      <xdr:colOff>857249</xdr:colOff>
      <xdr:row>42</xdr:row>
      <xdr:rowOff>93346</xdr:rowOff>
    </xdr:to>
    <xdr:sp macro="" textlink="">
      <xdr:nvSpPr>
        <xdr:cNvPr id="21" name="Right Brace 20">
          <a:extLst>
            <a:ext uri="{FF2B5EF4-FFF2-40B4-BE49-F238E27FC236}">
              <a16:creationId xmlns:a16="http://schemas.microsoft.com/office/drawing/2014/main" id="{26521AA8-A27A-4B6D-847D-834B021C9B26}"/>
            </a:ext>
          </a:extLst>
        </xdr:cNvPr>
        <xdr:cNvSpPr/>
      </xdr:nvSpPr>
      <xdr:spPr>
        <a:xfrm rot="5400000">
          <a:off x="22715695" y="6353652"/>
          <a:ext cx="17526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60</xdr:col>
      <xdr:colOff>9525</xdr:colOff>
      <xdr:row>41</xdr:row>
      <xdr:rowOff>104776</xdr:rowOff>
    </xdr:from>
    <xdr:to>
      <xdr:col>64</xdr:col>
      <xdr:colOff>740093</xdr:colOff>
      <xdr:row>42</xdr:row>
      <xdr:rowOff>104776</xdr:rowOff>
    </xdr:to>
    <xdr:sp macro="" textlink="">
      <xdr:nvSpPr>
        <xdr:cNvPr id="22" name="Right Brace 21">
          <a:extLst>
            <a:ext uri="{FF2B5EF4-FFF2-40B4-BE49-F238E27FC236}">
              <a16:creationId xmlns:a16="http://schemas.microsoft.com/office/drawing/2014/main" id="{46442A5E-FFEA-4311-AF40-0ADE10469FD4}"/>
            </a:ext>
          </a:extLst>
        </xdr:cNvPr>
        <xdr:cNvSpPr/>
      </xdr:nvSpPr>
      <xdr:spPr>
        <a:xfrm rot="5400000">
          <a:off x="22701409" y="6361272"/>
          <a:ext cx="18288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9525</xdr:colOff>
      <xdr:row>41</xdr:row>
      <xdr:rowOff>104776</xdr:rowOff>
    </xdr:from>
    <xdr:to>
      <xdr:col>16</xdr:col>
      <xdr:colOff>740093</xdr:colOff>
      <xdr:row>42</xdr:row>
      <xdr:rowOff>104776</xdr:rowOff>
    </xdr:to>
    <xdr:sp macro="" textlink="">
      <xdr:nvSpPr>
        <xdr:cNvPr id="23" name="Right Brace 22">
          <a:extLst>
            <a:ext uri="{FF2B5EF4-FFF2-40B4-BE49-F238E27FC236}">
              <a16:creationId xmlns:a16="http://schemas.microsoft.com/office/drawing/2014/main" id="{6602083E-BCE9-4B49-96FC-6CB0BF4B7906}"/>
            </a:ext>
          </a:extLst>
        </xdr:cNvPr>
        <xdr:cNvSpPr/>
      </xdr:nvSpPr>
      <xdr:spPr>
        <a:xfrm rot="5400000">
          <a:off x="11157109" y="6361272"/>
          <a:ext cx="18288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18</xdr:col>
      <xdr:colOff>9525</xdr:colOff>
      <xdr:row>41</xdr:row>
      <xdr:rowOff>104776</xdr:rowOff>
    </xdr:from>
    <xdr:to>
      <xdr:col>22</xdr:col>
      <xdr:colOff>740093</xdr:colOff>
      <xdr:row>42</xdr:row>
      <xdr:rowOff>104776</xdr:rowOff>
    </xdr:to>
    <xdr:sp macro="" textlink="">
      <xdr:nvSpPr>
        <xdr:cNvPr id="24" name="Right Brace 23">
          <a:extLst>
            <a:ext uri="{FF2B5EF4-FFF2-40B4-BE49-F238E27FC236}">
              <a16:creationId xmlns:a16="http://schemas.microsoft.com/office/drawing/2014/main" id="{0CB873C8-2837-404A-A421-3BABD7272215}"/>
            </a:ext>
          </a:extLst>
        </xdr:cNvPr>
        <xdr:cNvSpPr/>
      </xdr:nvSpPr>
      <xdr:spPr>
        <a:xfrm rot="5400000">
          <a:off x="15005209" y="6361272"/>
          <a:ext cx="18288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54</xdr:col>
      <xdr:colOff>9525</xdr:colOff>
      <xdr:row>41</xdr:row>
      <xdr:rowOff>104776</xdr:rowOff>
    </xdr:from>
    <xdr:to>
      <xdr:col>58</xdr:col>
      <xdr:colOff>740093</xdr:colOff>
      <xdr:row>42</xdr:row>
      <xdr:rowOff>104776</xdr:rowOff>
    </xdr:to>
    <xdr:sp macro="" textlink="">
      <xdr:nvSpPr>
        <xdr:cNvPr id="25" name="Right Brace 24">
          <a:extLst>
            <a:ext uri="{FF2B5EF4-FFF2-40B4-BE49-F238E27FC236}">
              <a16:creationId xmlns:a16="http://schemas.microsoft.com/office/drawing/2014/main" id="{B1FA0A9F-F15B-4A1A-86EE-69013243181E}"/>
            </a:ext>
          </a:extLst>
        </xdr:cNvPr>
        <xdr:cNvSpPr/>
      </xdr:nvSpPr>
      <xdr:spPr>
        <a:xfrm rot="5400000">
          <a:off x="18853309" y="6361272"/>
          <a:ext cx="18288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60</xdr:col>
      <xdr:colOff>9525</xdr:colOff>
      <xdr:row>41</xdr:row>
      <xdr:rowOff>104776</xdr:rowOff>
    </xdr:from>
    <xdr:to>
      <xdr:col>64</xdr:col>
      <xdr:colOff>740093</xdr:colOff>
      <xdr:row>42</xdr:row>
      <xdr:rowOff>104776</xdr:rowOff>
    </xdr:to>
    <xdr:sp macro="" textlink="">
      <xdr:nvSpPr>
        <xdr:cNvPr id="26" name="Right Brace 25">
          <a:extLst>
            <a:ext uri="{FF2B5EF4-FFF2-40B4-BE49-F238E27FC236}">
              <a16:creationId xmlns:a16="http://schemas.microsoft.com/office/drawing/2014/main" id="{71AA06AD-0078-4451-96CE-0F31C509B62E}"/>
            </a:ext>
          </a:extLst>
        </xdr:cNvPr>
        <xdr:cNvSpPr/>
      </xdr:nvSpPr>
      <xdr:spPr>
        <a:xfrm rot="5400000">
          <a:off x="22701409" y="6361272"/>
          <a:ext cx="18288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77</xdr:col>
      <xdr:colOff>0</xdr:colOff>
      <xdr:row>41</xdr:row>
      <xdr:rowOff>100966</xdr:rowOff>
    </xdr:from>
    <xdr:to>
      <xdr:col>77</xdr:col>
      <xdr:colOff>0</xdr:colOff>
      <xdr:row>42</xdr:row>
      <xdr:rowOff>93346</xdr:rowOff>
    </xdr:to>
    <xdr:sp macro="" textlink="">
      <xdr:nvSpPr>
        <xdr:cNvPr id="27" name="Right Brace 26">
          <a:extLst>
            <a:ext uri="{FF2B5EF4-FFF2-40B4-BE49-F238E27FC236}">
              <a16:creationId xmlns:a16="http://schemas.microsoft.com/office/drawing/2014/main" id="{0916789C-5350-44D5-9EB3-74CCB9A9AA95}"/>
            </a:ext>
          </a:extLst>
        </xdr:cNvPr>
        <xdr:cNvSpPr/>
      </xdr:nvSpPr>
      <xdr:spPr>
        <a:xfrm rot="5400000">
          <a:off x="26563795" y="6353652"/>
          <a:ext cx="17526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77</xdr:col>
      <xdr:colOff>0</xdr:colOff>
      <xdr:row>41</xdr:row>
      <xdr:rowOff>104776</xdr:rowOff>
    </xdr:from>
    <xdr:to>
      <xdr:col>77</xdr:col>
      <xdr:colOff>0</xdr:colOff>
      <xdr:row>42</xdr:row>
      <xdr:rowOff>104776</xdr:rowOff>
    </xdr:to>
    <xdr:sp macro="" textlink="">
      <xdr:nvSpPr>
        <xdr:cNvPr id="28" name="Right Brace 27">
          <a:extLst>
            <a:ext uri="{FF2B5EF4-FFF2-40B4-BE49-F238E27FC236}">
              <a16:creationId xmlns:a16="http://schemas.microsoft.com/office/drawing/2014/main" id="{CDF5843E-4B7A-42BA-B8AE-F75C85DB7E62}"/>
            </a:ext>
          </a:extLst>
        </xdr:cNvPr>
        <xdr:cNvSpPr/>
      </xdr:nvSpPr>
      <xdr:spPr>
        <a:xfrm rot="5400000">
          <a:off x="26549509" y="6361272"/>
          <a:ext cx="18288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77</xdr:col>
      <xdr:colOff>0</xdr:colOff>
      <xdr:row>41</xdr:row>
      <xdr:rowOff>100966</xdr:rowOff>
    </xdr:from>
    <xdr:to>
      <xdr:col>77</xdr:col>
      <xdr:colOff>0</xdr:colOff>
      <xdr:row>42</xdr:row>
      <xdr:rowOff>93346</xdr:rowOff>
    </xdr:to>
    <xdr:sp macro="" textlink="">
      <xdr:nvSpPr>
        <xdr:cNvPr id="29" name="Right Brace 28">
          <a:extLst>
            <a:ext uri="{FF2B5EF4-FFF2-40B4-BE49-F238E27FC236}">
              <a16:creationId xmlns:a16="http://schemas.microsoft.com/office/drawing/2014/main" id="{8611E072-09BE-4AFC-B9C6-DAC95F6F9921}"/>
            </a:ext>
          </a:extLst>
        </xdr:cNvPr>
        <xdr:cNvSpPr/>
      </xdr:nvSpPr>
      <xdr:spPr>
        <a:xfrm rot="5400000">
          <a:off x="26563795" y="6353652"/>
          <a:ext cx="17526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77</xdr:col>
      <xdr:colOff>0</xdr:colOff>
      <xdr:row>41</xdr:row>
      <xdr:rowOff>104776</xdr:rowOff>
    </xdr:from>
    <xdr:to>
      <xdr:col>77</xdr:col>
      <xdr:colOff>0</xdr:colOff>
      <xdr:row>42</xdr:row>
      <xdr:rowOff>104776</xdr:rowOff>
    </xdr:to>
    <xdr:sp macro="" textlink="">
      <xdr:nvSpPr>
        <xdr:cNvPr id="30" name="Right Brace 29">
          <a:extLst>
            <a:ext uri="{FF2B5EF4-FFF2-40B4-BE49-F238E27FC236}">
              <a16:creationId xmlns:a16="http://schemas.microsoft.com/office/drawing/2014/main" id="{177701FC-0662-4E74-B473-9DDCE76AF78E}"/>
            </a:ext>
          </a:extLst>
        </xdr:cNvPr>
        <xdr:cNvSpPr/>
      </xdr:nvSpPr>
      <xdr:spPr>
        <a:xfrm rot="5400000">
          <a:off x="26549509" y="6361272"/>
          <a:ext cx="18288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77</xdr:col>
      <xdr:colOff>0</xdr:colOff>
      <xdr:row>41</xdr:row>
      <xdr:rowOff>104776</xdr:rowOff>
    </xdr:from>
    <xdr:to>
      <xdr:col>77</xdr:col>
      <xdr:colOff>0</xdr:colOff>
      <xdr:row>42</xdr:row>
      <xdr:rowOff>104776</xdr:rowOff>
    </xdr:to>
    <xdr:sp macro="" textlink="">
      <xdr:nvSpPr>
        <xdr:cNvPr id="31" name="Right Brace 30">
          <a:extLst>
            <a:ext uri="{FF2B5EF4-FFF2-40B4-BE49-F238E27FC236}">
              <a16:creationId xmlns:a16="http://schemas.microsoft.com/office/drawing/2014/main" id="{50BEC64D-11F5-4F75-A419-09092BE76801}"/>
            </a:ext>
          </a:extLst>
        </xdr:cNvPr>
        <xdr:cNvSpPr/>
      </xdr:nvSpPr>
      <xdr:spPr>
        <a:xfrm rot="5400000">
          <a:off x="26549509" y="6361272"/>
          <a:ext cx="182880" cy="3717608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30</xdr:col>
      <xdr:colOff>20001</xdr:colOff>
      <xdr:row>41</xdr:row>
      <xdr:rowOff>100966</xdr:rowOff>
    </xdr:from>
    <xdr:to>
      <xdr:col>34</xdr:col>
      <xdr:colOff>857249</xdr:colOff>
      <xdr:row>42</xdr:row>
      <xdr:rowOff>93346</xdr:rowOff>
    </xdr:to>
    <xdr:sp macro="" textlink="">
      <xdr:nvSpPr>
        <xdr:cNvPr id="32" name="Right Brace 31">
          <a:extLst>
            <a:ext uri="{FF2B5EF4-FFF2-40B4-BE49-F238E27FC236}">
              <a16:creationId xmlns:a16="http://schemas.microsoft.com/office/drawing/2014/main" id="{910C0510-CD43-49E9-A565-F9B648172D8A}"/>
            </a:ext>
          </a:extLst>
        </xdr:cNvPr>
        <xdr:cNvSpPr/>
      </xdr:nvSpPr>
      <xdr:spPr>
        <a:xfrm rot="5400000">
          <a:off x="20213885" y="6134033"/>
          <a:ext cx="176893" cy="3724140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30</xdr:col>
      <xdr:colOff>9525</xdr:colOff>
      <xdr:row>41</xdr:row>
      <xdr:rowOff>104776</xdr:rowOff>
    </xdr:from>
    <xdr:to>
      <xdr:col>34</xdr:col>
      <xdr:colOff>740093</xdr:colOff>
      <xdr:row>42</xdr:row>
      <xdr:rowOff>104776</xdr:rowOff>
    </xdr:to>
    <xdr:sp macro="" textlink="">
      <xdr:nvSpPr>
        <xdr:cNvPr id="33" name="Right Brace 32">
          <a:extLst>
            <a:ext uri="{FF2B5EF4-FFF2-40B4-BE49-F238E27FC236}">
              <a16:creationId xmlns:a16="http://schemas.microsoft.com/office/drawing/2014/main" id="{1301E445-1643-4DE2-A702-E055A780D647}"/>
            </a:ext>
          </a:extLst>
        </xdr:cNvPr>
        <xdr:cNvSpPr/>
      </xdr:nvSpPr>
      <xdr:spPr>
        <a:xfrm rot="5400000">
          <a:off x="20210077" y="6138795"/>
          <a:ext cx="176893" cy="3726045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30</xdr:col>
      <xdr:colOff>20001</xdr:colOff>
      <xdr:row>41</xdr:row>
      <xdr:rowOff>100966</xdr:rowOff>
    </xdr:from>
    <xdr:to>
      <xdr:col>34</xdr:col>
      <xdr:colOff>857249</xdr:colOff>
      <xdr:row>42</xdr:row>
      <xdr:rowOff>93346</xdr:rowOff>
    </xdr:to>
    <xdr:sp macro="" textlink="">
      <xdr:nvSpPr>
        <xdr:cNvPr id="34" name="Right Brace 33">
          <a:extLst>
            <a:ext uri="{FF2B5EF4-FFF2-40B4-BE49-F238E27FC236}">
              <a16:creationId xmlns:a16="http://schemas.microsoft.com/office/drawing/2014/main" id="{D8961F1C-BE95-4191-ACF4-301A9EB72809}"/>
            </a:ext>
          </a:extLst>
        </xdr:cNvPr>
        <xdr:cNvSpPr/>
      </xdr:nvSpPr>
      <xdr:spPr>
        <a:xfrm rot="5400000">
          <a:off x="20213885" y="6134033"/>
          <a:ext cx="176893" cy="3724140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30</xdr:col>
      <xdr:colOff>9525</xdr:colOff>
      <xdr:row>41</xdr:row>
      <xdr:rowOff>104776</xdr:rowOff>
    </xdr:from>
    <xdr:to>
      <xdr:col>34</xdr:col>
      <xdr:colOff>740093</xdr:colOff>
      <xdr:row>42</xdr:row>
      <xdr:rowOff>104776</xdr:rowOff>
    </xdr:to>
    <xdr:sp macro="" textlink="">
      <xdr:nvSpPr>
        <xdr:cNvPr id="35" name="Right Brace 34">
          <a:extLst>
            <a:ext uri="{FF2B5EF4-FFF2-40B4-BE49-F238E27FC236}">
              <a16:creationId xmlns:a16="http://schemas.microsoft.com/office/drawing/2014/main" id="{D27B5B4A-0FDD-499A-8973-5A50EAAF69ED}"/>
            </a:ext>
          </a:extLst>
        </xdr:cNvPr>
        <xdr:cNvSpPr/>
      </xdr:nvSpPr>
      <xdr:spPr>
        <a:xfrm rot="5400000">
          <a:off x="20210077" y="6138795"/>
          <a:ext cx="176893" cy="3726045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30</xdr:col>
      <xdr:colOff>9525</xdr:colOff>
      <xdr:row>41</xdr:row>
      <xdr:rowOff>104776</xdr:rowOff>
    </xdr:from>
    <xdr:to>
      <xdr:col>34</xdr:col>
      <xdr:colOff>740093</xdr:colOff>
      <xdr:row>42</xdr:row>
      <xdr:rowOff>104776</xdr:rowOff>
    </xdr:to>
    <xdr:sp macro="" textlink="">
      <xdr:nvSpPr>
        <xdr:cNvPr id="36" name="Right Brace 35">
          <a:extLst>
            <a:ext uri="{FF2B5EF4-FFF2-40B4-BE49-F238E27FC236}">
              <a16:creationId xmlns:a16="http://schemas.microsoft.com/office/drawing/2014/main" id="{56236024-09A8-486D-8CF7-1D5ACEC2867B}"/>
            </a:ext>
          </a:extLst>
        </xdr:cNvPr>
        <xdr:cNvSpPr/>
      </xdr:nvSpPr>
      <xdr:spPr>
        <a:xfrm rot="5400000">
          <a:off x="20210077" y="6138795"/>
          <a:ext cx="176893" cy="3726045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36</xdr:col>
      <xdr:colOff>20001</xdr:colOff>
      <xdr:row>41</xdr:row>
      <xdr:rowOff>100966</xdr:rowOff>
    </xdr:from>
    <xdr:to>
      <xdr:col>40</xdr:col>
      <xdr:colOff>857249</xdr:colOff>
      <xdr:row>42</xdr:row>
      <xdr:rowOff>93346</xdr:rowOff>
    </xdr:to>
    <xdr:sp macro="" textlink="">
      <xdr:nvSpPr>
        <xdr:cNvPr id="37" name="Right Brace 36">
          <a:extLst>
            <a:ext uri="{FF2B5EF4-FFF2-40B4-BE49-F238E27FC236}">
              <a16:creationId xmlns:a16="http://schemas.microsoft.com/office/drawing/2014/main" id="{EEAE06C7-C976-489D-9190-2194743569B5}"/>
            </a:ext>
          </a:extLst>
        </xdr:cNvPr>
        <xdr:cNvSpPr/>
      </xdr:nvSpPr>
      <xdr:spPr>
        <a:xfrm rot="5400000">
          <a:off x="23629278" y="6134033"/>
          <a:ext cx="176893" cy="3724140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36</xdr:col>
      <xdr:colOff>9525</xdr:colOff>
      <xdr:row>41</xdr:row>
      <xdr:rowOff>104776</xdr:rowOff>
    </xdr:from>
    <xdr:to>
      <xdr:col>40</xdr:col>
      <xdr:colOff>740093</xdr:colOff>
      <xdr:row>42</xdr:row>
      <xdr:rowOff>104776</xdr:rowOff>
    </xdr:to>
    <xdr:sp macro="" textlink="">
      <xdr:nvSpPr>
        <xdr:cNvPr id="38" name="Right Brace 37">
          <a:extLst>
            <a:ext uri="{FF2B5EF4-FFF2-40B4-BE49-F238E27FC236}">
              <a16:creationId xmlns:a16="http://schemas.microsoft.com/office/drawing/2014/main" id="{30B09CD8-6A61-4030-8686-772345F82E92}"/>
            </a:ext>
          </a:extLst>
        </xdr:cNvPr>
        <xdr:cNvSpPr/>
      </xdr:nvSpPr>
      <xdr:spPr>
        <a:xfrm rot="5400000">
          <a:off x="23625470" y="6138795"/>
          <a:ext cx="176893" cy="3726045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36</xdr:col>
      <xdr:colOff>20001</xdr:colOff>
      <xdr:row>41</xdr:row>
      <xdr:rowOff>100966</xdr:rowOff>
    </xdr:from>
    <xdr:to>
      <xdr:col>40</xdr:col>
      <xdr:colOff>857249</xdr:colOff>
      <xdr:row>42</xdr:row>
      <xdr:rowOff>93346</xdr:rowOff>
    </xdr:to>
    <xdr:sp macro="" textlink="">
      <xdr:nvSpPr>
        <xdr:cNvPr id="39" name="Right Brace 38">
          <a:extLst>
            <a:ext uri="{FF2B5EF4-FFF2-40B4-BE49-F238E27FC236}">
              <a16:creationId xmlns:a16="http://schemas.microsoft.com/office/drawing/2014/main" id="{DFE150C0-E14E-4923-84AB-1F35F2BA480C}"/>
            </a:ext>
          </a:extLst>
        </xdr:cNvPr>
        <xdr:cNvSpPr/>
      </xdr:nvSpPr>
      <xdr:spPr>
        <a:xfrm rot="5400000">
          <a:off x="23629278" y="6134033"/>
          <a:ext cx="176893" cy="3724140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36</xdr:col>
      <xdr:colOff>9525</xdr:colOff>
      <xdr:row>41</xdr:row>
      <xdr:rowOff>104776</xdr:rowOff>
    </xdr:from>
    <xdr:to>
      <xdr:col>40</xdr:col>
      <xdr:colOff>740093</xdr:colOff>
      <xdr:row>42</xdr:row>
      <xdr:rowOff>104776</xdr:rowOff>
    </xdr:to>
    <xdr:sp macro="" textlink="">
      <xdr:nvSpPr>
        <xdr:cNvPr id="40" name="Right Brace 39">
          <a:extLst>
            <a:ext uri="{FF2B5EF4-FFF2-40B4-BE49-F238E27FC236}">
              <a16:creationId xmlns:a16="http://schemas.microsoft.com/office/drawing/2014/main" id="{E70BEA3A-40C4-426B-BB58-CC25009D8AA7}"/>
            </a:ext>
          </a:extLst>
        </xdr:cNvPr>
        <xdr:cNvSpPr/>
      </xdr:nvSpPr>
      <xdr:spPr>
        <a:xfrm rot="5400000">
          <a:off x="23625470" y="6138795"/>
          <a:ext cx="176893" cy="3726045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36</xdr:col>
      <xdr:colOff>9525</xdr:colOff>
      <xdr:row>41</xdr:row>
      <xdr:rowOff>104776</xdr:rowOff>
    </xdr:from>
    <xdr:to>
      <xdr:col>40</xdr:col>
      <xdr:colOff>740093</xdr:colOff>
      <xdr:row>42</xdr:row>
      <xdr:rowOff>104776</xdr:rowOff>
    </xdr:to>
    <xdr:sp macro="" textlink="">
      <xdr:nvSpPr>
        <xdr:cNvPr id="41" name="Right Brace 40">
          <a:extLst>
            <a:ext uri="{FF2B5EF4-FFF2-40B4-BE49-F238E27FC236}">
              <a16:creationId xmlns:a16="http://schemas.microsoft.com/office/drawing/2014/main" id="{0EA51AE1-6090-444E-9079-E2346B916968}"/>
            </a:ext>
          </a:extLst>
        </xdr:cNvPr>
        <xdr:cNvSpPr/>
      </xdr:nvSpPr>
      <xdr:spPr>
        <a:xfrm rot="5400000">
          <a:off x="23625470" y="6138795"/>
          <a:ext cx="176893" cy="3726045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42</xdr:col>
      <xdr:colOff>20001</xdr:colOff>
      <xdr:row>41</xdr:row>
      <xdr:rowOff>100966</xdr:rowOff>
    </xdr:from>
    <xdr:to>
      <xdr:col>46</xdr:col>
      <xdr:colOff>857249</xdr:colOff>
      <xdr:row>42</xdr:row>
      <xdr:rowOff>93346</xdr:rowOff>
    </xdr:to>
    <xdr:sp macro="" textlink="">
      <xdr:nvSpPr>
        <xdr:cNvPr id="42" name="Right Brace 41">
          <a:extLst>
            <a:ext uri="{FF2B5EF4-FFF2-40B4-BE49-F238E27FC236}">
              <a16:creationId xmlns:a16="http://schemas.microsoft.com/office/drawing/2014/main" id="{1D4903E5-2BD4-42B6-AC3E-5078C1E05E59}"/>
            </a:ext>
          </a:extLst>
        </xdr:cNvPr>
        <xdr:cNvSpPr/>
      </xdr:nvSpPr>
      <xdr:spPr>
        <a:xfrm rot="5400000">
          <a:off x="22758421" y="6134033"/>
          <a:ext cx="176893" cy="3724140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42</xdr:col>
      <xdr:colOff>9525</xdr:colOff>
      <xdr:row>41</xdr:row>
      <xdr:rowOff>104776</xdr:rowOff>
    </xdr:from>
    <xdr:to>
      <xdr:col>46</xdr:col>
      <xdr:colOff>740093</xdr:colOff>
      <xdr:row>42</xdr:row>
      <xdr:rowOff>104776</xdr:rowOff>
    </xdr:to>
    <xdr:sp macro="" textlink="">
      <xdr:nvSpPr>
        <xdr:cNvPr id="43" name="Right Brace 42">
          <a:extLst>
            <a:ext uri="{FF2B5EF4-FFF2-40B4-BE49-F238E27FC236}">
              <a16:creationId xmlns:a16="http://schemas.microsoft.com/office/drawing/2014/main" id="{0FD6272B-036E-41E9-8671-5E567AA359A3}"/>
            </a:ext>
          </a:extLst>
        </xdr:cNvPr>
        <xdr:cNvSpPr/>
      </xdr:nvSpPr>
      <xdr:spPr>
        <a:xfrm rot="5400000">
          <a:off x="22754613" y="6138795"/>
          <a:ext cx="176893" cy="3726045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42</xdr:col>
      <xdr:colOff>20001</xdr:colOff>
      <xdr:row>41</xdr:row>
      <xdr:rowOff>100966</xdr:rowOff>
    </xdr:from>
    <xdr:to>
      <xdr:col>46</xdr:col>
      <xdr:colOff>857249</xdr:colOff>
      <xdr:row>42</xdr:row>
      <xdr:rowOff>93346</xdr:rowOff>
    </xdr:to>
    <xdr:sp macro="" textlink="">
      <xdr:nvSpPr>
        <xdr:cNvPr id="44" name="Right Brace 43">
          <a:extLst>
            <a:ext uri="{FF2B5EF4-FFF2-40B4-BE49-F238E27FC236}">
              <a16:creationId xmlns:a16="http://schemas.microsoft.com/office/drawing/2014/main" id="{E39C09AD-71A4-4EB4-A8D1-00397D098444}"/>
            </a:ext>
          </a:extLst>
        </xdr:cNvPr>
        <xdr:cNvSpPr/>
      </xdr:nvSpPr>
      <xdr:spPr>
        <a:xfrm rot="5400000">
          <a:off x="22758421" y="6134033"/>
          <a:ext cx="176893" cy="3724140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42</xdr:col>
      <xdr:colOff>9525</xdr:colOff>
      <xdr:row>41</xdr:row>
      <xdr:rowOff>104776</xdr:rowOff>
    </xdr:from>
    <xdr:to>
      <xdr:col>46</xdr:col>
      <xdr:colOff>740093</xdr:colOff>
      <xdr:row>42</xdr:row>
      <xdr:rowOff>104776</xdr:rowOff>
    </xdr:to>
    <xdr:sp macro="" textlink="">
      <xdr:nvSpPr>
        <xdr:cNvPr id="45" name="Right Brace 44">
          <a:extLst>
            <a:ext uri="{FF2B5EF4-FFF2-40B4-BE49-F238E27FC236}">
              <a16:creationId xmlns:a16="http://schemas.microsoft.com/office/drawing/2014/main" id="{2975C6DF-78E3-4CD5-A342-42187087DB3A}"/>
            </a:ext>
          </a:extLst>
        </xdr:cNvPr>
        <xdr:cNvSpPr/>
      </xdr:nvSpPr>
      <xdr:spPr>
        <a:xfrm rot="5400000">
          <a:off x="22754613" y="6138795"/>
          <a:ext cx="176893" cy="3726045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42</xdr:col>
      <xdr:colOff>9525</xdr:colOff>
      <xdr:row>41</xdr:row>
      <xdr:rowOff>104776</xdr:rowOff>
    </xdr:from>
    <xdr:to>
      <xdr:col>46</xdr:col>
      <xdr:colOff>740093</xdr:colOff>
      <xdr:row>42</xdr:row>
      <xdr:rowOff>104776</xdr:rowOff>
    </xdr:to>
    <xdr:sp macro="" textlink="">
      <xdr:nvSpPr>
        <xdr:cNvPr id="46" name="Right Brace 45">
          <a:extLst>
            <a:ext uri="{FF2B5EF4-FFF2-40B4-BE49-F238E27FC236}">
              <a16:creationId xmlns:a16="http://schemas.microsoft.com/office/drawing/2014/main" id="{AB6702E8-54F3-4497-8F7E-33F0830F6DB1}"/>
            </a:ext>
          </a:extLst>
        </xdr:cNvPr>
        <xdr:cNvSpPr/>
      </xdr:nvSpPr>
      <xdr:spPr>
        <a:xfrm rot="5400000">
          <a:off x="22754613" y="6138795"/>
          <a:ext cx="176893" cy="3726045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24</xdr:col>
      <xdr:colOff>20001</xdr:colOff>
      <xdr:row>41</xdr:row>
      <xdr:rowOff>100966</xdr:rowOff>
    </xdr:from>
    <xdr:to>
      <xdr:col>28</xdr:col>
      <xdr:colOff>857249</xdr:colOff>
      <xdr:row>42</xdr:row>
      <xdr:rowOff>93346</xdr:rowOff>
    </xdr:to>
    <xdr:sp macro="" textlink="">
      <xdr:nvSpPr>
        <xdr:cNvPr id="47" name="Right Brace 46">
          <a:extLst>
            <a:ext uri="{FF2B5EF4-FFF2-40B4-BE49-F238E27FC236}">
              <a16:creationId xmlns:a16="http://schemas.microsoft.com/office/drawing/2014/main" id="{53FC08AD-A3BF-4EAE-97F0-46B2385C41C1}"/>
            </a:ext>
          </a:extLst>
        </xdr:cNvPr>
        <xdr:cNvSpPr/>
      </xdr:nvSpPr>
      <xdr:spPr>
        <a:xfrm rot="5400000">
          <a:off x="14980703" y="5931781"/>
          <a:ext cx="173182" cy="3709295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24</xdr:col>
      <xdr:colOff>9525</xdr:colOff>
      <xdr:row>41</xdr:row>
      <xdr:rowOff>104776</xdr:rowOff>
    </xdr:from>
    <xdr:to>
      <xdr:col>28</xdr:col>
      <xdr:colOff>740093</xdr:colOff>
      <xdr:row>42</xdr:row>
      <xdr:rowOff>104776</xdr:rowOff>
    </xdr:to>
    <xdr:sp macro="" textlink="">
      <xdr:nvSpPr>
        <xdr:cNvPr id="48" name="Right Brace 47">
          <a:extLst>
            <a:ext uri="{FF2B5EF4-FFF2-40B4-BE49-F238E27FC236}">
              <a16:creationId xmlns:a16="http://schemas.microsoft.com/office/drawing/2014/main" id="{B44C4E1E-69FE-45B1-879C-741F1CB3A610}"/>
            </a:ext>
          </a:extLst>
        </xdr:cNvPr>
        <xdr:cNvSpPr/>
      </xdr:nvSpPr>
      <xdr:spPr>
        <a:xfrm rot="5400000">
          <a:off x="14976894" y="5936544"/>
          <a:ext cx="173182" cy="3711200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24</xdr:col>
      <xdr:colOff>20001</xdr:colOff>
      <xdr:row>41</xdr:row>
      <xdr:rowOff>100966</xdr:rowOff>
    </xdr:from>
    <xdr:to>
      <xdr:col>28</xdr:col>
      <xdr:colOff>857249</xdr:colOff>
      <xdr:row>42</xdr:row>
      <xdr:rowOff>93346</xdr:rowOff>
    </xdr:to>
    <xdr:sp macro="" textlink="">
      <xdr:nvSpPr>
        <xdr:cNvPr id="49" name="Right Brace 48">
          <a:extLst>
            <a:ext uri="{FF2B5EF4-FFF2-40B4-BE49-F238E27FC236}">
              <a16:creationId xmlns:a16="http://schemas.microsoft.com/office/drawing/2014/main" id="{CCA6FC2F-2F6E-466D-8288-2C503D5976B8}"/>
            </a:ext>
          </a:extLst>
        </xdr:cNvPr>
        <xdr:cNvSpPr/>
      </xdr:nvSpPr>
      <xdr:spPr>
        <a:xfrm rot="5400000">
          <a:off x="14980703" y="5931781"/>
          <a:ext cx="173182" cy="3709295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24</xdr:col>
      <xdr:colOff>9525</xdr:colOff>
      <xdr:row>41</xdr:row>
      <xdr:rowOff>104776</xdr:rowOff>
    </xdr:from>
    <xdr:to>
      <xdr:col>28</xdr:col>
      <xdr:colOff>740093</xdr:colOff>
      <xdr:row>42</xdr:row>
      <xdr:rowOff>104776</xdr:rowOff>
    </xdr:to>
    <xdr:sp macro="" textlink="">
      <xdr:nvSpPr>
        <xdr:cNvPr id="50" name="Right Brace 49">
          <a:extLst>
            <a:ext uri="{FF2B5EF4-FFF2-40B4-BE49-F238E27FC236}">
              <a16:creationId xmlns:a16="http://schemas.microsoft.com/office/drawing/2014/main" id="{FCE1603F-5FF3-4493-A01B-57064A934150}"/>
            </a:ext>
          </a:extLst>
        </xdr:cNvPr>
        <xdr:cNvSpPr/>
      </xdr:nvSpPr>
      <xdr:spPr>
        <a:xfrm rot="5400000">
          <a:off x="14976894" y="5936544"/>
          <a:ext cx="173182" cy="3711200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24</xdr:col>
      <xdr:colOff>9525</xdr:colOff>
      <xdr:row>41</xdr:row>
      <xdr:rowOff>104776</xdr:rowOff>
    </xdr:from>
    <xdr:to>
      <xdr:col>28</xdr:col>
      <xdr:colOff>740093</xdr:colOff>
      <xdr:row>42</xdr:row>
      <xdr:rowOff>104776</xdr:rowOff>
    </xdr:to>
    <xdr:sp macro="" textlink="">
      <xdr:nvSpPr>
        <xdr:cNvPr id="51" name="Right Brace 50">
          <a:extLst>
            <a:ext uri="{FF2B5EF4-FFF2-40B4-BE49-F238E27FC236}">
              <a16:creationId xmlns:a16="http://schemas.microsoft.com/office/drawing/2014/main" id="{B20DA3E1-F4AE-41C4-AFFE-FD53BEE8597A}"/>
            </a:ext>
          </a:extLst>
        </xdr:cNvPr>
        <xdr:cNvSpPr/>
      </xdr:nvSpPr>
      <xdr:spPr>
        <a:xfrm rot="5400000">
          <a:off x="14976894" y="5936544"/>
          <a:ext cx="173182" cy="3711200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48</xdr:col>
      <xdr:colOff>20001</xdr:colOff>
      <xdr:row>41</xdr:row>
      <xdr:rowOff>100966</xdr:rowOff>
    </xdr:from>
    <xdr:to>
      <xdr:col>52</xdr:col>
      <xdr:colOff>857249</xdr:colOff>
      <xdr:row>42</xdr:row>
      <xdr:rowOff>93346</xdr:rowOff>
    </xdr:to>
    <xdr:sp macro="" textlink="">
      <xdr:nvSpPr>
        <xdr:cNvPr id="52" name="Right Brace 51">
          <a:extLst>
            <a:ext uri="{FF2B5EF4-FFF2-40B4-BE49-F238E27FC236}">
              <a16:creationId xmlns:a16="http://schemas.microsoft.com/office/drawing/2014/main" id="{E440F370-B496-43F9-B61E-57C787D08185}"/>
            </a:ext>
          </a:extLst>
        </xdr:cNvPr>
        <xdr:cNvSpPr/>
      </xdr:nvSpPr>
      <xdr:spPr>
        <a:xfrm rot="5400000">
          <a:off x="18825339" y="5931781"/>
          <a:ext cx="173182" cy="3709295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48</xdr:col>
      <xdr:colOff>9525</xdr:colOff>
      <xdr:row>41</xdr:row>
      <xdr:rowOff>104776</xdr:rowOff>
    </xdr:from>
    <xdr:to>
      <xdr:col>52</xdr:col>
      <xdr:colOff>740093</xdr:colOff>
      <xdr:row>42</xdr:row>
      <xdr:rowOff>104776</xdr:rowOff>
    </xdr:to>
    <xdr:sp macro="" textlink="">
      <xdr:nvSpPr>
        <xdr:cNvPr id="53" name="Right Brace 52">
          <a:extLst>
            <a:ext uri="{FF2B5EF4-FFF2-40B4-BE49-F238E27FC236}">
              <a16:creationId xmlns:a16="http://schemas.microsoft.com/office/drawing/2014/main" id="{A779222B-5F4D-4026-B67F-EAE3B55B189D}"/>
            </a:ext>
          </a:extLst>
        </xdr:cNvPr>
        <xdr:cNvSpPr/>
      </xdr:nvSpPr>
      <xdr:spPr>
        <a:xfrm rot="5400000">
          <a:off x="18821530" y="5936544"/>
          <a:ext cx="173182" cy="3711200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48</xdr:col>
      <xdr:colOff>20001</xdr:colOff>
      <xdr:row>41</xdr:row>
      <xdr:rowOff>100966</xdr:rowOff>
    </xdr:from>
    <xdr:to>
      <xdr:col>52</xdr:col>
      <xdr:colOff>857249</xdr:colOff>
      <xdr:row>42</xdr:row>
      <xdr:rowOff>93346</xdr:rowOff>
    </xdr:to>
    <xdr:sp macro="" textlink="">
      <xdr:nvSpPr>
        <xdr:cNvPr id="54" name="Right Brace 53">
          <a:extLst>
            <a:ext uri="{FF2B5EF4-FFF2-40B4-BE49-F238E27FC236}">
              <a16:creationId xmlns:a16="http://schemas.microsoft.com/office/drawing/2014/main" id="{B1B0550C-12E1-4D6D-AABA-A899A597D183}"/>
            </a:ext>
          </a:extLst>
        </xdr:cNvPr>
        <xdr:cNvSpPr/>
      </xdr:nvSpPr>
      <xdr:spPr>
        <a:xfrm rot="5400000">
          <a:off x="18825339" y="5931781"/>
          <a:ext cx="173182" cy="3709295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48</xdr:col>
      <xdr:colOff>9525</xdr:colOff>
      <xdr:row>41</xdr:row>
      <xdr:rowOff>104776</xdr:rowOff>
    </xdr:from>
    <xdr:to>
      <xdr:col>52</xdr:col>
      <xdr:colOff>740093</xdr:colOff>
      <xdr:row>42</xdr:row>
      <xdr:rowOff>104776</xdr:rowOff>
    </xdr:to>
    <xdr:sp macro="" textlink="">
      <xdr:nvSpPr>
        <xdr:cNvPr id="55" name="Right Brace 54">
          <a:extLst>
            <a:ext uri="{FF2B5EF4-FFF2-40B4-BE49-F238E27FC236}">
              <a16:creationId xmlns:a16="http://schemas.microsoft.com/office/drawing/2014/main" id="{5A2A0F3D-5164-4FD7-870A-9C36991642E8}"/>
            </a:ext>
          </a:extLst>
        </xdr:cNvPr>
        <xdr:cNvSpPr/>
      </xdr:nvSpPr>
      <xdr:spPr>
        <a:xfrm rot="5400000">
          <a:off x="18821530" y="5936544"/>
          <a:ext cx="173182" cy="3711200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48</xdr:col>
      <xdr:colOff>9525</xdr:colOff>
      <xdr:row>41</xdr:row>
      <xdr:rowOff>104776</xdr:rowOff>
    </xdr:from>
    <xdr:to>
      <xdr:col>52</xdr:col>
      <xdr:colOff>740093</xdr:colOff>
      <xdr:row>42</xdr:row>
      <xdr:rowOff>104776</xdr:rowOff>
    </xdr:to>
    <xdr:sp macro="" textlink="">
      <xdr:nvSpPr>
        <xdr:cNvPr id="56" name="Right Brace 55">
          <a:extLst>
            <a:ext uri="{FF2B5EF4-FFF2-40B4-BE49-F238E27FC236}">
              <a16:creationId xmlns:a16="http://schemas.microsoft.com/office/drawing/2014/main" id="{B62BB59F-2CEC-483E-B77B-0683B6B20CDC}"/>
            </a:ext>
          </a:extLst>
        </xdr:cNvPr>
        <xdr:cNvSpPr/>
      </xdr:nvSpPr>
      <xdr:spPr>
        <a:xfrm rot="5400000">
          <a:off x="18821530" y="5936544"/>
          <a:ext cx="173182" cy="3711200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72</xdr:col>
      <xdr:colOff>20001</xdr:colOff>
      <xdr:row>41</xdr:row>
      <xdr:rowOff>100966</xdr:rowOff>
    </xdr:from>
    <xdr:to>
      <xdr:col>76</xdr:col>
      <xdr:colOff>857249</xdr:colOff>
      <xdr:row>42</xdr:row>
      <xdr:rowOff>93346</xdr:rowOff>
    </xdr:to>
    <xdr:sp macro="" textlink="">
      <xdr:nvSpPr>
        <xdr:cNvPr id="57" name="Right Brace 56">
          <a:extLst>
            <a:ext uri="{FF2B5EF4-FFF2-40B4-BE49-F238E27FC236}">
              <a16:creationId xmlns:a16="http://schemas.microsoft.com/office/drawing/2014/main" id="{181ACA98-782F-4EFA-9545-884B7C37F8DC}"/>
            </a:ext>
          </a:extLst>
        </xdr:cNvPr>
        <xdr:cNvSpPr/>
      </xdr:nvSpPr>
      <xdr:spPr>
        <a:xfrm rot="5400000">
          <a:off x="34203884" y="5931781"/>
          <a:ext cx="173182" cy="3709296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72</xdr:col>
      <xdr:colOff>9525</xdr:colOff>
      <xdr:row>41</xdr:row>
      <xdr:rowOff>104776</xdr:rowOff>
    </xdr:from>
    <xdr:to>
      <xdr:col>76</xdr:col>
      <xdr:colOff>740093</xdr:colOff>
      <xdr:row>42</xdr:row>
      <xdr:rowOff>104776</xdr:rowOff>
    </xdr:to>
    <xdr:sp macro="" textlink="">
      <xdr:nvSpPr>
        <xdr:cNvPr id="58" name="Right Brace 57">
          <a:extLst>
            <a:ext uri="{FF2B5EF4-FFF2-40B4-BE49-F238E27FC236}">
              <a16:creationId xmlns:a16="http://schemas.microsoft.com/office/drawing/2014/main" id="{C2715338-8A5F-431F-B1DB-874976F7AADA}"/>
            </a:ext>
          </a:extLst>
        </xdr:cNvPr>
        <xdr:cNvSpPr/>
      </xdr:nvSpPr>
      <xdr:spPr>
        <a:xfrm rot="5400000">
          <a:off x="34200076" y="5936543"/>
          <a:ext cx="173182" cy="3711201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72</xdr:col>
      <xdr:colOff>20001</xdr:colOff>
      <xdr:row>41</xdr:row>
      <xdr:rowOff>100966</xdr:rowOff>
    </xdr:from>
    <xdr:to>
      <xdr:col>76</xdr:col>
      <xdr:colOff>857249</xdr:colOff>
      <xdr:row>42</xdr:row>
      <xdr:rowOff>93346</xdr:rowOff>
    </xdr:to>
    <xdr:sp macro="" textlink="">
      <xdr:nvSpPr>
        <xdr:cNvPr id="59" name="Right Brace 58">
          <a:extLst>
            <a:ext uri="{FF2B5EF4-FFF2-40B4-BE49-F238E27FC236}">
              <a16:creationId xmlns:a16="http://schemas.microsoft.com/office/drawing/2014/main" id="{8E1D1281-30BF-4106-A4CD-96082C7622DE}"/>
            </a:ext>
          </a:extLst>
        </xdr:cNvPr>
        <xdr:cNvSpPr/>
      </xdr:nvSpPr>
      <xdr:spPr>
        <a:xfrm rot="5400000">
          <a:off x="34203884" y="5931781"/>
          <a:ext cx="173182" cy="3709296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72</xdr:col>
      <xdr:colOff>9525</xdr:colOff>
      <xdr:row>41</xdr:row>
      <xdr:rowOff>104776</xdr:rowOff>
    </xdr:from>
    <xdr:to>
      <xdr:col>76</xdr:col>
      <xdr:colOff>740093</xdr:colOff>
      <xdr:row>42</xdr:row>
      <xdr:rowOff>104776</xdr:rowOff>
    </xdr:to>
    <xdr:sp macro="" textlink="">
      <xdr:nvSpPr>
        <xdr:cNvPr id="60" name="Right Brace 59">
          <a:extLst>
            <a:ext uri="{FF2B5EF4-FFF2-40B4-BE49-F238E27FC236}">
              <a16:creationId xmlns:a16="http://schemas.microsoft.com/office/drawing/2014/main" id="{28164D52-1E2C-4F42-A59F-53B287848F99}"/>
            </a:ext>
          </a:extLst>
        </xdr:cNvPr>
        <xdr:cNvSpPr/>
      </xdr:nvSpPr>
      <xdr:spPr>
        <a:xfrm rot="5400000">
          <a:off x="34200076" y="5936543"/>
          <a:ext cx="173182" cy="3711201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72</xdr:col>
      <xdr:colOff>9525</xdr:colOff>
      <xdr:row>41</xdr:row>
      <xdr:rowOff>104776</xdr:rowOff>
    </xdr:from>
    <xdr:to>
      <xdr:col>76</xdr:col>
      <xdr:colOff>740093</xdr:colOff>
      <xdr:row>42</xdr:row>
      <xdr:rowOff>104776</xdr:rowOff>
    </xdr:to>
    <xdr:sp macro="" textlink="">
      <xdr:nvSpPr>
        <xdr:cNvPr id="61" name="Right Brace 60">
          <a:extLst>
            <a:ext uri="{FF2B5EF4-FFF2-40B4-BE49-F238E27FC236}">
              <a16:creationId xmlns:a16="http://schemas.microsoft.com/office/drawing/2014/main" id="{56ED2F0E-42C2-4E9F-9B1F-6E5475D8BE20}"/>
            </a:ext>
          </a:extLst>
        </xdr:cNvPr>
        <xdr:cNvSpPr/>
      </xdr:nvSpPr>
      <xdr:spPr>
        <a:xfrm rot="5400000">
          <a:off x="34200076" y="5936543"/>
          <a:ext cx="173182" cy="3711201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66</xdr:col>
      <xdr:colOff>15240</xdr:colOff>
      <xdr:row>41</xdr:row>
      <xdr:rowOff>100966</xdr:rowOff>
    </xdr:from>
    <xdr:to>
      <xdr:col>70</xdr:col>
      <xdr:colOff>740092</xdr:colOff>
      <xdr:row>42</xdr:row>
      <xdr:rowOff>100966</xdr:rowOff>
    </xdr:to>
    <xdr:sp macro="" textlink="">
      <xdr:nvSpPr>
        <xdr:cNvPr id="62" name="Right Brace 61">
          <a:extLst>
            <a:ext uri="{FF2B5EF4-FFF2-40B4-BE49-F238E27FC236}">
              <a16:creationId xmlns:a16="http://schemas.microsoft.com/office/drawing/2014/main" id="{1090ED81-66A0-4792-8C4B-FF6711875183}"/>
            </a:ext>
          </a:extLst>
        </xdr:cNvPr>
        <xdr:cNvSpPr/>
      </xdr:nvSpPr>
      <xdr:spPr>
        <a:xfrm rot="5400000">
          <a:off x="45733984" y="5592085"/>
          <a:ext cx="173182" cy="3703580"/>
        </a:xfrm>
        <a:prstGeom prst="rightBrace">
          <a:avLst>
            <a:gd name="adj1" fmla="val 8333"/>
            <a:gd name="adj2" fmla="val 48903"/>
          </a:avLst>
        </a:prstGeom>
        <a:ln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84A0E-63EB-4A3D-9384-7AC39A42215A}">
  <sheetPr>
    <tabColor theme="1"/>
  </sheetPr>
  <dimension ref="A1:AC64"/>
  <sheetViews>
    <sheetView showGridLines="0" zoomScale="60" zoomScaleNormal="60" workbookViewId="0">
      <selection activeCell="I30" sqref="I30"/>
    </sheetView>
  </sheetViews>
  <sheetFormatPr defaultColWidth="9.109375" defaultRowHeight="13.8" outlineLevelCol="2" x14ac:dyDescent="0.3"/>
  <cols>
    <col min="1" max="2" width="1.109375" style="7" customWidth="1"/>
    <col min="3" max="3" width="1.109375" style="8" customWidth="1"/>
    <col min="4" max="4" width="1.109375" style="232" customWidth="1"/>
    <col min="5" max="5" width="15.44140625" style="6" customWidth="1"/>
    <col min="6" max="6" width="21.5546875" style="9" customWidth="1" outlineLevel="2"/>
    <col min="7" max="7" width="22.21875" style="9" customWidth="1" outlineLevel="2"/>
    <col min="8" max="8" width="26.6640625" style="9" customWidth="1" outlineLevel="2"/>
    <col min="9" max="9" width="15.33203125" style="9" customWidth="1" outlineLevel="2" collapsed="1"/>
    <col min="10" max="10" width="17.21875" style="9" customWidth="1" outlineLevel="2"/>
    <col min="11" max="11" width="15.44140625" style="9" customWidth="1" outlineLevel="1"/>
    <col min="12" max="12" width="14.5546875" style="245" customWidth="1" outlineLevel="1"/>
    <col min="13" max="13" width="12.77734375" style="9" hidden="1" customWidth="1" outlineLevel="2"/>
    <col min="14" max="14" width="12.77734375" style="6" hidden="1" customWidth="1" outlineLevel="2"/>
    <col min="15" max="16" width="7" style="6" customWidth="1"/>
    <col min="17" max="17" width="11.44140625" style="6" customWidth="1"/>
    <col min="18" max="18" width="18.33203125" style="6" customWidth="1"/>
    <col min="19" max="19" width="9.88671875" style="6" customWidth="1"/>
    <col min="20" max="20" width="10.88671875" style="6" customWidth="1"/>
    <col min="21" max="21" width="16.44140625" style="6" customWidth="1"/>
    <col min="22" max="22" width="18.88671875" style="6" customWidth="1"/>
    <col min="23" max="23" width="14.44140625" style="6" customWidth="1"/>
    <col min="24" max="24" width="21.109375" style="6" customWidth="1"/>
    <col min="25" max="16384" width="9.109375" style="6"/>
  </cols>
  <sheetData>
    <row r="1" spans="1:29" ht="25.8" x14ac:dyDescent="0.5">
      <c r="A1" s="231" t="str">
        <f ca="1">RIGHT(CELL("filename",$A$1),LEN(CELL("filename",$A$1))-SEARCH("]",CELL("filename",$A$1)))</f>
        <v>PPT</v>
      </c>
    </row>
    <row r="2" spans="1:29" s="237" customFormat="1" ht="14.4" x14ac:dyDescent="0.3">
      <c r="A2" s="347"/>
      <c r="B2" s="347"/>
      <c r="C2" s="348"/>
      <c r="D2" s="349"/>
      <c r="E2" s="347" t="s">
        <v>188</v>
      </c>
      <c r="F2" s="350"/>
      <c r="G2" s="350"/>
      <c r="H2" s="350"/>
      <c r="I2" s="350"/>
      <c r="J2" s="350"/>
      <c r="K2" s="350"/>
      <c r="L2" s="351"/>
      <c r="M2" s="350"/>
      <c r="N2" s="322"/>
      <c r="O2" s="322"/>
      <c r="P2" s="322"/>
      <c r="Q2" s="347" t="s">
        <v>189</v>
      </c>
      <c r="R2" s="322"/>
      <c r="S2" s="322"/>
      <c r="T2" s="322"/>
      <c r="U2" s="322"/>
      <c r="V2" s="322"/>
      <c r="W2" s="322"/>
      <c r="X2" s="322"/>
      <c r="Y2" s="322"/>
      <c r="Z2" s="322"/>
      <c r="AA2" s="322"/>
      <c r="AB2" s="322"/>
      <c r="AC2" s="322"/>
    </row>
    <row r="3" spans="1:29" s="237" customFormat="1" ht="14.4" x14ac:dyDescent="0.3">
      <c r="A3" s="234"/>
      <c r="B3" s="234"/>
      <c r="C3" s="235"/>
      <c r="D3" s="236"/>
      <c r="F3" s="244"/>
      <c r="G3" s="244"/>
      <c r="H3" s="244"/>
      <c r="I3" s="244"/>
      <c r="J3" s="244"/>
      <c r="K3" s="344"/>
      <c r="L3" s="346"/>
      <c r="M3" s="244"/>
    </row>
    <row r="4" spans="1:29" s="237" customFormat="1" ht="43.2" customHeight="1" x14ac:dyDescent="0.3">
      <c r="A4" s="234"/>
      <c r="B4" s="234"/>
      <c r="C4" s="235"/>
      <c r="D4" s="566" t="s">
        <v>106</v>
      </c>
      <c r="E4" s="566"/>
      <c r="F4" s="238" t="s">
        <v>124</v>
      </c>
      <c r="G4" s="238" t="s">
        <v>125</v>
      </c>
      <c r="H4" s="238" t="s">
        <v>132</v>
      </c>
      <c r="I4" s="238" t="s">
        <v>129</v>
      </c>
      <c r="J4" s="238" t="s">
        <v>126</v>
      </c>
      <c r="K4" s="238" t="s">
        <v>133</v>
      </c>
      <c r="L4" s="238" t="s">
        <v>107</v>
      </c>
      <c r="M4" s="238" t="s">
        <v>109</v>
      </c>
      <c r="N4" s="238" t="s">
        <v>108</v>
      </c>
      <c r="Q4" s="321" t="s">
        <v>190</v>
      </c>
      <c r="R4" s="321" t="s">
        <v>206</v>
      </c>
      <c r="S4" s="321"/>
      <c r="T4" s="321"/>
      <c r="U4" s="321"/>
      <c r="V4" s="321"/>
      <c r="W4" s="321"/>
      <c r="X4" s="321"/>
    </row>
    <row r="5" spans="1:29" s="237" customFormat="1" ht="14.4" x14ac:dyDescent="0.3">
      <c r="A5" s="234"/>
      <c r="B5" s="234"/>
      <c r="C5" s="235"/>
      <c r="D5" s="272" t="s">
        <v>92</v>
      </c>
      <c r="E5" s="247"/>
      <c r="F5" s="248"/>
      <c r="G5" s="248"/>
      <c r="H5" s="248"/>
      <c r="I5" s="248"/>
      <c r="J5" s="248"/>
      <c r="K5" s="264"/>
      <c r="L5" s="264"/>
      <c r="M5" s="264"/>
      <c r="N5" s="265"/>
      <c r="O5" s="265"/>
      <c r="P5" s="265"/>
      <c r="Q5" s="321"/>
      <c r="R5" s="354" t="s">
        <v>191</v>
      </c>
      <c r="S5" s="354" t="s">
        <v>192</v>
      </c>
      <c r="T5" s="354" t="s">
        <v>193</v>
      </c>
      <c r="U5" s="354" t="s">
        <v>194</v>
      </c>
      <c r="V5" s="354" t="s">
        <v>195</v>
      </c>
      <c r="W5" s="354" t="s">
        <v>196</v>
      </c>
      <c r="X5" s="354" t="s">
        <v>197</v>
      </c>
    </row>
    <row r="6" spans="1:29" s="237" customFormat="1" ht="14.4" x14ac:dyDescent="0.3">
      <c r="A6" s="234"/>
      <c r="B6" s="330"/>
      <c r="C6" s="331"/>
      <c r="D6" s="330"/>
      <c r="E6" s="332">
        <v>30</v>
      </c>
      <c r="F6" s="333"/>
      <c r="G6" s="333"/>
      <c r="H6" s="333"/>
      <c r="I6" s="333"/>
      <c r="J6" s="333"/>
      <c r="K6" s="335">
        <f xml:space="preserve"> 'Wonen - Sociaal beheer'!G$14</f>
        <v>0.15</v>
      </c>
      <c r="L6" s="333"/>
      <c r="M6" s="334"/>
      <c r="N6" s="333"/>
      <c r="O6" s="265"/>
      <c r="Q6" s="237" t="s">
        <v>198</v>
      </c>
      <c r="R6" s="352">
        <v>1878</v>
      </c>
      <c r="S6" s="359">
        <f xml:space="preserve"> 'Ind. beg. Ambulant'!G$37</f>
        <v>251</v>
      </c>
      <c r="T6" s="241">
        <v>128</v>
      </c>
      <c r="U6" s="237">
        <v>78</v>
      </c>
      <c r="V6" s="237">
        <v>105</v>
      </c>
      <c r="W6" s="237">
        <v>45</v>
      </c>
      <c r="X6" s="352">
        <f xml:space="preserve"> R6 - S6 - T6 - U6 - V6 - W6</f>
        <v>1271</v>
      </c>
    </row>
    <row r="7" spans="1:29" s="237" customFormat="1" ht="14.4" x14ac:dyDescent="0.3">
      <c r="A7" s="234"/>
      <c r="B7" s="330"/>
      <c r="C7" s="331"/>
      <c r="D7" s="330"/>
      <c r="E7" s="253">
        <v>35</v>
      </c>
      <c r="F7" s="255"/>
      <c r="G7" s="255"/>
      <c r="H7" s="255"/>
      <c r="I7" s="255"/>
      <c r="J7" s="255"/>
      <c r="K7" s="307">
        <f xml:space="preserve"> 'Wonen - Sociaal beheer'!H$14</f>
        <v>0.4</v>
      </c>
      <c r="L7" s="307">
        <f xml:space="preserve"> 'Wonen - Veiligheid'!G$14</f>
        <v>0.1</v>
      </c>
      <c r="M7" s="282" t="e">
        <f>#REF!</f>
        <v>#REF!</v>
      </c>
      <c r="N7" s="255"/>
      <c r="O7" s="265"/>
      <c r="Q7" s="317" t="s">
        <v>199</v>
      </c>
      <c r="R7" s="355">
        <v>1878</v>
      </c>
      <c r="S7" s="360">
        <f xml:space="preserve"> 'Ind. beg. Ambulant'!AW$37</f>
        <v>252</v>
      </c>
      <c r="T7" s="317">
        <v>128</v>
      </c>
      <c r="U7" s="317">
        <v>78</v>
      </c>
      <c r="V7" s="317">
        <v>105</v>
      </c>
      <c r="W7" s="317">
        <v>45</v>
      </c>
      <c r="X7" s="355">
        <f t="shared" ref="X7:X10" si="0" xml:space="preserve"> R7 - S7 - T7 - U7 - V7 - W7</f>
        <v>1270</v>
      </c>
    </row>
    <row r="8" spans="1:29" s="237" customFormat="1" ht="14.4" x14ac:dyDescent="0.3">
      <c r="A8" s="234"/>
      <c r="B8" s="234"/>
      <c r="C8" s="235"/>
      <c r="D8" s="273"/>
      <c r="E8" s="258">
        <v>40</v>
      </c>
      <c r="F8" s="307">
        <f xml:space="preserve"> 'Ind. beg. Ambulant'!G$12</f>
        <v>0.7</v>
      </c>
      <c r="G8" s="307">
        <f xml:space="preserve"> 'Ind. beg. Ambulant'!M$12</f>
        <v>0.2</v>
      </c>
      <c r="H8" s="307">
        <f xml:space="preserve"> 'Ind. beg. Wonen'!G$12</f>
        <v>0.85</v>
      </c>
      <c r="I8" s="307">
        <f xml:space="preserve"> Daginvulling!G$12</f>
        <v>0.8</v>
      </c>
      <c r="J8" s="257">
        <f xml:space="preserve"> Daginvulling!K$12</f>
        <v>0.67</v>
      </c>
      <c r="K8" s="257">
        <f xml:space="preserve"> 'Wonen - Sociaal beheer'!I$14</f>
        <v>0.3</v>
      </c>
      <c r="L8" s="307">
        <f xml:space="preserve"> 'Wonen - Veiligheid'!H$14</f>
        <v>0.6</v>
      </c>
      <c r="M8" s="255"/>
      <c r="N8" s="255"/>
      <c r="O8" s="265"/>
      <c r="P8" s="265"/>
      <c r="Q8" s="237" t="s">
        <v>200</v>
      </c>
      <c r="R8" s="352">
        <v>1878</v>
      </c>
      <c r="S8" s="359">
        <f xml:space="preserve"> 'Ind. beg. Ambulant'!S$37</f>
        <v>251</v>
      </c>
      <c r="T8" s="237">
        <v>128</v>
      </c>
      <c r="U8" s="237">
        <v>78</v>
      </c>
      <c r="V8" s="237">
        <v>105</v>
      </c>
      <c r="W8" s="237">
        <v>45</v>
      </c>
      <c r="X8" s="352">
        <f t="shared" si="0"/>
        <v>1271</v>
      </c>
    </row>
    <row r="9" spans="1:29" s="237" customFormat="1" ht="14.4" x14ac:dyDescent="0.3">
      <c r="A9" s="234"/>
      <c r="B9" s="234"/>
      <c r="C9" s="235"/>
      <c r="D9" s="273"/>
      <c r="E9" s="258">
        <v>45</v>
      </c>
      <c r="F9" s="307">
        <f xml:space="preserve"> 'Ind. beg. Ambulant'!H$12</f>
        <v>0.28999999999999998</v>
      </c>
      <c r="G9" s="257">
        <f xml:space="preserve"> 'Ind. beg. Ambulant'!N$12</f>
        <v>0.4</v>
      </c>
      <c r="H9" s="307">
        <f xml:space="preserve"> 'Ind. beg. Wonen'!H$12</f>
        <v>0.14000000000000001</v>
      </c>
      <c r="I9" s="307">
        <f xml:space="preserve"> Daginvulling!H$12</f>
        <v>0.2</v>
      </c>
      <c r="J9" s="257">
        <f xml:space="preserve"> Daginvulling!L$12</f>
        <v>0.33</v>
      </c>
      <c r="K9" s="336">
        <f xml:space="preserve"> 'Wonen - Sociaal beheer'!J$14</f>
        <v>0.125</v>
      </c>
      <c r="L9" s="307">
        <f xml:space="preserve"> 'Wonen - Veiligheid'!I$14</f>
        <v>0.3</v>
      </c>
      <c r="M9" s="282" t="e">
        <f>#REF!</f>
        <v>#REF!</v>
      </c>
      <c r="N9" s="255"/>
      <c r="P9" s="265"/>
      <c r="Q9" s="317" t="s">
        <v>201</v>
      </c>
      <c r="R9" s="355">
        <v>1878</v>
      </c>
      <c r="S9" s="360">
        <f xml:space="preserve"> 'Ind. beg. Ambulant'!AL$37</f>
        <v>220</v>
      </c>
      <c r="T9" s="317">
        <v>128</v>
      </c>
      <c r="U9" s="317">
        <v>78</v>
      </c>
      <c r="V9" s="317">
        <v>105</v>
      </c>
      <c r="W9" s="317">
        <v>45</v>
      </c>
      <c r="X9" s="355">
        <f t="shared" si="0"/>
        <v>1302</v>
      </c>
    </row>
    <row r="10" spans="1:29" s="241" customFormat="1" ht="14.4" x14ac:dyDescent="0.3">
      <c r="A10" s="239"/>
      <c r="B10" s="239"/>
      <c r="C10" s="240"/>
      <c r="D10" s="273"/>
      <c r="E10" s="258">
        <v>50</v>
      </c>
      <c r="F10" s="255"/>
      <c r="G10" s="257">
        <f xml:space="preserve"> 'Ind. beg. Ambulant'!O$12</f>
        <v>0.39</v>
      </c>
      <c r="H10" s="255"/>
      <c r="I10" s="255"/>
      <c r="J10" s="255"/>
      <c r="K10" s="255"/>
      <c r="L10" s="255"/>
      <c r="M10" s="255"/>
      <c r="N10" s="255"/>
      <c r="O10" s="256"/>
      <c r="P10" s="256"/>
      <c r="Q10" s="237" t="s">
        <v>202</v>
      </c>
      <c r="R10" s="353">
        <v>1878</v>
      </c>
      <c r="S10" s="361">
        <f xml:space="preserve"> 'Ind. beg. Ambulant'!AF$37</f>
        <v>250</v>
      </c>
      <c r="T10" s="241">
        <v>128</v>
      </c>
      <c r="U10" s="241">
        <v>78</v>
      </c>
      <c r="V10" s="241">
        <v>105</v>
      </c>
      <c r="W10" s="241">
        <v>45</v>
      </c>
      <c r="X10" s="352">
        <f t="shared" si="0"/>
        <v>1272</v>
      </c>
    </row>
    <row r="11" spans="1:29" s="241" customFormat="1" ht="14.4" customHeight="1" x14ac:dyDescent="0.3">
      <c r="A11" s="239"/>
      <c r="B11" s="239"/>
      <c r="C11" s="240"/>
      <c r="D11" s="273"/>
      <c r="E11" s="258">
        <v>55</v>
      </c>
      <c r="F11" s="255"/>
      <c r="G11" s="255"/>
      <c r="H11" s="255"/>
      <c r="I11" s="255"/>
      <c r="J11" s="255"/>
      <c r="K11" s="255"/>
      <c r="L11" s="255"/>
      <c r="M11" s="282" t="e">
        <f>#REF!</f>
        <v>#REF!</v>
      </c>
      <c r="N11" s="255"/>
      <c r="O11" s="256"/>
      <c r="P11" s="256"/>
      <c r="Q11" s="356" t="s">
        <v>203</v>
      </c>
      <c r="R11" s="357"/>
      <c r="S11" s="357"/>
      <c r="T11" s="357"/>
      <c r="U11" s="357"/>
      <c r="V11" s="357"/>
      <c r="W11" s="357"/>
      <c r="X11" s="358">
        <f xml:space="preserve"> AVERAGE( X6:X10)</f>
        <v>1277.2</v>
      </c>
    </row>
    <row r="12" spans="1:29" s="241" customFormat="1" ht="14.4" x14ac:dyDescent="0.3">
      <c r="A12" s="239"/>
      <c r="B12" s="239"/>
      <c r="C12" s="240"/>
      <c r="D12" s="274"/>
      <c r="E12" s="261">
        <v>60</v>
      </c>
      <c r="F12" s="323">
        <f xml:space="preserve"> 'Ind. beg. Ambulant'!K$12</f>
        <v>0.01</v>
      </c>
      <c r="G12" s="328">
        <f xml:space="preserve"> 'Ind. beg. Ambulant'!Q$12</f>
        <v>0.01</v>
      </c>
      <c r="H12" s="323">
        <f xml:space="preserve"> 'Ind. beg. Wonen'!K$12</f>
        <v>0.01</v>
      </c>
      <c r="I12" s="262"/>
      <c r="J12" s="262"/>
      <c r="K12" s="337">
        <f xml:space="preserve"> 'Wonen - Sociaal beheer'!K$14</f>
        <v>2.5000000000000001E-2</v>
      </c>
      <c r="L12" s="262"/>
      <c r="M12" s="283" t="e">
        <f>#REF!</f>
        <v>#REF!</v>
      </c>
      <c r="N12" s="262"/>
      <c r="O12" s="256"/>
      <c r="P12" s="256"/>
      <c r="Q12" s="237"/>
      <c r="R12" s="237"/>
      <c r="S12" s="237"/>
      <c r="T12" s="237"/>
      <c r="U12" s="237"/>
      <c r="V12" s="237"/>
      <c r="W12" s="237"/>
      <c r="X12" s="237"/>
    </row>
    <row r="13" spans="1:29" s="237" customFormat="1" ht="14.4" x14ac:dyDescent="0.3">
      <c r="A13" s="234"/>
      <c r="B13" s="239"/>
      <c r="C13" s="240"/>
      <c r="D13" s="275" t="s">
        <v>93</v>
      </c>
      <c r="E13" s="252"/>
      <c r="F13" s="250"/>
      <c r="G13" s="250"/>
      <c r="H13" s="250"/>
      <c r="I13" s="250"/>
      <c r="J13" s="250"/>
      <c r="K13" s="254"/>
      <c r="L13" s="254"/>
      <c r="M13" s="254"/>
      <c r="N13" s="284"/>
      <c r="O13" s="265"/>
      <c r="P13" s="265"/>
      <c r="Q13" s="321" t="s">
        <v>190</v>
      </c>
      <c r="R13" s="321" t="s">
        <v>204</v>
      </c>
      <c r="S13" s="321"/>
      <c r="T13" s="321"/>
      <c r="U13" s="321"/>
      <c r="V13" s="321"/>
      <c r="W13" s="321"/>
      <c r="X13" s="321"/>
    </row>
    <row r="14" spans="1:29" s="237" customFormat="1" ht="14.4" x14ac:dyDescent="0.3">
      <c r="A14" s="234"/>
      <c r="B14" s="239"/>
      <c r="C14" s="240"/>
      <c r="D14" s="276"/>
      <c r="E14" s="259">
        <v>30</v>
      </c>
      <c r="F14" s="260"/>
      <c r="G14" s="260"/>
      <c r="H14" s="260"/>
      <c r="I14" s="260"/>
      <c r="J14" s="260"/>
      <c r="K14" s="339">
        <f xml:space="preserve"> 'Wonen - Sociaal beheer'!S$14</f>
        <v>0.27500000000000002</v>
      </c>
      <c r="L14" s="333"/>
      <c r="M14" s="260"/>
      <c r="N14" s="260"/>
      <c r="O14" s="265"/>
      <c r="P14" s="265"/>
      <c r="Q14" s="321"/>
      <c r="R14" s="354" t="s">
        <v>191</v>
      </c>
      <c r="S14" s="354" t="s">
        <v>192</v>
      </c>
      <c r="T14" s="354" t="s">
        <v>193</v>
      </c>
      <c r="U14" s="354" t="s">
        <v>194</v>
      </c>
      <c r="V14" s="354" t="s">
        <v>195</v>
      </c>
      <c r="W14" s="354" t="s">
        <v>196</v>
      </c>
      <c r="X14" s="354" t="s">
        <v>197</v>
      </c>
    </row>
    <row r="15" spans="1:29" s="241" customFormat="1" ht="14.4" x14ac:dyDescent="0.3">
      <c r="A15" s="234"/>
      <c r="B15" s="239"/>
      <c r="C15" s="240"/>
      <c r="D15" s="277"/>
      <c r="E15" s="253">
        <v>35</v>
      </c>
      <c r="F15" s="257">
        <f xml:space="preserve"> 'Ind. beg. Ambulant'!S$12</f>
        <v>0.15</v>
      </c>
      <c r="G15" s="255"/>
      <c r="H15" s="257">
        <f xml:space="preserve"> 'Ind. beg. Wonen'!M$12</f>
        <v>0.24752475247524752</v>
      </c>
      <c r="I15" s="257">
        <f xml:space="preserve"> Daginvulling!O$12</f>
        <v>0.4</v>
      </c>
      <c r="J15" s="255"/>
      <c r="K15" s="257">
        <f xml:space="preserve"> 'Wonen - Sociaal beheer'!T$14</f>
        <v>0.4</v>
      </c>
      <c r="L15" s="307">
        <f xml:space="preserve"> 'Wonen - Veiligheid'!S$14</f>
        <v>0.1</v>
      </c>
      <c r="M15" s="285" t="e">
        <f>#REF!</f>
        <v>#REF!</v>
      </c>
      <c r="N15" s="255"/>
      <c r="Q15" s="237" t="s">
        <v>198</v>
      </c>
      <c r="R15" s="352">
        <v>1878</v>
      </c>
      <c r="S15" s="527">
        <f xml:space="preserve"> S$6</f>
        <v>251</v>
      </c>
      <c r="T15" s="237">
        <v>128</v>
      </c>
      <c r="U15" s="237">
        <v>78</v>
      </c>
      <c r="V15" s="237">
        <v>63</v>
      </c>
      <c r="W15" s="237">
        <v>45</v>
      </c>
      <c r="X15" s="352">
        <f xml:space="preserve"> R15 - S15 - T15 - U15 - V15 - W15</f>
        <v>1313</v>
      </c>
    </row>
    <row r="16" spans="1:29" s="237" customFormat="1" ht="14.4" x14ac:dyDescent="0.3">
      <c r="A16" s="234"/>
      <c r="B16" s="239"/>
      <c r="C16" s="240"/>
      <c r="D16" s="277"/>
      <c r="E16" s="253">
        <v>40</v>
      </c>
      <c r="F16" s="257">
        <f xml:space="preserve"> 'Ind. beg. Ambulant'!T$12</f>
        <v>0.59</v>
      </c>
      <c r="G16" s="307">
        <f xml:space="preserve"> 'Ind. beg. Ambulant'!Z$12</f>
        <v>0.2</v>
      </c>
      <c r="H16" s="257">
        <f xml:space="preserve"> 'Ind. beg. Wonen'!N$12</f>
        <v>0.59405940594059403</v>
      </c>
      <c r="I16" s="257">
        <f xml:space="preserve"> Daginvulling!P$12</f>
        <v>0.6</v>
      </c>
      <c r="J16" s="257">
        <f xml:space="preserve"> Daginvulling!T$12</f>
        <v>0.67</v>
      </c>
      <c r="K16" s="282">
        <f xml:space="preserve"> 'Wonen - Sociaal beheer'!U$14</f>
        <v>0.3</v>
      </c>
      <c r="L16" s="307">
        <f xml:space="preserve"> 'Wonen - Veiligheid'!T$14</f>
        <v>0.6</v>
      </c>
      <c r="M16" s="282" t="e">
        <f>#REF!</f>
        <v>#REF!</v>
      </c>
      <c r="N16" s="285" t="e">
        <f>#REF!</f>
        <v>#REF!</v>
      </c>
      <c r="O16" s="265"/>
      <c r="P16" s="265"/>
      <c r="Q16" s="317" t="s">
        <v>199</v>
      </c>
      <c r="R16" s="355">
        <v>1878</v>
      </c>
      <c r="S16" s="528">
        <f xml:space="preserve"> S$7</f>
        <v>252</v>
      </c>
      <c r="T16" s="317">
        <v>128</v>
      </c>
      <c r="U16" s="317">
        <v>78</v>
      </c>
      <c r="V16" s="317">
        <v>63</v>
      </c>
      <c r="W16" s="317">
        <v>45</v>
      </c>
      <c r="X16" s="355">
        <f t="shared" ref="X16:X19" si="1" xml:space="preserve"> R16 - S16 - T16 - U16 - V16 - W16</f>
        <v>1312</v>
      </c>
    </row>
    <row r="17" spans="1:24" s="237" customFormat="1" ht="14.4" x14ac:dyDescent="0.3">
      <c r="A17" s="234"/>
      <c r="B17" s="234"/>
      <c r="C17" s="235"/>
      <c r="D17" s="277"/>
      <c r="E17" s="253">
        <v>45</v>
      </c>
      <c r="F17" s="257">
        <f xml:space="preserve"> 'Ind. beg. Ambulant'!U$12</f>
        <v>0.25</v>
      </c>
      <c r="G17" s="257">
        <f xml:space="preserve"> 'Ind. beg. Ambulant'!AA$12</f>
        <v>0.59</v>
      </c>
      <c r="H17" s="257">
        <f xml:space="preserve"> 'Ind. beg. Wonen'!O$12</f>
        <v>0.14851485148514851</v>
      </c>
      <c r="I17" s="255"/>
      <c r="J17" s="257">
        <f xml:space="preserve"> Daginvulling!U$12</f>
        <v>0.33</v>
      </c>
      <c r="K17" s="255"/>
      <c r="L17" s="307">
        <f xml:space="preserve"> 'Wonen - Veiligheid'!U$14</f>
        <v>0.3</v>
      </c>
      <c r="M17" s="255"/>
      <c r="N17" s="285" t="e">
        <f>#REF!</f>
        <v>#REF!</v>
      </c>
      <c r="P17" s="256"/>
      <c r="Q17" s="237" t="s">
        <v>200</v>
      </c>
      <c r="R17" s="352">
        <v>1878</v>
      </c>
      <c r="S17" s="527">
        <f xml:space="preserve"> S$8</f>
        <v>251</v>
      </c>
      <c r="T17" s="237">
        <v>128</v>
      </c>
      <c r="U17" s="237">
        <v>78</v>
      </c>
      <c r="V17" s="237">
        <v>63</v>
      </c>
      <c r="W17" s="237">
        <v>45</v>
      </c>
      <c r="X17" s="352">
        <f t="shared" si="1"/>
        <v>1313</v>
      </c>
    </row>
    <row r="18" spans="1:24" s="237" customFormat="1" ht="14.4" x14ac:dyDescent="0.3">
      <c r="A18" s="234"/>
      <c r="B18" s="234"/>
      <c r="C18" s="235"/>
      <c r="D18" s="277"/>
      <c r="E18" s="253">
        <v>50</v>
      </c>
      <c r="F18" s="255"/>
      <c r="G18" s="257">
        <f xml:space="preserve"> 'Ind. beg. Ambulant'!AB$12</f>
        <v>0.2</v>
      </c>
      <c r="H18" s="518"/>
      <c r="I18" s="255"/>
      <c r="J18" s="255"/>
      <c r="K18" s="255"/>
      <c r="L18" s="255"/>
      <c r="M18" s="255"/>
      <c r="N18" s="255"/>
      <c r="O18" s="265"/>
      <c r="P18" s="265"/>
      <c r="Q18" s="317" t="s">
        <v>201</v>
      </c>
      <c r="R18" s="355">
        <v>1878</v>
      </c>
      <c r="S18" s="528">
        <f xml:space="preserve"> S$9</f>
        <v>220</v>
      </c>
      <c r="T18" s="317">
        <v>128</v>
      </c>
      <c r="U18" s="317">
        <v>78</v>
      </c>
      <c r="V18" s="317">
        <v>63</v>
      </c>
      <c r="W18" s="317">
        <v>45</v>
      </c>
      <c r="X18" s="355">
        <f t="shared" si="1"/>
        <v>1344</v>
      </c>
    </row>
    <row r="19" spans="1:24" s="237" customFormat="1" ht="14.4" x14ac:dyDescent="0.3">
      <c r="A19" s="234"/>
      <c r="B19" s="234"/>
      <c r="C19" s="235"/>
      <c r="D19" s="277"/>
      <c r="E19" s="253">
        <v>60</v>
      </c>
      <c r="F19" s="255"/>
      <c r="G19" s="255"/>
      <c r="H19" s="307">
        <f xml:space="preserve"> 'Ind. beg. Wonen'!P$12</f>
        <v>9.9009900990099011E-3</v>
      </c>
      <c r="I19" s="255"/>
      <c r="J19" s="255"/>
      <c r="K19" s="324">
        <f xml:space="preserve"> 'Wonen - Sociaal beheer'!V$14</f>
        <v>2.5000000000000001E-2</v>
      </c>
      <c r="L19" s="255"/>
      <c r="M19" s="255"/>
      <c r="N19" s="255"/>
      <c r="O19" s="265"/>
      <c r="P19" s="265"/>
      <c r="Q19" s="237" t="s">
        <v>202</v>
      </c>
      <c r="R19" s="353">
        <v>1878</v>
      </c>
      <c r="S19" s="529">
        <f xml:space="preserve"> S$10</f>
        <v>250</v>
      </c>
      <c r="T19" s="241">
        <v>128</v>
      </c>
      <c r="U19" s="241">
        <v>78</v>
      </c>
      <c r="V19" s="241">
        <v>63</v>
      </c>
      <c r="W19" s="241">
        <v>45</v>
      </c>
      <c r="X19" s="352">
        <f t="shared" si="1"/>
        <v>1314</v>
      </c>
    </row>
    <row r="20" spans="1:24" s="237" customFormat="1" ht="14.4" x14ac:dyDescent="0.3">
      <c r="A20" s="234"/>
      <c r="B20" s="234"/>
      <c r="C20" s="235"/>
      <c r="D20" s="274"/>
      <c r="E20" s="261">
        <v>65</v>
      </c>
      <c r="F20" s="323">
        <f xml:space="preserve"> 'Ind. beg. Ambulant'!V$12</f>
        <v>0.01</v>
      </c>
      <c r="G20" s="328">
        <f xml:space="preserve"> 'Ind. beg. Ambulant'!AC$12</f>
        <v>0.01</v>
      </c>
      <c r="H20" s="262"/>
      <c r="I20" s="262"/>
      <c r="J20" s="262"/>
      <c r="K20" s="262"/>
      <c r="L20" s="262"/>
      <c r="M20" s="262"/>
      <c r="N20" s="262"/>
      <c r="O20" s="265"/>
      <c r="P20" s="265"/>
      <c r="Q20" s="356" t="s">
        <v>203</v>
      </c>
      <c r="R20" s="357"/>
      <c r="S20" s="357"/>
      <c r="T20" s="357"/>
      <c r="U20" s="357"/>
      <c r="V20" s="357"/>
      <c r="W20" s="357"/>
      <c r="X20" s="358">
        <f xml:space="preserve"> AVERAGE( X15:X19)</f>
        <v>1319.2</v>
      </c>
    </row>
    <row r="21" spans="1:24" s="237" customFormat="1" ht="14.4" x14ac:dyDescent="0.3">
      <c r="A21" s="234"/>
      <c r="B21" s="234"/>
      <c r="C21" s="235"/>
      <c r="D21" s="272" t="s">
        <v>100</v>
      </c>
      <c r="E21" s="251"/>
      <c r="F21" s="250"/>
      <c r="G21" s="250"/>
      <c r="H21" s="250"/>
      <c r="I21" s="250"/>
      <c r="J21" s="250"/>
      <c r="K21" s="254"/>
      <c r="L21" s="254"/>
      <c r="M21" s="254"/>
      <c r="N21" s="284"/>
      <c r="O21" s="265"/>
      <c r="P21" s="265"/>
      <c r="Q21" s="6"/>
      <c r="R21" s="6"/>
      <c r="S21" s="6"/>
      <c r="T21" s="6"/>
      <c r="U21" s="6"/>
      <c r="V21" s="6"/>
      <c r="W21" s="6"/>
      <c r="X21" s="6"/>
    </row>
    <row r="22" spans="1:24" s="237" customFormat="1" ht="14.4" x14ac:dyDescent="0.3">
      <c r="A22" s="234"/>
      <c r="B22" s="234"/>
      <c r="C22" s="235"/>
      <c r="D22" s="278"/>
      <c r="E22" s="263">
        <v>3</v>
      </c>
      <c r="F22" s="260"/>
      <c r="G22" s="260"/>
      <c r="H22" s="260"/>
      <c r="I22" s="260"/>
      <c r="J22" s="260"/>
      <c r="K22" s="260"/>
      <c r="L22" s="260"/>
      <c r="M22" s="260"/>
      <c r="N22" s="260"/>
      <c r="O22" s="265"/>
      <c r="P22" s="265"/>
      <c r="Q22" s="321" t="s">
        <v>190</v>
      </c>
      <c r="R22" s="321" t="s">
        <v>205</v>
      </c>
      <c r="S22" s="321"/>
      <c r="T22" s="321"/>
      <c r="U22" s="321"/>
      <c r="V22" s="321"/>
      <c r="W22" s="321"/>
      <c r="X22" s="321"/>
    </row>
    <row r="23" spans="1:24" s="241" customFormat="1" ht="14.4" x14ac:dyDescent="0.3">
      <c r="A23" s="239"/>
      <c r="B23" s="239"/>
      <c r="C23" s="240"/>
      <c r="D23" s="306"/>
      <c r="E23" s="253">
        <v>4</v>
      </c>
      <c r="F23" s="255"/>
      <c r="G23" s="255"/>
      <c r="H23" s="255"/>
      <c r="I23" s="255"/>
      <c r="J23" s="255"/>
      <c r="K23" s="307">
        <f xml:space="preserve"> 'Wonen - Sociaal beheer'!Y$14</f>
        <v>0.15</v>
      </c>
      <c r="L23" s="255"/>
      <c r="M23" s="304"/>
      <c r="N23" s="304"/>
      <c r="O23" s="256"/>
      <c r="P23" s="256"/>
      <c r="Q23" s="321"/>
      <c r="R23" s="354" t="s">
        <v>191</v>
      </c>
      <c r="S23" s="354" t="s">
        <v>192</v>
      </c>
      <c r="T23" s="354" t="s">
        <v>193</v>
      </c>
      <c r="U23" s="354" t="s">
        <v>194</v>
      </c>
      <c r="V23" s="354" t="s">
        <v>195</v>
      </c>
      <c r="W23" s="354" t="s">
        <v>196</v>
      </c>
      <c r="X23" s="354" t="s">
        <v>197</v>
      </c>
    </row>
    <row r="24" spans="1:24" s="241" customFormat="1" ht="14.4" x14ac:dyDescent="0.3">
      <c r="A24" s="239"/>
      <c r="B24" s="239"/>
      <c r="C24" s="240"/>
      <c r="D24" s="306"/>
      <c r="E24" s="253">
        <v>5</v>
      </c>
      <c r="F24" s="255"/>
      <c r="G24" s="255"/>
      <c r="H24" s="255"/>
      <c r="I24" s="255"/>
      <c r="J24" s="255"/>
      <c r="K24" s="307">
        <f xml:space="preserve"> 'Wonen - Sociaal beheer'!Z$14</f>
        <v>0.4</v>
      </c>
      <c r="L24" s="307">
        <f xml:space="preserve"> 'Wonen - Veiligheid'!Y$14</f>
        <v>0.1</v>
      </c>
      <c r="M24" s="304"/>
      <c r="N24" s="304"/>
      <c r="O24" s="256"/>
      <c r="P24" s="256"/>
      <c r="Q24" s="237" t="s">
        <v>198</v>
      </c>
      <c r="R24" s="352">
        <v>1878</v>
      </c>
      <c r="S24" s="527">
        <f xml:space="preserve"> S$6</f>
        <v>251</v>
      </c>
      <c r="T24" s="237">
        <v>128</v>
      </c>
      <c r="U24" s="237">
        <v>78</v>
      </c>
      <c r="V24" s="236">
        <v>0</v>
      </c>
      <c r="W24" s="237">
        <v>45</v>
      </c>
      <c r="X24" s="352">
        <f xml:space="preserve"> R24 - S24 - T24 - U24 - V24 - W24</f>
        <v>1376</v>
      </c>
    </row>
    <row r="25" spans="1:24" s="241" customFormat="1" ht="14.4" x14ac:dyDescent="0.3">
      <c r="A25" s="239"/>
      <c r="B25" s="239"/>
      <c r="C25" s="240"/>
      <c r="D25" s="306"/>
      <c r="E25" s="253">
        <v>6</v>
      </c>
      <c r="F25" s="255"/>
      <c r="G25" s="255"/>
      <c r="H25" s="255"/>
      <c r="I25" s="255"/>
      <c r="J25" s="255"/>
      <c r="K25" s="307">
        <f xml:space="preserve"> 'Wonen - Sociaal beheer'!AA$14</f>
        <v>0.3</v>
      </c>
      <c r="L25" s="307">
        <f xml:space="preserve"> 'Wonen - Veiligheid'!Z$14</f>
        <v>0.6</v>
      </c>
      <c r="M25" s="304"/>
      <c r="N25" s="304"/>
      <c r="O25" s="256"/>
      <c r="P25" s="256"/>
      <c r="Q25" s="317" t="s">
        <v>199</v>
      </c>
      <c r="R25" s="355">
        <v>1878</v>
      </c>
      <c r="S25" s="528">
        <f xml:space="preserve"> S$7</f>
        <v>252</v>
      </c>
      <c r="T25" s="317">
        <v>128</v>
      </c>
      <c r="U25" s="317">
        <v>78</v>
      </c>
      <c r="V25" s="243">
        <v>0</v>
      </c>
      <c r="W25" s="317">
        <v>45</v>
      </c>
      <c r="X25" s="355">
        <f t="shared" ref="X25:X28" si="2" xml:space="preserve"> R25 - S25 - T25 - U25 - V25 - W25</f>
        <v>1375</v>
      </c>
    </row>
    <row r="26" spans="1:24" s="237" customFormat="1" ht="14.4" x14ac:dyDescent="0.3">
      <c r="A26" s="234"/>
      <c r="B26" s="234"/>
      <c r="C26" s="235"/>
      <c r="D26" s="279"/>
      <c r="E26" s="258">
        <v>7</v>
      </c>
      <c r="F26" s="255"/>
      <c r="G26" s="255"/>
      <c r="H26" s="307">
        <f xml:space="preserve"> 'Ind. beg. Wonen'!Y$12</f>
        <v>0.49</v>
      </c>
      <c r="I26" s="255"/>
      <c r="J26" s="255"/>
      <c r="K26" s="324">
        <f xml:space="preserve"> 'Wonen - Sociaal beheer'!AB$14</f>
        <v>0.125</v>
      </c>
      <c r="L26" s="307">
        <f xml:space="preserve"> 'Wonen - Veiligheid'!AA$14</f>
        <v>0.3</v>
      </c>
      <c r="M26" s="282" t="e">
        <f>#REF!</f>
        <v>#REF!</v>
      </c>
      <c r="N26" s="255"/>
      <c r="Q26" s="237" t="s">
        <v>200</v>
      </c>
      <c r="R26" s="352">
        <v>1878</v>
      </c>
      <c r="S26" s="527">
        <f xml:space="preserve"> S$8</f>
        <v>251</v>
      </c>
      <c r="T26" s="237">
        <v>128</v>
      </c>
      <c r="U26" s="237">
        <v>78</v>
      </c>
      <c r="V26" s="236">
        <v>0</v>
      </c>
      <c r="W26" s="237">
        <v>45</v>
      </c>
      <c r="X26" s="352">
        <f t="shared" si="2"/>
        <v>1376</v>
      </c>
    </row>
    <row r="27" spans="1:24" s="237" customFormat="1" ht="14.4" x14ac:dyDescent="0.3">
      <c r="A27" s="234"/>
      <c r="B27" s="234"/>
      <c r="C27" s="235"/>
      <c r="D27" s="279"/>
      <c r="E27" s="258">
        <v>8</v>
      </c>
      <c r="F27" s="307">
        <f xml:space="preserve"> 'Ind. beg. Ambulant'!AF$12</f>
        <v>0.22</v>
      </c>
      <c r="G27" s="307">
        <f>F27</f>
        <v>0.22</v>
      </c>
      <c r="H27" s="307">
        <f xml:space="preserve"> 'Ind. beg. Wonen'!Z$12</f>
        <v>0.4</v>
      </c>
      <c r="I27" s="255"/>
      <c r="J27" s="255"/>
      <c r="K27" s="255"/>
      <c r="L27" s="255"/>
      <c r="M27" s="282" t="e">
        <f>#REF!</f>
        <v>#REF!</v>
      </c>
      <c r="N27" s="255"/>
      <c r="Q27" s="317" t="s">
        <v>201</v>
      </c>
      <c r="R27" s="355">
        <v>1878</v>
      </c>
      <c r="S27" s="528">
        <f xml:space="preserve"> S$9</f>
        <v>220</v>
      </c>
      <c r="T27" s="317">
        <v>128</v>
      </c>
      <c r="U27" s="317">
        <v>78</v>
      </c>
      <c r="V27" s="243">
        <v>0</v>
      </c>
      <c r="W27" s="317">
        <v>45</v>
      </c>
      <c r="X27" s="355">
        <f t="shared" si="2"/>
        <v>1407</v>
      </c>
    </row>
    <row r="28" spans="1:24" s="237" customFormat="1" ht="14.4" x14ac:dyDescent="0.3">
      <c r="A28" s="234"/>
      <c r="B28" s="234"/>
      <c r="C28" s="235"/>
      <c r="D28" s="279"/>
      <c r="E28" s="258">
        <v>9</v>
      </c>
      <c r="F28" s="307">
        <f xml:space="preserve"> 'Ind. beg. Ambulant'!AG$12</f>
        <v>0.76</v>
      </c>
      <c r="G28" s="307">
        <f t="shared" ref="G28:G29" si="3">F28</f>
        <v>0.76</v>
      </c>
      <c r="H28" s="307">
        <f xml:space="preserve"> 'Ind. beg. Wonen'!AA$12</f>
        <v>0.1</v>
      </c>
      <c r="I28" s="255"/>
      <c r="J28" s="255"/>
      <c r="K28" s="255"/>
      <c r="L28" s="255"/>
      <c r="M28" s="282" t="e">
        <f>#REF!</f>
        <v>#REF!</v>
      </c>
      <c r="N28" s="255"/>
      <c r="P28" s="266"/>
      <c r="Q28" s="237" t="s">
        <v>202</v>
      </c>
      <c r="R28" s="353">
        <v>1878</v>
      </c>
      <c r="S28" s="529">
        <f xml:space="preserve"> S$10</f>
        <v>250</v>
      </c>
      <c r="T28" s="241">
        <v>128</v>
      </c>
      <c r="U28" s="241">
        <v>78</v>
      </c>
      <c r="V28" s="242">
        <v>0</v>
      </c>
      <c r="W28" s="241">
        <v>45</v>
      </c>
      <c r="X28" s="352">
        <f t="shared" si="2"/>
        <v>1377</v>
      </c>
    </row>
    <row r="29" spans="1:24" s="237" customFormat="1" ht="14.4" x14ac:dyDescent="0.3">
      <c r="A29" s="234"/>
      <c r="B29" s="234"/>
      <c r="C29" s="235"/>
      <c r="D29" s="280"/>
      <c r="E29" s="261">
        <v>11</v>
      </c>
      <c r="F29" s="323">
        <f xml:space="preserve"> 'Ind. beg. Ambulant'!AH$12</f>
        <v>0.02</v>
      </c>
      <c r="G29" s="323">
        <f t="shared" si="3"/>
        <v>0.02</v>
      </c>
      <c r="H29" s="323">
        <f xml:space="preserve"> 'Ind. beg. Wonen'!AB$12</f>
        <v>0.01</v>
      </c>
      <c r="I29" s="262"/>
      <c r="J29" s="262"/>
      <c r="K29" s="345">
        <f xml:space="preserve"> 'Wonen - Sociaal beheer'!AC$14</f>
        <v>2.5000000000000001E-2</v>
      </c>
      <c r="L29" s="262"/>
      <c r="M29" s="283" t="e">
        <f>#REF!</f>
        <v>#REF!</v>
      </c>
      <c r="N29" s="262"/>
      <c r="O29" s="265"/>
      <c r="P29" s="265"/>
      <c r="Q29" s="356" t="s">
        <v>203</v>
      </c>
      <c r="R29" s="357"/>
      <c r="S29" s="357"/>
      <c r="T29" s="357"/>
      <c r="U29" s="357"/>
      <c r="V29" s="357"/>
      <c r="W29" s="357"/>
      <c r="X29" s="358">
        <f xml:space="preserve"> AVERAGE( X24:X28)</f>
        <v>1382.2</v>
      </c>
    </row>
    <row r="30" spans="1:24" s="237" customFormat="1" ht="14.4" x14ac:dyDescent="0.3">
      <c r="A30" s="234"/>
      <c r="B30" s="234"/>
      <c r="C30" s="235"/>
      <c r="D30" s="272" t="s">
        <v>95</v>
      </c>
      <c r="E30" s="251"/>
      <c r="F30" s="250"/>
      <c r="G30" s="250"/>
      <c r="H30" s="250"/>
      <c r="I30" s="250"/>
      <c r="J30" s="250"/>
      <c r="K30" s="254"/>
      <c r="L30" s="254"/>
      <c r="M30" s="254"/>
      <c r="N30" s="284"/>
      <c r="O30" s="265"/>
      <c r="P30" s="265"/>
      <c r="Q30" s="6"/>
      <c r="R30" s="6"/>
      <c r="S30" s="6"/>
      <c r="T30" s="6"/>
      <c r="U30" s="6"/>
      <c r="V30" s="6"/>
      <c r="W30" s="6"/>
      <c r="X30" s="6"/>
    </row>
    <row r="31" spans="1:24" s="237" customFormat="1" ht="14.4" x14ac:dyDescent="0.3">
      <c r="A31" s="234"/>
      <c r="B31" s="234"/>
      <c r="C31" s="235"/>
      <c r="D31" s="281"/>
      <c r="E31" s="263">
        <v>3</v>
      </c>
      <c r="F31" s="260"/>
      <c r="G31" s="260"/>
      <c r="H31" s="260"/>
      <c r="I31" s="260"/>
      <c r="J31" s="260"/>
      <c r="K31" s="260"/>
      <c r="L31" s="260"/>
      <c r="M31" s="260"/>
      <c r="N31" s="260"/>
      <c r="O31" s="265"/>
      <c r="P31" s="265"/>
      <c r="Q31" s="321" t="s">
        <v>190</v>
      </c>
      <c r="R31" s="321" t="s">
        <v>207</v>
      </c>
      <c r="S31" s="321"/>
      <c r="T31" s="321"/>
      <c r="U31" s="321"/>
      <c r="V31" s="321"/>
      <c r="W31" s="321"/>
      <c r="X31" s="321"/>
    </row>
    <row r="32" spans="1:24" s="237" customFormat="1" ht="14.4" x14ac:dyDescent="0.3">
      <c r="A32" s="234"/>
      <c r="B32" s="234"/>
      <c r="C32" s="235"/>
      <c r="D32" s="273"/>
      <c r="E32" s="258">
        <v>4</v>
      </c>
      <c r="F32" s="255"/>
      <c r="G32" s="255"/>
      <c r="H32" s="255"/>
      <c r="I32" s="255"/>
      <c r="J32" s="255"/>
      <c r="K32" s="257">
        <f xml:space="preserve"> 'Wonen - Sociaal beheer'!M$14</f>
        <v>0.15</v>
      </c>
      <c r="L32" s="255"/>
      <c r="M32" s="255"/>
      <c r="N32" s="255"/>
      <c r="O32" s="265"/>
      <c r="P32" s="265"/>
      <c r="Q32" s="321"/>
      <c r="R32" s="354" t="s">
        <v>191</v>
      </c>
      <c r="S32" s="354" t="s">
        <v>192</v>
      </c>
      <c r="T32" s="354" t="s">
        <v>193</v>
      </c>
      <c r="U32" s="354" t="s">
        <v>194</v>
      </c>
      <c r="V32" s="354" t="s">
        <v>195</v>
      </c>
      <c r="W32" s="354" t="s">
        <v>196</v>
      </c>
      <c r="X32" s="354" t="s">
        <v>197</v>
      </c>
    </row>
    <row r="33" spans="1:24" s="237" customFormat="1" ht="14.4" x14ac:dyDescent="0.3">
      <c r="A33" s="234"/>
      <c r="B33" s="234"/>
      <c r="C33" s="235"/>
      <c r="D33" s="273"/>
      <c r="E33" s="258">
        <v>5</v>
      </c>
      <c r="F33" s="255"/>
      <c r="G33" s="255"/>
      <c r="H33" s="255"/>
      <c r="I33" s="255"/>
      <c r="J33" s="255"/>
      <c r="K33" s="257">
        <f xml:space="preserve"> 'Wonen - Sociaal beheer'!N$14</f>
        <v>0.4</v>
      </c>
      <c r="L33" s="257">
        <f xml:space="preserve"> 'Wonen - Veiligheid'!M$14</f>
        <v>0.1</v>
      </c>
      <c r="M33" s="255"/>
      <c r="N33" s="255"/>
      <c r="O33" s="265"/>
      <c r="P33" s="265"/>
      <c r="Q33" s="237" t="s">
        <v>198</v>
      </c>
      <c r="R33" s="352">
        <v>1878</v>
      </c>
      <c r="S33" s="527">
        <f xml:space="preserve"> S$6</f>
        <v>251</v>
      </c>
      <c r="T33" s="237">
        <v>128</v>
      </c>
      <c r="U33" s="237">
        <v>78</v>
      </c>
      <c r="V33" s="237">
        <v>63</v>
      </c>
      <c r="W33" s="236">
        <v>0</v>
      </c>
      <c r="X33" s="352">
        <f xml:space="preserve"> R33 - S33 - T33 - U33 - V33 - W33</f>
        <v>1358</v>
      </c>
    </row>
    <row r="34" spans="1:24" s="237" customFormat="1" ht="14.4" x14ac:dyDescent="0.3">
      <c r="A34" s="234"/>
      <c r="B34" s="234"/>
      <c r="C34" s="235"/>
      <c r="D34" s="279"/>
      <c r="E34" s="258">
        <v>6</v>
      </c>
      <c r="F34" s="257">
        <f xml:space="preserve"> 'Ind. beg. Ambulant'!AL$12</f>
        <v>0.7</v>
      </c>
      <c r="G34" s="257">
        <f xml:space="preserve"> 'Ind. beg. Ambulant'!AQ$12</f>
        <v>0.2</v>
      </c>
      <c r="H34" s="257">
        <f xml:space="preserve"> 'Ind. beg. Wonen'!S$12</f>
        <v>0.85</v>
      </c>
      <c r="I34" s="307">
        <f xml:space="preserve"> Daginvulling!W$12</f>
        <v>0.8</v>
      </c>
      <c r="J34" s="268">
        <f xml:space="preserve"> Daginvulling!AA$12</f>
        <v>0.67</v>
      </c>
      <c r="K34" s="257">
        <f xml:space="preserve"> 'Wonen - Sociaal beheer'!O$14</f>
        <v>0.3</v>
      </c>
      <c r="L34" s="307">
        <f xml:space="preserve"> 'Wonen - Veiligheid'!N$14</f>
        <v>0.6</v>
      </c>
      <c r="M34" s="255"/>
      <c r="N34" s="255"/>
      <c r="Q34" s="317" t="s">
        <v>199</v>
      </c>
      <c r="R34" s="355">
        <v>1878</v>
      </c>
      <c r="S34" s="528">
        <f xml:space="preserve"> S$7</f>
        <v>252</v>
      </c>
      <c r="T34" s="317">
        <v>128</v>
      </c>
      <c r="U34" s="317">
        <v>78</v>
      </c>
      <c r="V34" s="317">
        <v>63</v>
      </c>
      <c r="W34" s="243">
        <v>0</v>
      </c>
      <c r="X34" s="355">
        <f t="shared" ref="X34:X37" si="4" xml:space="preserve"> R34 - S34 - T34 - U34 - V34 - W34</f>
        <v>1357</v>
      </c>
    </row>
    <row r="35" spans="1:24" s="237" customFormat="1" ht="14.4" x14ac:dyDescent="0.3">
      <c r="A35" s="234"/>
      <c r="B35" s="234"/>
      <c r="C35" s="235"/>
      <c r="D35" s="279"/>
      <c r="E35" s="258">
        <v>7</v>
      </c>
      <c r="F35" s="307">
        <f xml:space="preserve"> 'Ind. beg. Ambulant'!AM$12</f>
        <v>0.15</v>
      </c>
      <c r="G35" s="255"/>
      <c r="H35" s="307">
        <f xml:space="preserve"> 'Ind. beg. Wonen'!T$12</f>
        <v>0.14000000000000001</v>
      </c>
      <c r="I35" s="307">
        <f xml:space="preserve"> Daginvulling!X$12</f>
        <v>0.2</v>
      </c>
      <c r="J35" s="307">
        <f xml:space="preserve"> Daginvulling!AB$12</f>
        <v>0.33</v>
      </c>
      <c r="K35" s="336">
        <f xml:space="preserve"> 'Wonen - Sociaal beheer'!P$14</f>
        <v>0.125</v>
      </c>
      <c r="L35" s="307">
        <f xml:space="preserve"> 'Wonen - Veiligheid'!O$14</f>
        <v>0.3</v>
      </c>
      <c r="M35" s="255"/>
      <c r="N35" s="255"/>
      <c r="Q35" s="237" t="s">
        <v>200</v>
      </c>
      <c r="R35" s="352">
        <v>1878</v>
      </c>
      <c r="S35" s="527">
        <f xml:space="preserve"> S$8</f>
        <v>251</v>
      </c>
      <c r="T35" s="237">
        <v>128</v>
      </c>
      <c r="U35" s="237">
        <v>78</v>
      </c>
      <c r="V35" s="237">
        <v>63</v>
      </c>
      <c r="W35" s="236">
        <v>0</v>
      </c>
      <c r="X35" s="352">
        <f t="shared" si="4"/>
        <v>1358</v>
      </c>
    </row>
    <row r="36" spans="1:24" s="237" customFormat="1" ht="14.4" x14ac:dyDescent="0.3">
      <c r="A36" s="234"/>
      <c r="B36" s="234"/>
      <c r="C36" s="235"/>
      <c r="D36" s="279"/>
      <c r="E36" s="253">
        <v>8</v>
      </c>
      <c r="F36" s="257">
        <f xml:space="preserve"> 'Ind. beg. Ambulant'!AN$12</f>
        <v>0.14000000000000001</v>
      </c>
      <c r="G36" s="257">
        <f xml:space="preserve"> 'Ind. beg. Ambulant'!AR$12</f>
        <v>0.2</v>
      </c>
      <c r="H36" s="255"/>
      <c r="I36" s="255"/>
      <c r="J36" s="255"/>
      <c r="K36" s="255"/>
      <c r="L36" s="255"/>
      <c r="M36" s="255"/>
      <c r="N36" s="255"/>
      <c r="Q36" s="317" t="s">
        <v>201</v>
      </c>
      <c r="R36" s="355">
        <v>1878</v>
      </c>
      <c r="S36" s="528">
        <f xml:space="preserve"> S$9</f>
        <v>220</v>
      </c>
      <c r="T36" s="317">
        <v>128</v>
      </c>
      <c r="U36" s="317">
        <v>78</v>
      </c>
      <c r="V36" s="317">
        <v>63</v>
      </c>
      <c r="W36" s="243">
        <v>0</v>
      </c>
      <c r="X36" s="355">
        <f t="shared" si="4"/>
        <v>1389</v>
      </c>
    </row>
    <row r="37" spans="1:24" s="237" customFormat="1" ht="14.4" x14ac:dyDescent="0.3">
      <c r="A37" s="234"/>
      <c r="B37" s="234"/>
      <c r="C37" s="235"/>
      <c r="D37" s="279"/>
      <c r="E37" s="258">
        <v>9</v>
      </c>
      <c r="F37" s="255"/>
      <c r="G37" s="307">
        <f xml:space="preserve"> 'Ind. beg. Ambulant'!AT$12</f>
        <v>0.59</v>
      </c>
      <c r="H37" s="255"/>
      <c r="I37" s="255"/>
      <c r="J37" s="255"/>
      <c r="K37" s="255"/>
      <c r="L37" s="255"/>
      <c r="M37" s="255"/>
      <c r="N37" s="255"/>
      <c r="Q37" s="237" t="s">
        <v>202</v>
      </c>
      <c r="R37" s="353">
        <v>1878</v>
      </c>
      <c r="S37" s="529">
        <f xml:space="preserve"> S$10</f>
        <v>250</v>
      </c>
      <c r="T37" s="241">
        <v>128</v>
      </c>
      <c r="U37" s="241">
        <v>78</v>
      </c>
      <c r="V37" s="241">
        <v>63</v>
      </c>
      <c r="W37" s="242">
        <v>0</v>
      </c>
      <c r="X37" s="352">
        <f t="shared" si="4"/>
        <v>1359</v>
      </c>
    </row>
    <row r="38" spans="1:24" s="237" customFormat="1" ht="14.4" x14ac:dyDescent="0.3">
      <c r="A38" s="234"/>
      <c r="B38" s="234"/>
      <c r="C38" s="235"/>
      <c r="D38" s="279"/>
      <c r="E38" s="325">
        <v>10</v>
      </c>
      <c r="F38" s="326">
        <f xml:space="preserve"> 'Ind. beg. Ambulant'!AO$12</f>
        <v>0.01</v>
      </c>
      <c r="G38" s="326">
        <f xml:space="preserve"> 'Ind. beg. Ambulant'!AU$12</f>
        <v>0.01</v>
      </c>
      <c r="H38" s="326">
        <f xml:space="preserve"> 'Ind. beg. Wonen'!W$12</f>
        <v>0.01</v>
      </c>
      <c r="I38" s="327"/>
      <c r="J38" s="327"/>
      <c r="K38" s="338">
        <f xml:space="preserve"> 'Wonen - Sociaal beheer'!Q$14</f>
        <v>2.5000000000000001E-2</v>
      </c>
      <c r="L38" s="327"/>
      <c r="M38" s="327"/>
      <c r="N38" s="327"/>
      <c r="Q38" s="356" t="s">
        <v>203</v>
      </c>
      <c r="R38" s="357"/>
      <c r="S38" s="357"/>
      <c r="T38" s="357"/>
      <c r="U38" s="357"/>
      <c r="V38" s="357"/>
      <c r="W38" s="357"/>
      <c r="X38" s="358">
        <f xml:space="preserve"> AVERAGE( X33:X37)</f>
        <v>1364.2</v>
      </c>
    </row>
    <row r="39" spans="1:24" s="237" customFormat="1" ht="14.4" x14ac:dyDescent="0.3">
      <c r="A39" s="234"/>
      <c r="B39" s="234"/>
      <c r="C39" s="235"/>
      <c r="D39" s="272" t="s">
        <v>97</v>
      </c>
      <c r="E39" s="251"/>
      <c r="F39" s="247"/>
      <c r="G39" s="247"/>
      <c r="H39" s="247"/>
      <c r="I39" s="247"/>
      <c r="J39" s="247"/>
      <c r="K39" s="248"/>
      <c r="L39" s="248"/>
      <c r="M39" s="248"/>
      <c r="Q39" s="6"/>
      <c r="R39" s="6"/>
      <c r="S39" s="6"/>
      <c r="T39" s="6"/>
      <c r="U39" s="6"/>
      <c r="V39" s="6"/>
      <c r="W39" s="6"/>
      <c r="X39" s="6"/>
    </row>
    <row r="40" spans="1:24" s="237" customFormat="1" ht="14.4" x14ac:dyDescent="0.3">
      <c r="A40" s="234"/>
      <c r="B40" s="234"/>
      <c r="C40" s="235"/>
      <c r="D40" s="269"/>
      <c r="E40" s="263">
        <v>25</v>
      </c>
      <c r="F40" s="260"/>
      <c r="G40" s="260"/>
      <c r="H40" s="260"/>
      <c r="I40" s="270">
        <f xml:space="preserve"> Daginvulling!AE$12</f>
        <v>0.25</v>
      </c>
      <c r="J40" s="329"/>
      <c r="K40" s="260"/>
      <c r="L40" s="260"/>
      <c r="M40" s="260"/>
      <c r="N40" s="260"/>
      <c r="Q40" s="321" t="s">
        <v>190</v>
      </c>
      <c r="R40" s="321" t="s">
        <v>208</v>
      </c>
      <c r="S40" s="321"/>
      <c r="T40" s="321"/>
      <c r="U40" s="321"/>
      <c r="V40" s="321"/>
      <c r="W40" s="321"/>
      <c r="X40" s="321"/>
    </row>
    <row r="41" spans="1:24" s="237" customFormat="1" ht="14.4" x14ac:dyDescent="0.3">
      <c r="A41" s="234"/>
      <c r="B41" s="234"/>
      <c r="C41" s="235"/>
      <c r="D41" s="267"/>
      <c r="E41" s="258">
        <v>30</v>
      </c>
      <c r="F41" s="255"/>
      <c r="G41" s="255"/>
      <c r="H41" s="255"/>
      <c r="I41" s="268">
        <f xml:space="preserve"> Daginvulling!AF$12</f>
        <v>0.5</v>
      </c>
      <c r="J41" s="307">
        <f xml:space="preserve"> Daginvulling!AI$12</f>
        <v>0.25</v>
      </c>
      <c r="K41" s="255"/>
      <c r="L41" s="255"/>
      <c r="M41" s="255"/>
      <c r="N41" s="255"/>
      <c r="Q41" s="321"/>
      <c r="R41" s="354" t="s">
        <v>191</v>
      </c>
      <c r="S41" s="354" t="s">
        <v>192</v>
      </c>
      <c r="T41" s="354" t="s">
        <v>193</v>
      </c>
      <c r="U41" s="354" t="s">
        <v>194</v>
      </c>
      <c r="V41" s="354" t="s">
        <v>195</v>
      </c>
      <c r="W41" s="354" t="s">
        <v>196</v>
      </c>
      <c r="X41" s="354" t="s">
        <v>197</v>
      </c>
    </row>
    <row r="42" spans="1:24" s="237" customFormat="1" ht="14.4" x14ac:dyDescent="0.3">
      <c r="A42" s="234"/>
      <c r="B42" s="234"/>
      <c r="C42" s="235"/>
      <c r="D42" s="267"/>
      <c r="E42" s="258">
        <v>35</v>
      </c>
      <c r="F42" s="255"/>
      <c r="G42" s="255"/>
      <c r="H42" s="255"/>
      <c r="I42" s="268">
        <f xml:space="preserve"> Daginvulling!AG$12</f>
        <v>0.25</v>
      </c>
      <c r="J42" s="268">
        <f xml:space="preserve"> Daginvulling!AJ$12</f>
        <v>0.5</v>
      </c>
      <c r="K42" s="255"/>
      <c r="L42" s="255"/>
      <c r="M42" s="255"/>
      <c r="N42" s="255"/>
      <c r="Q42" s="237" t="s">
        <v>198</v>
      </c>
      <c r="R42" s="352">
        <v>1878</v>
      </c>
      <c r="S42" s="527">
        <f xml:space="preserve"> S$6</f>
        <v>251</v>
      </c>
      <c r="T42" s="237">
        <v>128</v>
      </c>
      <c r="U42" s="237">
        <v>78</v>
      </c>
      <c r="V42" s="236">
        <v>0</v>
      </c>
      <c r="W42" s="236">
        <v>0</v>
      </c>
      <c r="X42" s="352">
        <f xml:space="preserve"> R42 - S42 - T42 - U42 - V42 - W42</f>
        <v>1421</v>
      </c>
    </row>
    <row r="43" spans="1:24" s="237" customFormat="1" ht="14.4" x14ac:dyDescent="0.3">
      <c r="A43" s="234"/>
      <c r="B43" s="234"/>
      <c r="C43" s="235"/>
      <c r="D43" s="233"/>
      <c r="E43" s="261">
        <v>40</v>
      </c>
      <c r="F43" s="328">
        <f xml:space="preserve"> 'Ind. beg. Ambulant'!AW$12</f>
        <v>1</v>
      </c>
      <c r="G43" s="323">
        <f>F43</f>
        <v>1</v>
      </c>
      <c r="H43" s="262"/>
      <c r="I43" s="262"/>
      <c r="J43" s="271">
        <f xml:space="preserve"> Daginvulling!AK$12</f>
        <v>0.25</v>
      </c>
      <c r="K43" s="262"/>
      <c r="L43" s="262"/>
      <c r="M43" s="262"/>
      <c r="N43" s="262"/>
      <c r="Q43" s="317" t="s">
        <v>199</v>
      </c>
      <c r="R43" s="355">
        <v>1878</v>
      </c>
      <c r="S43" s="528">
        <f xml:space="preserve"> S$7</f>
        <v>252</v>
      </c>
      <c r="T43" s="317">
        <v>128</v>
      </c>
      <c r="U43" s="317">
        <v>78</v>
      </c>
      <c r="V43" s="243">
        <v>0</v>
      </c>
      <c r="W43" s="243">
        <v>0</v>
      </c>
      <c r="X43" s="355">
        <f t="shared" ref="X43:X46" si="5" xml:space="preserve"> R43 - S43 - T43 - U43 - V43 - W43</f>
        <v>1420</v>
      </c>
    </row>
    <row r="44" spans="1:24" s="237" customFormat="1" ht="14.4" x14ac:dyDescent="0.3">
      <c r="A44" s="234"/>
      <c r="B44" s="234"/>
      <c r="C44" s="235"/>
      <c r="D44" s="236"/>
      <c r="E44" s="251"/>
      <c r="F44" s="249"/>
      <c r="G44" s="249"/>
      <c r="H44" s="249"/>
      <c r="I44" s="249"/>
      <c r="J44" s="249"/>
      <c r="K44" s="249"/>
      <c r="L44" s="249"/>
      <c r="M44" s="249"/>
      <c r="Q44" s="237" t="s">
        <v>200</v>
      </c>
      <c r="R44" s="352">
        <v>1878</v>
      </c>
      <c r="S44" s="527">
        <f xml:space="preserve"> S$8</f>
        <v>251</v>
      </c>
      <c r="T44" s="237">
        <v>128</v>
      </c>
      <c r="U44" s="237">
        <v>78</v>
      </c>
      <c r="V44" s="236">
        <v>0</v>
      </c>
      <c r="W44" s="236">
        <v>0</v>
      </c>
      <c r="X44" s="352">
        <f t="shared" si="5"/>
        <v>1421</v>
      </c>
    </row>
    <row r="45" spans="1:24" s="237" customFormat="1" ht="14.4" x14ac:dyDescent="0.3">
      <c r="A45" s="234"/>
      <c r="B45" s="234"/>
      <c r="C45" s="235"/>
      <c r="D45" s="236"/>
      <c r="E45" s="249"/>
      <c r="F45" s="249"/>
      <c r="G45" s="249"/>
      <c r="H45" s="249"/>
      <c r="I45" s="249"/>
      <c r="J45" s="249"/>
      <c r="K45" s="249"/>
      <c r="L45" s="249"/>
      <c r="M45" s="249"/>
      <c r="Q45" s="317" t="s">
        <v>201</v>
      </c>
      <c r="R45" s="355">
        <v>1878</v>
      </c>
      <c r="S45" s="528">
        <f xml:space="preserve"> S$9</f>
        <v>220</v>
      </c>
      <c r="T45" s="317">
        <v>128</v>
      </c>
      <c r="U45" s="317">
        <v>78</v>
      </c>
      <c r="V45" s="243">
        <v>0</v>
      </c>
      <c r="W45" s="243">
        <v>0</v>
      </c>
      <c r="X45" s="355">
        <f t="shared" si="5"/>
        <v>1452</v>
      </c>
    </row>
    <row r="46" spans="1:24" s="237" customFormat="1" ht="14.4" x14ac:dyDescent="0.3">
      <c r="A46" s="234"/>
      <c r="B46" s="234"/>
      <c r="C46" s="235"/>
      <c r="D46" s="236"/>
      <c r="E46" s="237" t="s">
        <v>92</v>
      </c>
      <c r="F46" s="482">
        <f>IF(SUM(F6:F12)&lt;&gt;0, SUM(F6:F12)-1, 0)</f>
        <v>0</v>
      </c>
      <c r="G46" s="482">
        <f t="shared" ref="G46:L46" si="6">IF(SUM(G6:G12)&lt;&gt;0, SUM(G6:G12)-1, 0)</f>
        <v>0</v>
      </c>
      <c r="H46" s="482">
        <f t="shared" si="6"/>
        <v>0</v>
      </c>
      <c r="I46" s="482">
        <f t="shared" si="6"/>
        <v>0</v>
      </c>
      <c r="J46" s="482">
        <f t="shared" si="6"/>
        <v>0</v>
      </c>
      <c r="K46" s="482">
        <f t="shared" si="6"/>
        <v>0</v>
      </c>
      <c r="L46" s="482">
        <f t="shared" si="6"/>
        <v>0</v>
      </c>
      <c r="M46" s="244"/>
      <c r="O46" s="237" t="s">
        <v>231</v>
      </c>
      <c r="Q46" s="237" t="s">
        <v>202</v>
      </c>
      <c r="R46" s="353">
        <v>1878</v>
      </c>
      <c r="S46" s="529">
        <f xml:space="preserve"> S$10</f>
        <v>250</v>
      </c>
      <c r="T46" s="241">
        <v>128</v>
      </c>
      <c r="U46" s="241">
        <v>78</v>
      </c>
      <c r="V46" s="242">
        <v>0</v>
      </c>
      <c r="W46" s="242">
        <v>0</v>
      </c>
      <c r="X46" s="352">
        <f t="shared" si="5"/>
        <v>1422</v>
      </c>
    </row>
    <row r="47" spans="1:24" s="237" customFormat="1" ht="14.4" x14ac:dyDescent="0.3">
      <c r="A47" s="234"/>
      <c r="B47" s="234"/>
      <c r="C47" s="235"/>
      <c r="D47" s="236"/>
      <c r="E47" s="237" t="s">
        <v>93</v>
      </c>
      <c r="F47" s="482">
        <f>IF(SUM(F14:F20)&lt;&gt;0, SUM(F14:F20)-1, 0)</f>
        <v>0</v>
      </c>
      <c r="G47" s="482">
        <f t="shared" ref="G47:L47" si="7">IF(SUM(G14:G20)&lt;&gt;0, SUM(G14:G20)-1, 0)</f>
        <v>0</v>
      </c>
      <c r="H47" s="482">
        <f t="shared" si="7"/>
        <v>0</v>
      </c>
      <c r="I47" s="482">
        <f t="shared" si="7"/>
        <v>0</v>
      </c>
      <c r="J47" s="482">
        <f t="shared" si="7"/>
        <v>0</v>
      </c>
      <c r="K47" s="482">
        <f t="shared" si="7"/>
        <v>0</v>
      </c>
      <c r="L47" s="482">
        <f t="shared" si="7"/>
        <v>0</v>
      </c>
      <c r="M47" s="244"/>
      <c r="O47" s="237" t="s">
        <v>231</v>
      </c>
      <c r="Q47" s="356" t="s">
        <v>203</v>
      </c>
      <c r="R47" s="357"/>
      <c r="S47" s="357"/>
      <c r="T47" s="357"/>
      <c r="U47" s="357"/>
      <c r="V47" s="357"/>
      <c r="W47" s="357"/>
      <c r="X47" s="358">
        <f xml:space="preserve"> AVERAGE( X42:X46)</f>
        <v>1427.2</v>
      </c>
    </row>
    <row r="48" spans="1:24" s="237" customFormat="1" ht="14.4" x14ac:dyDescent="0.3">
      <c r="A48" s="234"/>
      <c r="B48" s="234"/>
      <c r="C48" s="235"/>
      <c r="D48" s="236"/>
      <c r="E48" s="237" t="s">
        <v>100</v>
      </c>
      <c r="F48" s="482">
        <f>IF(SUM(F22:F29)&lt;&gt;0, SUM(F22:F29)-1, 0)</f>
        <v>0</v>
      </c>
      <c r="G48" s="482">
        <f t="shared" ref="G48:L48" si="8">IF(SUM(G22:G29)&lt;&gt;0, SUM(G22:G29)-1, 0)</f>
        <v>0</v>
      </c>
      <c r="H48" s="482">
        <f t="shared" si="8"/>
        <v>0</v>
      </c>
      <c r="I48" s="482">
        <f t="shared" si="8"/>
        <v>0</v>
      </c>
      <c r="J48" s="482">
        <f t="shared" si="8"/>
        <v>0</v>
      </c>
      <c r="K48" s="482">
        <f t="shared" si="8"/>
        <v>0</v>
      </c>
      <c r="L48" s="482">
        <f t="shared" si="8"/>
        <v>0</v>
      </c>
      <c r="M48" s="244"/>
      <c r="O48" s="237" t="s">
        <v>231</v>
      </c>
    </row>
    <row r="49" spans="1:16" s="237" customFormat="1" ht="14.4" x14ac:dyDescent="0.3">
      <c r="A49" s="234"/>
      <c r="B49" s="234"/>
      <c r="C49" s="235"/>
      <c r="D49" s="236"/>
      <c r="E49" s="237" t="s">
        <v>95</v>
      </c>
      <c r="F49" s="482">
        <f>IF(SUM(F31:F38)&lt;&gt;0, SUM(F31:F38)-1, 0)</f>
        <v>0</v>
      </c>
      <c r="G49" s="482">
        <f t="shared" ref="G49:L49" si="9">IF(SUM(G31:G38)&lt;&gt;0, SUM(G31:G38)-1, 0)</f>
        <v>0</v>
      </c>
      <c r="H49" s="482">
        <f t="shared" si="9"/>
        <v>0</v>
      </c>
      <c r="I49" s="482">
        <f t="shared" si="9"/>
        <v>0</v>
      </c>
      <c r="J49" s="482">
        <f t="shared" si="9"/>
        <v>0</v>
      </c>
      <c r="K49" s="482">
        <f t="shared" si="9"/>
        <v>0</v>
      </c>
      <c r="L49" s="482">
        <f t="shared" si="9"/>
        <v>0</v>
      </c>
      <c r="M49" s="244"/>
      <c r="O49" s="237" t="s">
        <v>231</v>
      </c>
    </row>
    <row r="50" spans="1:16" s="237" customFormat="1" ht="14.4" x14ac:dyDescent="0.3">
      <c r="A50" s="234"/>
      <c r="B50" s="234"/>
      <c r="C50" s="235"/>
      <c r="D50" s="236"/>
      <c r="E50" s="237" t="s">
        <v>97</v>
      </c>
      <c r="F50" s="482">
        <f>IF(SUM(F40:F43)&lt;&gt;0, SUM(F40:F43)-1, 0)</f>
        <v>0</v>
      </c>
      <c r="G50" s="482">
        <f t="shared" ref="G50:L50" si="10">IF(SUM(G40:G43)&lt;&gt;0, SUM(G40:G43)-1, 0)</f>
        <v>0</v>
      </c>
      <c r="H50" s="482">
        <f t="shared" si="10"/>
        <v>0</v>
      </c>
      <c r="I50" s="482">
        <f t="shared" si="10"/>
        <v>0</v>
      </c>
      <c r="J50" s="482">
        <f t="shared" si="10"/>
        <v>0</v>
      </c>
      <c r="K50" s="482">
        <f t="shared" si="10"/>
        <v>0</v>
      </c>
      <c r="L50" s="482">
        <f t="shared" si="10"/>
        <v>0</v>
      </c>
      <c r="M50" s="244"/>
      <c r="O50" s="237" t="s">
        <v>231</v>
      </c>
    </row>
    <row r="51" spans="1:16" s="237" customFormat="1" ht="14.4" x14ac:dyDescent="0.3">
      <c r="A51" s="234"/>
      <c r="B51" s="234"/>
      <c r="C51" s="235"/>
      <c r="D51" s="236"/>
      <c r="F51" s="244"/>
      <c r="G51" s="244"/>
      <c r="H51" s="244"/>
      <c r="I51" s="244"/>
      <c r="J51" s="244"/>
      <c r="K51" s="244"/>
      <c r="L51" s="246"/>
      <c r="M51" s="244"/>
    </row>
    <row r="52" spans="1:16" s="237" customFormat="1" ht="14.4" x14ac:dyDescent="0.3">
      <c r="A52" s="234"/>
      <c r="B52" s="234"/>
      <c r="C52" s="235"/>
      <c r="D52" s="236"/>
      <c r="F52" s="244"/>
      <c r="G52" s="244"/>
      <c r="H52" s="244"/>
      <c r="I52" s="244"/>
      <c r="J52" s="244"/>
      <c r="K52" s="244"/>
      <c r="L52" s="246"/>
      <c r="M52" s="244"/>
    </row>
    <row r="53" spans="1:16" s="237" customFormat="1" ht="14.4" x14ac:dyDescent="0.3">
      <c r="A53" s="234"/>
      <c r="B53" s="234"/>
      <c r="C53" s="235"/>
      <c r="D53" s="236"/>
      <c r="F53" s="244"/>
      <c r="G53" s="244"/>
      <c r="H53" s="244"/>
      <c r="I53" s="244"/>
      <c r="J53" s="244"/>
      <c r="K53" s="244"/>
      <c r="L53" s="246"/>
      <c r="M53" s="244"/>
    </row>
    <row r="54" spans="1:16" s="237" customFormat="1" ht="14.4" x14ac:dyDescent="0.3">
      <c r="A54" s="234"/>
      <c r="B54" s="234"/>
      <c r="C54" s="235"/>
      <c r="D54" s="236"/>
      <c r="F54" s="244"/>
      <c r="G54" s="244"/>
      <c r="H54" s="244"/>
      <c r="I54" s="244"/>
      <c r="J54" s="244"/>
      <c r="K54" s="244"/>
      <c r="L54" s="246"/>
      <c r="M54" s="244"/>
    </row>
    <row r="55" spans="1:16" s="237" customFormat="1" ht="14.4" x14ac:dyDescent="0.3">
      <c r="A55" s="234"/>
      <c r="B55" s="234"/>
      <c r="C55" s="235"/>
      <c r="D55" s="236"/>
      <c r="F55" s="244"/>
      <c r="G55" s="244"/>
      <c r="H55" s="244"/>
      <c r="I55" s="244"/>
      <c r="J55" s="244"/>
      <c r="K55" s="244"/>
      <c r="L55" s="246"/>
      <c r="M55" s="244"/>
    </row>
    <row r="56" spans="1:16" s="237" customFormat="1" ht="14.4" x14ac:dyDescent="0.3">
      <c r="A56" s="7"/>
      <c r="B56" s="7"/>
      <c r="C56" s="8"/>
      <c r="D56" s="236"/>
      <c r="F56" s="244"/>
      <c r="G56" s="244"/>
      <c r="H56" s="244"/>
      <c r="I56" s="244"/>
      <c r="J56" s="244"/>
      <c r="K56" s="244"/>
      <c r="L56" s="246"/>
      <c r="M56" s="244"/>
    </row>
    <row r="57" spans="1:16" s="237" customFormat="1" ht="14.4" x14ac:dyDescent="0.3">
      <c r="A57" s="7"/>
      <c r="B57" s="7"/>
      <c r="C57" s="8"/>
      <c r="D57" s="236"/>
      <c r="F57" s="244"/>
      <c r="G57" s="244"/>
      <c r="H57" s="244"/>
      <c r="I57" s="244"/>
      <c r="J57" s="244"/>
      <c r="K57" s="244"/>
      <c r="L57" s="246"/>
      <c r="M57" s="244"/>
    </row>
    <row r="58" spans="1:16" ht="14.4" x14ac:dyDescent="0.3">
      <c r="D58" s="236"/>
      <c r="E58" s="237"/>
      <c r="F58" s="244"/>
      <c r="G58" s="244"/>
      <c r="H58" s="244"/>
      <c r="I58" s="244"/>
      <c r="J58" s="244"/>
      <c r="K58" s="244"/>
      <c r="L58" s="246"/>
      <c r="M58" s="244"/>
      <c r="O58" s="237"/>
      <c r="P58" s="237"/>
    </row>
    <row r="59" spans="1:16" ht="14.4" x14ac:dyDescent="0.3">
      <c r="D59" s="236"/>
      <c r="E59" s="237"/>
      <c r="F59" s="244"/>
      <c r="G59" s="244"/>
      <c r="H59" s="244"/>
      <c r="I59" s="244"/>
      <c r="J59" s="244"/>
      <c r="K59" s="244"/>
      <c r="L59" s="246"/>
      <c r="M59" s="244"/>
      <c r="O59" s="237"/>
      <c r="P59" s="237"/>
    </row>
    <row r="60" spans="1:16" ht="14.4" x14ac:dyDescent="0.3">
      <c r="D60" s="236"/>
      <c r="E60" s="237"/>
      <c r="F60" s="244"/>
      <c r="G60" s="244"/>
      <c r="H60" s="244"/>
      <c r="I60" s="244"/>
      <c r="J60" s="244"/>
      <c r="K60" s="244"/>
      <c r="L60" s="246"/>
      <c r="M60" s="244"/>
    </row>
    <row r="61" spans="1:16" ht="14.4" x14ac:dyDescent="0.3">
      <c r="D61" s="236"/>
      <c r="E61" s="237"/>
      <c r="F61" s="244"/>
      <c r="G61" s="244"/>
      <c r="H61" s="244"/>
      <c r="I61" s="244"/>
      <c r="J61" s="244"/>
      <c r="K61" s="244"/>
      <c r="L61" s="246"/>
      <c r="M61" s="244"/>
    </row>
    <row r="62" spans="1:16" ht="14.4" x14ac:dyDescent="0.3">
      <c r="D62" s="236"/>
      <c r="E62" s="237"/>
      <c r="F62" s="244"/>
      <c r="G62" s="244"/>
      <c r="H62" s="244"/>
      <c r="I62" s="244"/>
      <c r="J62" s="244"/>
      <c r="K62" s="244"/>
      <c r="L62" s="246"/>
      <c r="M62" s="244"/>
    </row>
    <row r="63" spans="1:16" ht="14.4" x14ac:dyDescent="0.3">
      <c r="D63" s="236"/>
      <c r="E63" s="237"/>
      <c r="F63" s="244"/>
      <c r="G63" s="244"/>
      <c r="H63" s="244"/>
      <c r="I63" s="244"/>
      <c r="J63" s="244"/>
      <c r="K63" s="244"/>
      <c r="L63" s="246"/>
      <c r="M63" s="244"/>
    </row>
    <row r="64" spans="1:16" ht="14.4" x14ac:dyDescent="0.3">
      <c r="D64" s="236"/>
      <c r="E64" s="237"/>
      <c r="F64" s="244"/>
      <c r="G64" s="244"/>
      <c r="H64" s="244"/>
      <c r="I64" s="244"/>
      <c r="J64" s="244"/>
      <c r="K64" s="244"/>
      <c r="L64" s="246"/>
      <c r="M64" s="244"/>
    </row>
  </sheetData>
  <mergeCells count="1">
    <mergeCell ref="D4:E4"/>
  </mergeCells>
  <conditionalFormatting sqref="F46:L50">
    <cfRule type="cellIs" dxfId="137" priority="1" stopIfTrue="1" operator="notEqual">
      <formula>0</formula>
    </cfRule>
    <cfRule type="cellIs" dxfId="136" priority="2" stopIfTrue="1" operator="equal">
      <formula>""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26615-A5BA-4E4D-AD26-4C6A93800EBC}">
  <sheetPr>
    <tabColor theme="1"/>
  </sheetPr>
  <dimension ref="A1:AZ65"/>
  <sheetViews>
    <sheetView showGridLines="0" tabSelected="1" zoomScale="70" zoomScaleNormal="70" workbookViewId="0">
      <selection activeCell="X20" sqref="X20"/>
    </sheetView>
  </sheetViews>
  <sheetFormatPr defaultColWidth="9.109375" defaultRowHeight="15" outlineLevelCol="1" x14ac:dyDescent="0.35"/>
  <cols>
    <col min="1" max="2" width="1.109375" style="363" customWidth="1"/>
    <col min="3" max="3" width="1.109375" style="364" customWidth="1"/>
    <col min="4" max="4" width="1.5546875" style="364" customWidth="1"/>
    <col min="5" max="5" width="22.44140625" style="364" customWidth="1"/>
    <col min="6" max="6" width="3.88671875" style="365" customWidth="1"/>
    <col min="7" max="7" width="15.44140625" style="366" customWidth="1"/>
    <col min="8" max="9" width="10.77734375" style="367" hidden="1" customWidth="1" outlineLevel="1"/>
    <col min="10" max="10" width="11.88671875" style="367" hidden="1" customWidth="1" outlineLevel="1"/>
    <col min="11" max="11" width="12" style="367" customWidth="1" collapsed="1"/>
    <col min="12" max="13" width="10.77734375" style="367" hidden="1" customWidth="1" outlineLevel="1"/>
    <col min="14" max="14" width="14.77734375" style="367" customWidth="1" collapsed="1"/>
    <col min="15" max="15" width="10.77734375" style="367" customWidth="1"/>
    <col min="16" max="16" width="12.21875" style="367" customWidth="1"/>
    <col min="17" max="17" width="11.6640625" style="367" customWidth="1"/>
    <col min="18" max="18" width="10.77734375" style="367" customWidth="1"/>
    <col min="19" max="21" width="10.77734375" style="368" customWidth="1"/>
    <col min="22" max="22" width="2.33203125" style="368" customWidth="1"/>
    <col min="23" max="25" width="10.77734375" style="368" customWidth="1"/>
    <col min="26" max="26" width="9.77734375" style="366" customWidth="1"/>
    <col min="27" max="27" width="9.6640625" style="366" customWidth="1"/>
    <col min="28" max="28" width="9.109375" style="366" customWidth="1"/>
    <col min="29" max="29" width="13.109375" style="366" customWidth="1"/>
    <col min="30" max="30" width="3.5546875" style="366" customWidth="1"/>
    <col min="31" max="31" width="40.21875" style="366" customWidth="1"/>
    <col min="32" max="43" width="10.6640625" style="366" customWidth="1"/>
    <col min="44" max="44" width="9.109375" style="369" customWidth="1"/>
    <col min="45" max="45" width="36.77734375" style="369" customWidth="1"/>
    <col min="46" max="49" width="9.109375" style="369" customWidth="1"/>
    <col min="50" max="50" width="1.77734375" style="369" customWidth="1"/>
    <col min="51" max="16383" width="9.109375" style="369" customWidth="1"/>
    <col min="16384" max="16384" width="9.109375" style="369"/>
  </cols>
  <sheetData>
    <row r="1" spans="1:43" ht="29.4" x14ac:dyDescent="0.65">
      <c r="A1" s="362" t="str">
        <f ca="1">RIGHT(CELL("filename",$A$1),LEN(CELL("filename",$A$1))-SEARCH("]",CELL("filename",$A$1)))</f>
        <v>Tarieven</v>
      </c>
    </row>
    <row r="2" spans="1:43" x14ac:dyDescent="0.35">
      <c r="AD2" s="516" t="s">
        <v>289</v>
      </c>
      <c r="AE2" s="516"/>
      <c r="AF2" s="516"/>
      <c r="AG2" s="516"/>
      <c r="AH2" s="516"/>
      <c r="AI2" s="516"/>
      <c r="AJ2" s="516"/>
      <c r="AK2" s="516"/>
      <c r="AL2" s="516"/>
      <c r="AM2" s="516"/>
      <c r="AN2" s="516"/>
      <c r="AO2" s="516"/>
      <c r="AP2" s="516"/>
      <c r="AQ2" s="516"/>
    </row>
    <row r="3" spans="1:43" ht="15" customHeight="1" x14ac:dyDescent="0.35">
      <c r="F3" s="568"/>
      <c r="G3" s="568"/>
      <c r="H3" s="569" t="s">
        <v>130</v>
      </c>
      <c r="I3" s="569"/>
      <c r="J3" s="569"/>
      <c r="K3" s="569"/>
      <c r="L3" s="570" t="s">
        <v>132</v>
      </c>
      <c r="M3" s="570"/>
      <c r="N3" s="570"/>
      <c r="O3" s="455"/>
      <c r="P3" s="569" t="s">
        <v>67</v>
      </c>
      <c r="Q3" s="569"/>
      <c r="R3" s="569"/>
      <c r="S3" s="455" t="s">
        <v>168</v>
      </c>
      <c r="T3" s="455"/>
      <c r="U3" s="455"/>
      <c r="V3" s="455"/>
      <c r="W3" s="455" t="s">
        <v>169</v>
      </c>
      <c r="X3" s="455"/>
      <c r="Y3" s="455"/>
      <c r="AD3" s="373" t="s">
        <v>273</v>
      </c>
      <c r="AE3" s="373"/>
      <c r="AF3" s="532" t="s">
        <v>155</v>
      </c>
      <c r="AG3" s="374" t="s">
        <v>67</v>
      </c>
      <c r="AH3" s="373"/>
      <c r="AI3" s="374" t="s">
        <v>168</v>
      </c>
      <c r="AJ3" s="373"/>
      <c r="AK3" s="373"/>
      <c r="AL3" s="374" t="s">
        <v>169</v>
      </c>
      <c r="AM3" s="373"/>
      <c r="AN3" s="373"/>
      <c r="AO3" s="571" t="s">
        <v>280</v>
      </c>
      <c r="AP3" s="571"/>
      <c r="AQ3" s="571"/>
    </row>
    <row r="4" spans="1:43" ht="42" customHeight="1" x14ac:dyDescent="0.35">
      <c r="F4" s="568" t="s">
        <v>211</v>
      </c>
      <c r="G4" s="568"/>
      <c r="H4" s="457" t="s">
        <v>131</v>
      </c>
      <c r="I4" s="457" t="s">
        <v>213</v>
      </c>
      <c r="J4" s="456" t="s">
        <v>217</v>
      </c>
      <c r="K4" s="455" t="s">
        <v>172</v>
      </c>
      <c r="L4" s="457"/>
      <c r="M4" s="457"/>
      <c r="N4" s="455" t="s">
        <v>172</v>
      </c>
      <c r="O4" s="457"/>
      <c r="P4" s="457" t="s">
        <v>131</v>
      </c>
      <c r="Q4" s="457" t="s">
        <v>213</v>
      </c>
      <c r="R4" s="455"/>
      <c r="S4" s="457" t="s">
        <v>243</v>
      </c>
      <c r="T4" s="457" t="s">
        <v>174</v>
      </c>
      <c r="U4" s="457" t="s">
        <v>175</v>
      </c>
      <c r="V4" s="457"/>
      <c r="W4" s="457" t="s">
        <v>176</v>
      </c>
      <c r="X4" s="457" t="s">
        <v>177</v>
      </c>
      <c r="Y4" s="457" t="s">
        <v>178</v>
      </c>
      <c r="AD4" s="374" t="s">
        <v>170</v>
      </c>
      <c r="AE4" s="373"/>
      <c r="AF4" s="556"/>
      <c r="AG4" s="556" t="s">
        <v>131</v>
      </c>
      <c r="AH4" s="556" t="s">
        <v>167</v>
      </c>
      <c r="AI4" s="375" t="s">
        <v>183</v>
      </c>
      <c r="AJ4" s="375" t="s">
        <v>276</v>
      </c>
      <c r="AK4" s="375" t="s">
        <v>187</v>
      </c>
      <c r="AL4" s="375" t="s">
        <v>184</v>
      </c>
      <c r="AM4" s="375" t="s">
        <v>185</v>
      </c>
      <c r="AN4" s="375" t="s">
        <v>186</v>
      </c>
      <c r="AO4" s="531" t="s">
        <v>261</v>
      </c>
      <c r="AP4" s="531" t="s">
        <v>262</v>
      </c>
      <c r="AQ4" s="531" t="s">
        <v>288</v>
      </c>
    </row>
    <row r="5" spans="1:43" x14ac:dyDescent="0.35">
      <c r="A5" s="376"/>
      <c r="B5" s="376"/>
      <c r="C5" s="377"/>
      <c r="D5" s="377"/>
      <c r="E5" s="377"/>
      <c r="F5" s="378" t="s">
        <v>212</v>
      </c>
      <c r="G5" s="379"/>
      <c r="H5" s="380"/>
      <c r="I5" s="380"/>
      <c r="J5" s="381"/>
      <c r="K5" s="382"/>
      <c r="L5" s="382"/>
      <c r="M5" s="382"/>
      <c r="N5" s="382"/>
      <c r="O5" s="382"/>
      <c r="P5" s="382"/>
      <c r="Q5" s="382"/>
      <c r="R5" s="382"/>
      <c r="S5" s="382"/>
      <c r="T5" s="382"/>
      <c r="U5" s="382"/>
      <c r="V5" s="382"/>
      <c r="W5" s="382"/>
      <c r="X5" s="382"/>
      <c r="Y5" s="382"/>
      <c r="Z5" s="369"/>
      <c r="AA5" s="369"/>
      <c r="AB5" s="369"/>
      <c r="AD5" s="415" t="s">
        <v>166</v>
      </c>
      <c r="AE5" s="415"/>
      <c r="AF5" s="521"/>
      <c r="AG5" s="415"/>
      <c r="AH5" s="415"/>
      <c r="AI5" s="415"/>
      <c r="AJ5" s="415"/>
      <c r="AK5" s="415"/>
      <c r="AL5" s="415"/>
      <c r="AM5" s="415"/>
      <c r="AN5" s="415"/>
      <c r="AO5" s="415"/>
      <c r="AP5" s="415"/>
      <c r="AQ5" s="415"/>
    </row>
    <row r="6" spans="1:43" x14ac:dyDescent="0.35">
      <c r="F6" s="369"/>
      <c r="G6" s="365" t="s">
        <v>92</v>
      </c>
      <c r="H6" s="385">
        <f xml:space="preserve"> 'Ind. beg. Ambulant'!I$46</f>
        <v>57.596157453173568</v>
      </c>
      <c r="I6" s="386">
        <f xml:space="preserve"> 'Ind. beg. Ambulant'!O$46</f>
        <v>62.770307259066279</v>
      </c>
      <c r="J6" s="484">
        <v>0.15</v>
      </c>
      <c r="K6" s="387">
        <f xml:space="preserve"> (H6 * J6) + ((1- J6) * I6)</f>
        <v>61.994184788182373</v>
      </c>
      <c r="L6" s="388"/>
      <c r="M6" s="388"/>
      <c r="N6" s="389">
        <f xml:space="preserve"> 'Ind. beg. Wonen'!I$46</f>
        <v>57.855749670772866</v>
      </c>
      <c r="O6" s="388"/>
      <c r="P6" s="400">
        <f xml:space="preserve"> Daginvulling!H$56</f>
        <v>34.375378873829348</v>
      </c>
      <c r="Q6" s="400">
        <f xml:space="preserve"> Daginvulling!L$56</f>
        <v>49.531406222880747</v>
      </c>
      <c r="R6" s="387"/>
      <c r="S6" s="390">
        <f xml:space="preserve"> 'Wonen - Sociaal beheer'!I$57</f>
        <v>8.7346755426879206</v>
      </c>
      <c r="T6" s="391">
        <f xml:space="preserve"> 'Wonen - Sociaal beheer'!AG$57</f>
        <v>30.748482733259536</v>
      </c>
      <c r="U6" s="391">
        <f xml:space="preserve"> 'Wonen - Sociaal beheer'!BF$57</f>
        <v>50.020810221208066</v>
      </c>
      <c r="V6" s="391"/>
      <c r="W6" s="403">
        <f xml:space="preserve"> 'Wonen - Veiligheid'!I$58</f>
        <v>7.2244733752361654</v>
      </c>
      <c r="X6" s="403">
        <f xml:space="preserve"> 'Wonen - Veiligheid'!AG$58</f>
        <v>14.448946750472331</v>
      </c>
      <c r="Y6" s="403">
        <f xml:space="preserve"> 'Wonen - Veiligheid'!BE$58</f>
        <v>28.897893500944662</v>
      </c>
      <c r="Z6" s="370"/>
      <c r="AA6" s="370"/>
      <c r="AE6" s="366" t="s">
        <v>92</v>
      </c>
      <c r="AF6" s="392">
        <f xml:space="preserve"> N16</f>
        <v>56.59448961487287</v>
      </c>
      <c r="AG6" s="393">
        <f xml:space="preserve"> P$16</f>
        <v>34.03798337688054</v>
      </c>
      <c r="AH6" s="393">
        <f xml:space="preserve"> Q$16</f>
        <v>49.038026534561332</v>
      </c>
      <c r="AI6" s="394"/>
      <c r="AJ6" s="395">
        <f xml:space="preserve"> T$16</f>
        <v>30.160915915767436</v>
      </c>
      <c r="AK6" s="396">
        <f xml:space="preserve"> U$16</f>
        <v>49.131887022125596</v>
      </c>
      <c r="AL6" s="395">
        <f xml:space="preserve"> W$16</f>
        <v>7.1091222139076651</v>
      </c>
      <c r="AM6" s="395">
        <f xml:space="preserve"> X$16</f>
        <v>14.21824442781533</v>
      </c>
      <c r="AN6" s="395">
        <f xml:space="preserve"> Y$16</f>
        <v>28.43648885563066</v>
      </c>
      <c r="AO6" s="394"/>
      <c r="AP6" s="394"/>
      <c r="AQ6" s="394"/>
    </row>
    <row r="7" spans="1:43" x14ac:dyDescent="0.35">
      <c r="E7" s="397" t="s">
        <v>209</v>
      </c>
      <c r="F7" s="369"/>
      <c r="G7" s="398" t="s">
        <v>93</v>
      </c>
      <c r="H7" s="385">
        <f xml:space="preserve"> 'Ind. beg. Ambulant'!U$46</f>
        <v>49.999031193407554</v>
      </c>
      <c r="I7" s="399">
        <f xml:space="preserve"> 'Ind. beg. Ambulant'!AA$46</f>
        <v>54.402639612262398</v>
      </c>
      <c r="J7" s="484">
        <v>0.8</v>
      </c>
      <c r="K7" s="387">
        <f xml:space="preserve"> (H7 * J7) + ((1- J7) * I7)</f>
        <v>50.879752877178525</v>
      </c>
      <c r="L7" s="388"/>
      <c r="M7" s="388"/>
      <c r="N7" s="389">
        <f xml:space="preserve"> 'Ind. beg. Wonen'!O$46</f>
        <v>48.729842051318393</v>
      </c>
      <c r="O7" s="388"/>
      <c r="P7" s="400">
        <f xml:space="preserve"> Daginvulling!P$56</f>
        <v>32.639497044300292</v>
      </c>
      <c r="Q7" s="400">
        <f xml:space="preserve"> Daginvulling!T$56</f>
        <v>47.273681944556245</v>
      </c>
      <c r="R7" s="387"/>
      <c r="S7" s="390">
        <f xml:space="preserve"> 'Wonen - Sociaal beheer'!U$57</f>
        <v>7.4504507527417241</v>
      </c>
      <c r="T7" s="402">
        <f xml:space="preserve"> 'Wonen - Sociaal beheer'!AT$57</f>
        <v>26.618738809356707</v>
      </c>
      <c r="U7" s="402">
        <f xml:space="preserve"> 'Wonen - Sociaal beheer'!BR$57</f>
        <v>43.057532229665576</v>
      </c>
      <c r="V7" s="402"/>
      <c r="W7" s="403">
        <f xml:space="preserve"> 'Wonen - Veiligheid'!U$58</f>
        <v>6.1754800161803036</v>
      </c>
      <c r="X7" s="403">
        <f xml:space="preserve"> 'Wonen - Veiligheid'!AS$58</f>
        <v>12.350960032360607</v>
      </c>
      <c r="Y7" s="487">
        <f xml:space="preserve"> 'Wonen - Veiligheid'!BQ$58</f>
        <v>24.701920064721214</v>
      </c>
      <c r="AD7" s="369"/>
      <c r="AE7" s="369" t="s">
        <v>138</v>
      </c>
      <c r="AF7" s="392">
        <f xml:space="preserve"> N17</f>
        <v>48.729842051318393</v>
      </c>
      <c r="AG7" s="395">
        <f xml:space="preserve"> P$17</f>
        <v>32.639497044300292</v>
      </c>
      <c r="AH7" s="395">
        <f xml:space="preserve"> Q$17</f>
        <v>47.273681944556245</v>
      </c>
      <c r="AI7" s="394"/>
      <c r="AJ7" s="393">
        <f xml:space="preserve"> T$17</f>
        <v>26.618738809356707</v>
      </c>
      <c r="AK7" s="396">
        <f xml:space="preserve"> U$17</f>
        <v>43.057532229665576</v>
      </c>
      <c r="AL7" s="393">
        <f xml:space="preserve"> W$17</f>
        <v>6.1754800161803036</v>
      </c>
      <c r="AM7" s="393">
        <f xml:space="preserve"> X$17</f>
        <v>12.350960032360607</v>
      </c>
      <c r="AN7" s="393">
        <f xml:space="preserve"> Y$17</f>
        <v>24.701920064721214</v>
      </c>
      <c r="AO7" s="394"/>
      <c r="AP7" s="394"/>
      <c r="AQ7" s="394"/>
    </row>
    <row r="8" spans="1:43" x14ac:dyDescent="0.35">
      <c r="E8" s="397" t="s">
        <v>210</v>
      </c>
      <c r="F8" s="369"/>
      <c r="G8" s="365" t="s">
        <v>100</v>
      </c>
      <c r="H8" s="399">
        <f xml:space="preserve"> 'Ind. beg. Ambulant'!AG$46</f>
        <v>67.081296019916834</v>
      </c>
      <c r="I8" s="399">
        <f xml:space="preserve"> 'Ind. beg. Ambulant'!AG$46</f>
        <v>67.081296019916834</v>
      </c>
      <c r="J8" s="405" t="s">
        <v>232</v>
      </c>
      <c r="K8" s="399">
        <f xml:space="preserve"> 'Ind. beg. Ambulant'!AG$46</f>
        <v>67.081296019916834</v>
      </c>
      <c r="L8" s="388"/>
      <c r="M8" s="388"/>
      <c r="N8" s="404">
        <f xml:space="preserve"> 'Ind. beg. Wonen'!AA$46</f>
        <v>61.599758328019163</v>
      </c>
      <c r="O8" s="388"/>
      <c r="P8" s="405" t="s">
        <v>232</v>
      </c>
      <c r="Q8" s="405" t="s">
        <v>232</v>
      </c>
      <c r="R8" s="405"/>
      <c r="S8" s="406">
        <f xml:space="preserve"> 'Wonen - Sociaal beheer'!AA$57</f>
        <v>8.7893107354369171</v>
      </c>
      <c r="T8" s="406">
        <f xml:space="preserve"> 'Wonen - Sociaal beheer'!AZ$57</f>
        <v>29.255501360150028</v>
      </c>
      <c r="U8" s="406">
        <f xml:space="preserve"> 'Wonen - Sociaal beheer'!BX$57</f>
        <v>47.68080273367854</v>
      </c>
      <c r="V8" s="406"/>
      <c r="W8" s="407">
        <f xml:space="preserve"> 'Wonen - Veiligheid'!AA$58</f>
        <v>6.7931774123117199</v>
      </c>
      <c r="X8" s="407">
        <f xml:space="preserve"> 'Wonen - Veiligheid'!AY$58</f>
        <v>13.58635482462344</v>
      </c>
      <c r="Y8" s="407">
        <f xml:space="preserve"> 'Wonen - Veiligheid'!BW$58</f>
        <v>27.17270964924688</v>
      </c>
      <c r="Z8" s="370"/>
      <c r="AA8" s="370"/>
      <c r="AC8" s="369"/>
      <c r="AD8" s="369"/>
      <c r="AE8" s="369" t="s">
        <v>140</v>
      </c>
      <c r="AF8" s="408">
        <f xml:space="preserve"> N19</f>
        <v>61.599758328019163</v>
      </c>
      <c r="AG8" s="408">
        <f xml:space="preserve"> AG6</f>
        <v>34.03798337688054</v>
      </c>
      <c r="AH8" s="408">
        <f xml:space="preserve"> AH6</f>
        <v>49.038026534561332</v>
      </c>
      <c r="AI8" s="394"/>
      <c r="AJ8" s="395">
        <f xml:space="preserve"> T$19</f>
        <v>29.255501360150028</v>
      </c>
      <c r="AK8" s="395">
        <f xml:space="preserve"> U$19</f>
        <v>47.68080273367854</v>
      </c>
      <c r="AL8" s="395">
        <f t="shared" ref="AL8:AN9" si="0" xml:space="preserve"> W$19</f>
        <v>6.7931774123117199</v>
      </c>
      <c r="AM8" s="395">
        <f t="shared" si="0"/>
        <v>13.58635482462344</v>
      </c>
      <c r="AN8" s="395">
        <f t="shared" si="0"/>
        <v>27.17270964924688</v>
      </c>
      <c r="AO8" s="394"/>
      <c r="AP8" s="394"/>
      <c r="AQ8" s="394"/>
    </row>
    <row r="9" spans="1:43" x14ac:dyDescent="0.35">
      <c r="F9" s="369"/>
      <c r="G9" s="365" t="s">
        <v>95</v>
      </c>
      <c r="H9" s="385">
        <f xml:space="preserve"> 'Ind. beg. Ambulant'!AM$46</f>
        <v>55.856653182742292</v>
      </c>
      <c r="I9" s="399">
        <f xml:space="preserve"> 'Ind. beg. Ambulant'!AS$46</f>
        <v>59.43725012437077</v>
      </c>
      <c r="J9" s="484">
        <v>0.75</v>
      </c>
      <c r="K9" s="387">
        <f xml:space="preserve"> (H9 * J9) + ((1- J9) * I9)</f>
        <v>56.75180241814941</v>
      </c>
      <c r="L9" s="388"/>
      <c r="M9" s="388"/>
      <c r="N9" s="389">
        <f xml:space="preserve"> 'Ind. beg. Wonen'!U$46</f>
        <v>54.33959117328623</v>
      </c>
      <c r="O9" s="388"/>
      <c r="P9" s="402">
        <f xml:space="preserve"> Daginvulling!X$56</f>
        <v>32.688401389085286</v>
      </c>
      <c r="Q9" s="403">
        <f xml:space="preserve"> Daginvulling!AB$56</f>
        <v>47.064507781283673</v>
      </c>
      <c r="R9" s="387"/>
      <c r="S9" s="390">
        <f xml:space="preserve"> 'Wonen - Sociaal beheer'!O$57</f>
        <v>8.1189039923956852</v>
      </c>
      <c r="T9" s="403">
        <f xml:space="preserve"> 'Wonen - Sociaal beheer'!AN$57</f>
        <v>28.183893989076413</v>
      </c>
      <c r="U9" s="403">
        <f xml:space="preserve"> 'Wonen - Sociaal beheer'!BL$57</f>
        <v>46.161196097678115</v>
      </c>
      <c r="V9" s="403"/>
      <c r="W9" s="402">
        <f xml:space="preserve"> 'Wonen - Veiligheid'!O$58</f>
        <v>6.7555415593247776</v>
      </c>
      <c r="X9" s="402">
        <f xml:space="preserve"> 'Wonen - Veiligheid'!AM$58</f>
        <v>13.511083118649555</v>
      </c>
      <c r="Y9" s="403">
        <f xml:space="preserve"> 'Wonen - Veiligheid'!BK$58</f>
        <v>27.02216623729911</v>
      </c>
      <c r="AA9" s="370"/>
      <c r="AC9" s="369"/>
      <c r="AD9" s="369" t="s">
        <v>258</v>
      </c>
      <c r="AE9" s="369"/>
      <c r="AF9" s="552">
        <f xml:space="preserve"> N$19</f>
        <v>61.599758328019163</v>
      </c>
      <c r="AG9" s="552">
        <f xml:space="preserve"> P$16</f>
        <v>34.03798337688054</v>
      </c>
      <c r="AH9" s="552">
        <f xml:space="preserve"> Q$16</f>
        <v>49.038026534561332</v>
      </c>
      <c r="AI9" s="553"/>
      <c r="AJ9" s="552">
        <f xml:space="preserve"> T$19</f>
        <v>29.255501360150028</v>
      </c>
      <c r="AK9" s="552">
        <f xml:space="preserve"> U$19</f>
        <v>47.68080273367854</v>
      </c>
      <c r="AL9" s="552">
        <f t="shared" si="0"/>
        <v>6.7931774123117199</v>
      </c>
      <c r="AM9" s="552">
        <f t="shared" si="0"/>
        <v>13.58635482462344</v>
      </c>
      <c r="AN9" s="552">
        <f t="shared" si="0"/>
        <v>27.17270964924688</v>
      </c>
      <c r="AO9" s="395">
        <v>97.65</v>
      </c>
      <c r="AP9" s="395">
        <v>136.65</v>
      </c>
      <c r="AQ9" s="395">
        <v>188.27</v>
      </c>
    </row>
    <row r="10" spans="1:43" ht="14.4" customHeight="1" x14ac:dyDescent="0.35">
      <c r="A10" s="376"/>
      <c r="B10" s="376"/>
      <c r="C10" s="377"/>
      <c r="D10" s="377"/>
      <c r="E10" s="377"/>
      <c r="F10" s="369"/>
      <c r="G10" s="365" t="s">
        <v>97</v>
      </c>
      <c r="H10" s="385">
        <f xml:space="preserve"> 'Ind. beg. Ambulant'!AY$46</f>
        <v>49.903347189125064</v>
      </c>
      <c r="I10" s="385">
        <f xml:space="preserve"> 'Ind. beg. Ambulant'!AY$46</f>
        <v>49.903347189125064</v>
      </c>
      <c r="J10" s="405" t="s">
        <v>232</v>
      </c>
      <c r="K10" s="412">
        <f xml:space="preserve"> 'Ind. beg. Ambulant'!AY$46</f>
        <v>49.903347189125064</v>
      </c>
      <c r="L10" s="388"/>
      <c r="M10" s="388"/>
      <c r="N10" s="405" t="s">
        <v>232</v>
      </c>
      <c r="O10" s="388"/>
      <c r="P10" s="402">
        <f xml:space="preserve"> Daginvulling!AF$56</f>
        <v>30.512636570396012</v>
      </c>
      <c r="Q10" s="402">
        <f xml:space="preserve"> Daginvulling!AJ$56</f>
        <v>44.484478631590406</v>
      </c>
      <c r="R10" s="387"/>
      <c r="S10" s="405" t="s">
        <v>232</v>
      </c>
      <c r="T10" s="405" t="s">
        <v>232</v>
      </c>
      <c r="U10" s="405" t="s">
        <v>232</v>
      </c>
      <c r="V10" s="405"/>
      <c r="W10" s="405" t="s">
        <v>232</v>
      </c>
      <c r="X10" s="405" t="s">
        <v>232</v>
      </c>
      <c r="Y10" s="405" t="s">
        <v>232</v>
      </c>
      <c r="Z10" s="371"/>
      <c r="AA10" s="371"/>
      <c r="AB10" s="395"/>
      <c r="AC10" s="490"/>
      <c r="AD10" s="366" t="s">
        <v>259</v>
      </c>
      <c r="AE10" s="369"/>
      <c r="AF10" s="552">
        <f xml:space="preserve"> N16</f>
        <v>56.59448961487287</v>
      </c>
      <c r="AG10" s="554">
        <f xml:space="preserve"> P$16</f>
        <v>34.03798337688054</v>
      </c>
      <c r="AH10" s="554">
        <f xml:space="preserve"> Q$16</f>
        <v>49.038026534561332</v>
      </c>
      <c r="AI10" s="553"/>
      <c r="AJ10" s="552">
        <f xml:space="preserve"> T$16</f>
        <v>30.160915915767436</v>
      </c>
      <c r="AK10" s="555">
        <f xml:space="preserve"> AK6</f>
        <v>49.131887022125596</v>
      </c>
      <c r="AL10" s="552">
        <f t="shared" ref="AL10:AN10" si="1" xml:space="preserve"> W$16</f>
        <v>7.1091222139076651</v>
      </c>
      <c r="AM10" s="552">
        <f t="shared" si="1"/>
        <v>14.21824442781533</v>
      </c>
      <c r="AN10" s="552">
        <f t="shared" si="1"/>
        <v>28.43648885563066</v>
      </c>
      <c r="AO10" s="395">
        <v>125.84</v>
      </c>
      <c r="AP10" s="394"/>
      <c r="AQ10" s="395">
        <v>171.95</v>
      </c>
    </row>
    <row r="11" spans="1:43" ht="14.4" customHeight="1" x14ac:dyDescent="0.35">
      <c r="A11" s="376"/>
      <c r="B11" s="376"/>
      <c r="C11" s="377"/>
      <c r="D11" s="377"/>
      <c r="E11" s="377"/>
      <c r="F11" s="369"/>
      <c r="G11" s="413"/>
      <c r="H11" s="410"/>
      <c r="I11" s="410"/>
      <c r="J11" s="410"/>
      <c r="K11" s="410"/>
      <c r="L11" s="410"/>
      <c r="M11" s="410"/>
      <c r="N11" s="410"/>
      <c r="O11" s="410"/>
      <c r="P11" s="410"/>
      <c r="Q11" s="410"/>
      <c r="R11" s="410"/>
      <c r="S11" s="493" t="s">
        <v>238</v>
      </c>
      <c r="T11" s="492"/>
      <c r="U11" s="409"/>
      <c r="V11" s="409"/>
      <c r="W11" s="409"/>
      <c r="X11" s="409"/>
      <c r="Y11" s="409"/>
      <c r="Z11" s="371"/>
      <c r="AA11" s="371"/>
      <c r="AB11" s="369"/>
      <c r="AC11" s="369"/>
      <c r="AD11" s="369"/>
      <c r="AE11" s="519" t="s">
        <v>275</v>
      </c>
      <c r="AF11" s="369"/>
      <c r="AG11" s="369"/>
      <c r="AH11" s="369"/>
      <c r="AI11" s="369"/>
      <c r="AJ11" s="369"/>
      <c r="AK11" s="369"/>
      <c r="AL11" s="369"/>
      <c r="AM11" s="369"/>
      <c r="AN11" s="369"/>
    </row>
    <row r="12" spans="1:43" x14ac:dyDescent="0.35">
      <c r="A12" s="376"/>
      <c r="B12" s="376"/>
      <c r="C12" s="377"/>
      <c r="D12" s="377"/>
      <c r="E12" s="377"/>
      <c r="F12" s="414" t="s">
        <v>137</v>
      </c>
      <c r="G12" s="415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5"/>
      <c r="T12" s="417"/>
      <c r="U12" s="417"/>
      <c r="V12" s="417"/>
      <c r="W12" s="417"/>
      <c r="X12" s="417"/>
      <c r="Y12" s="417"/>
      <c r="Z12" s="371"/>
      <c r="AA12" s="371"/>
      <c r="AB12" s="369"/>
      <c r="AC12" s="369"/>
      <c r="AO12" s="369"/>
      <c r="AP12" s="369"/>
    </row>
    <row r="13" spans="1:43" x14ac:dyDescent="0.35">
      <c r="A13" s="376"/>
      <c r="B13" s="376"/>
      <c r="C13" s="377"/>
      <c r="D13" s="377"/>
      <c r="E13" s="377"/>
      <c r="F13" s="369"/>
      <c r="G13" s="369"/>
      <c r="H13" s="410" t="s">
        <v>92</v>
      </c>
      <c r="I13" s="418" t="s">
        <v>95</v>
      </c>
      <c r="J13" s="418" t="s">
        <v>136</v>
      </c>
      <c r="K13" s="369"/>
      <c r="L13" s="410" t="s">
        <v>92</v>
      </c>
      <c r="M13" s="418" t="s">
        <v>95</v>
      </c>
      <c r="N13" s="418" t="s">
        <v>136</v>
      </c>
      <c r="O13" s="401"/>
      <c r="P13" s="410" t="s">
        <v>92</v>
      </c>
      <c r="Q13" s="418" t="s">
        <v>95</v>
      </c>
      <c r="R13" s="410"/>
      <c r="S13" s="410" t="s">
        <v>92</v>
      </c>
      <c r="T13" s="418" t="s">
        <v>95</v>
      </c>
      <c r="U13" s="419" t="s">
        <v>136</v>
      </c>
      <c r="V13" s="419"/>
      <c r="W13" s="410" t="s">
        <v>92</v>
      </c>
      <c r="X13" s="418" t="s">
        <v>95</v>
      </c>
      <c r="Y13" s="418" t="s">
        <v>136</v>
      </c>
      <c r="Z13" s="371"/>
      <c r="AA13" s="371"/>
      <c r="AB13" s="369"/>
      <c r="AC13" s="490"/>
      <c r="AD13" s="374" t="s">
        <v>277</v>
      </c>
      <c r="AE13" s="373"/>
      <c r="AF13" s="373"/>
      <c r="AG13" s="373"/>
      <c r="AH13" s="373"/>
      <c r="AI13" s="373"/>
      <c r="AJ13" s="373"/>
      <c r="AK13" s="373"/>
      <c r="AL13" s="373"/>
      <c r="AM13" s="373"/>
      <c r="AN13" s="373"/>
      <c r="AQ13" s="522"/>
    </row>
    <row r="14" spans="1:43" x14ac:dyDescent="0.35">
      <c r="B14" s="376"/>
      <c r="C14" s="377"/>
      <c r="D14" s="377"/>
      <c r="E14" s="485"/>
      <c r="F14" s="422"/>
      <c r="G14" s="491" t="s">
        <v>233</v>
      </c>
      <c r="H14" s="421">
        <v>0.6</v>
      </c>
      <c r="I14" s="421">
        <v>0.38</v>
      </c>
      <c r="J14" s="421">
        <v>0.02</v>
      </c>
      <c r="K14" s="420"/>
      <c r="L14" s="421">
        <v>0.6</v>
      </c>
      <c r="M14" s="421">
        <v>0.38</v>
      </c>
      <c r="N14" s="421">
        <v>0.02</v>
      </c>
      <c r="O14" s="422"/>
      <c r="P14" s="421">
        <v>0.8</v>
      </c>
      <c r="Q14" s="421">
        <v>0.2</v>
      </c>
      <c r="R14" s="420"/>
      <c r="S14" s="421">
        <v>0.75</v>
      </c>
      <c r="T14" s="421">
        <v>0.2</v>
      </c>
      <c r="U14" s="421">
        <v>0.05</v>
      </c>
      <c r="V14" s="421"/>
      <c r="W14" s="421">
        <v>0.75</v>
      </c>
      <c r="X14" s="421">
        <v>0.2</v>
      </c>
      <c r="Y14" s="421">
        <v>0.05</v>
      </c>
      <c r="Z14" s="370"/>
      <c r="AA14" s="370"/>
      <c r="AC14" s="369"/>
      <c r="AD14" s="383" t="s">
        <v>255</v>
      </c>
      <c r="AE14" s="384"/>
      <c r="AF14" s="383"/>
      <c r="AG14" s="383"/>
      <c r="AH14" s="383"/>
      <c r="AI14" s="383"/>
      <c r="AJ14" s="383"/>
      <c r="AK14" s="383"/>
      <c r="AL14" s="383"/>
      <c r="AM14" s="383"/>
      <c r="AN14" s="383"/>
      <c r="AQ14" s="369"/>
    </row>
    <row r="15" spans="1:43" x14ac:dyDescent="0.35">
      <c r="A15" s="376"/>
      <c r="B15" s="376"/>
      <c r="C15" s="377"/>
      <c r="D15" s="377"/>
      <c r="E15" s="377"/>
      <c r="F15" s="371"/>
      <c r="G15" s="369"/>
      <c r="H15" s="423"/>
      <c r="I15" s="423"/>
      <c r="J15" s="423"/>
      <c r="K15" s="369"/>
      <c r="L15" s="423"/>
      <c r="M15" s="423"/>
      <c r="N15" s="423"/>
      <c r="O15" s="371"/>
      <c r="P15" s="423"/>
      <c r="Q15" s="423"/>
      <c r="R15" s="369"/>
      <c r="S15" s="423"/>
      <c r="T15" s="423"/>
      <c r="U15" s="424"/>
      <c r="V15" s="424"/>
      <c r="W15" s="423"/>
      <c r="X15" s="423"/>
      <c r="Y15" s="423"/>
      <c r="Z15" s="371"/>
      <c r="AA15" s="371"/>
      <c r="AB15" s="369"/>
      <c r="AD15" s="369"/>
      <c r="AE15" s="392" t="s">
        <v>92</v>
      </c>
      <c r="AF15" s="408">
        <f xml:space="preserve"> N16</f>
        <v>56.59448961487287</v>
      </c>
      <c r="AG15" s="393">
        <f xml:space="preserve"> P$16</f>
        <v>34.03798337688054</v>
      </c>
      <c r="AH15" s="393">
        <f xml:space="preserve"> Q$16</f>
        <v>49.038026534561332</v>
      </c>
      <c r="AI15" s="395">
        <f xml:space="preserve"> S$16</f>
        <v>8.6142529922669233</v>
      </c>
      <c r="AJ15" s="395">
        <f xml:space="preserve"> T$16</f>
        <v>30.160915915767436</v>
      </c>
      <c r="AK15" s="395">
        <f xml:space="preserve"> U$16</f>
        <v>49.131887022125596</v>
      </c>
      <c r="AL15" s="395">
        <f xml:space="preserve"> W$16</f>
        <v>7.1091222139076651</v>
      </c>
      <c r="AM15" s="395">
        <f xml:space="preserve"> X$16</f>
        <v>14.21824442781533</v>
      </c>
      <c r="AN15" s="395">
        <f xml:space="preserve"> Y$16</f>
        <v>28.43648885563066</v>
      </c>
      <c r="AO15" s="369"/>
      <c r="AP15" s="369"/>
      <c r="AQ15" s="395"/>
    </row>
    <row r="16" spans="1:43" x14ac:dyDescent="0.35">
      <c r="B16" s="376"/>
      <c r="C16" s="377"/>
      <c r="D16" s="377"/>
      <c r="E16" s="419" t="s">
        <v>214</v>
      </c>
      <c r="F16" s="413"/>
      <c r="G16" s="371" t="s">
        <v>92</v>
      </c>
      <c r="H16" s="411">
        <f t="shared" ref="H16:I16" si="2" xml:space="preserve"> H6 * $H$14 + H9 * $I$14+ H8 * $J$14</f>
        <v>57.124848601744553</v>
      </c>
      <c r="I16" s="411">
        <f t="shared" si="2"/>
        <v>61.589965323098987</v>
      </c>
      <c r="J16" s="410"/>
      <c r="K16" s="411">
        <f xml:space="preserve"> K6 * $H$14 + K9 * $I$14+ K8 * $J$14</f>
        <v>60.103821712204528</v>
      </c>
      <c r="L16" s="410"/>
      <c r="M16" s="410"/>
      <c r="N16" s="411">
        <f xml:space="preserve"> N6 * L14 + N9 * M14 + N8 * N14</f>
        <v>56.59448961487287</v>
      </c>
      <c r="O16" s="410"/>
      <c r="P16" s="494">
        <f xml:space="preserve"> P6 * P14 + P9 * Q14</f>
        <v>34.03798337688054</v>
      </c>
      <c r="Q16" s="494">
        <f xml:space="preserve"> Q6 * P14 + Q9 * Q14</f>
        <v>49.038026534561332</v>
      </c>
      <c r="R16" s="411"/>
      <c r="S16" s="411">
        <f xml:space="preserve"> S6 * S14 + S9 * T14 + S8 * U14</f>
        <v>8.6142529922669233</v>
      </c>
      <c r="T16" s="411">
        <f xml:space="preserve"> T6 * S14 + T9 * T14 + T8 * U14</f>
        <v>30.160915915767436</v>
      </c>
      <c r="U16" s="411">
        <f xml:space="preserve"> U6 * S14 + U9 * T14 + U8 * U14</f>
        <v>49.131887022125596</v>
      </c>
      <c r="V16" s="411"/>
      <c r="W16" s="411">
        <f xml:space="preserve"> W6 * W14 + W9 * X14 + W8 * Y14</f>
        <v>7.1091222139076651</v>
      </c>
      <c r="X16" s="411">
        <f xml:space="preserve"> X6 * W14 + X9 * X14 + X8 * Y14</f>
        <v>14.21824442781533</v>
      </c>
      <c r="Y16" s="411">
        <f xml:space="preserve"> Y6 * W14 + Y9 * X14 + Y8 * Y14</f>
        <v>28.43648885563066</v>
      </c>
      <c r="Z16" s="370"/>
      <c r="AA16" s="370"/>
      <c r="AE16" s="392" t="s">
        <v>138</v>
      </c>
      <c r="AF16" s="408">
        <f xml:space="preserve"> N17</f>
        <v>48.729842051318393</v>
      </c>
      <c r="AG16" s="395">
        <f xml:space="preserve"> P$17</f>
        <v>32.639497044300292</v>
      </c>
      <c r="AH16" s="395">
        <f xml:space="preserve"> Q$17</f>
        <v>47.273681944556245</v>
      </c>
      <c r="AI16" s="393">
        <f xml:space="preserve"> S$17</f>
        <v>7.4504507527417241</v>
      </c>
      <c r="AJ16" s="393">
        <f xml:space="preserve"> T$17</f>
        <v>26.618738809356707</v>
      </c>
      <c r="AK16" s="393">
        <f xml:space="preserve"> U$17</f>
        <v>43.057532229665576</v>
      </c>
      <c r="AL16" s="393">
        <f xml:space="preserve"> W$17</f>
        <v>6.1754800161803036</v>
      </c>
      <c r="AM16" s="393">
        <f xml:space="preserve"> X$17</f>
        <v>12.350960032360607</v>
      </c>
      <c r="AN16" s="393">
        <f xml:space="preserve"> Y$17</f>
        <v>24.701920064721214</v>
      </c>
      <c r="AQ16" s="395"/>
    </row>
    <row r="17" spans="1:52" x14ac:dyDescent="0.35">
      <c r="B17" s="376"/>
      <c r="C17" s="377"/>
      <c r="D17" s="377"/>
      <c r="E17" s="419" t="s">
        <v>216</v>
      </c>
      <c r="F17" s="413"/>
      <c r="G17" s="425" t="s">
        <v>138</v>
      </c>
      <c r="H17" s="411">
        <f xml:space="preserve"> H7</f>
        <v>49.999031193407554</v>
      </c>
      <c r="I17" s="411">
        <f xml:space="preserve"> I7</f>
        <v>54.402639612262398</v>
      </c>
      <c r="J17" s="410"/>
      <c r="K17" s="411">
        <f xml:space="preserve"> K7</f>
        <v>50.879752877178525</v>
      </c>
      <c r="L17" s="401"/>
      <c r="M17" s="410"/>
      <c r="N17" s="411">
        <f xml:space="preserve"> N7</f>
        <v>48.729842051318393</v>
      </c>
      <c r="O17" s="410"/>
      <c r="P17" s="411">
        <f xml:space="preserve"> P7</f>
        <v>32.639497044300292</v>
      </c>
      <c r="Q17" s="411">
        <f xml:space="preserve"> Q7</f>
        <v>47.273681944556245</v>
      </c>
      <c r="R17" s="411"/>
      <c r="S17" s="411">
        <f t="shared" ref="S17:Y17" si="3" xml:space="preserve"> S7</f>
        <v>7.4504507527417241</v>
      </c>
      <c r="T17" s="411">
        <f t="shared" si="3"/>
        <v>26.618738809356707</v>
      </c>
      <c r="U17" s="411">
        <f t="shared" si="3"/>
        <v>43.057532229665576</v>
      </c>
      <c r="V17" s="411"/>
      <c r="W17" s="411">
        <f t="shared" si="3"/>
        <v>6.1754800161803036</v>
      </c>
      <c r="X17" s="411">
        <f t="shared" si="3"/>
        <v>12.350960032360607</v>
      </c>
      <c r="Y17" s="411">
        <f t="shared" si="3"/>
        <v>24.701920064721214</v>
      </c>
      <c r="Z17" s="369"/>
      <c r="AA17" s="369"/>
      <c r="AB17" s="369"/>
      <c r="AE17" s="369" t="s">
        <v>140</v>
      </c>
      <c r="AF17" s="392">
        <f xml:space="preserve"> N19</f>
        <v>61.599758328019163</v>
      </c>
      <c r="AG17" s="408">
        <f xml:space="preserve"> AG6</f>
        <v>34.03798337688054</v>
      </c>
      <c r="AH17" s="408">
        <f xml:space="preserve"> AH6</f>
        <v>49.038026534561332</v>
      </c>
      <c r="AI17" s="428">
        <f xml:space="preserve"> S$19</f>
        <v>8.7893107354369171</v>
      </c>
      <c r="AJ17" s="428">
        <f xml:space="preserve"> T$19</f>
        <v>29.255501360150028</v>
      </c>
      <c r="AK17" s="428">
        <f xml:space="preserve"> U$19</f>
        <v>47.68080273367854</v>
      </c>
      <c r="AL17" s="428">
        <f xml:space="preserve"> W$19</f>
        <v>6.7931774123117199</v>
      </c>
      <c r="AM17" s="428">
        <f xml:space="preserve"> X$19</f>
        <v>13.58635482462344</v>
      </c>
      <c r="AN17" s="428">
        <f xml:space="preserve"> Y$19</f>
        <v>27.17270964924688</v>
      </c>
      <c r="AQ17" s="428"/>
    </row>
    <row r="18" spans="1:52" x14ac:dyDescent="0.35">
      <c r="B18" s="376"/>
      <c r="C18" s="377"/>
      <c r="D18" s="377"/>
      <c r="E18" s="367" t="s">
        <v>215</v>
      </c>
      <c r="F18" s="413"/>
      <c r="G18" s="425" t="s">
        <v>139</v>
      </c>
      <c r="H18" s="411">
        <f xml:space="preserve"> H10</f>
        <v>49.903347189125064</v>
      </c>
      <c r="I18" s="426" t="s">
        <v>232</v>
      </c>
      <c r="J18" s="410"/>
      <c r="K18" s="411">
        <f xml:space="preserve"> K10</f>
        <v>49.903347189125064</v>
      </c>
      <c r="L18" s="401"/>
      <c r="M18" s="410"/>
      <c r="N18" s="426" t="str">
        <f xml:space="preserve"> N10</f>
        <v>n.v.t.</v>
      </c>
      <c r="O18" s="410"/>
      <c r="P18" s="411">
        <f xml:space="preserve"> P10</f>
        <v>30.512636570396012</v>
      </c>
      <c r="Q18" s="411">
        <f xml:space="preserve"> Q10</f>
        <v>44.484478631590406</v>
      </c>
      <c r="R18" s="411"/>
      <c r="S18" s="427" t="str">
        <f t="shared" ref="S18:Y18" si="4" xml:space="preserve"> S10</f>
        <v>n.v.t.</v>
      </c>
      <c r="T18" s="427" t="str">
        <f t="shared" si="4"/>
        <v>n.v.t.</v>
      </c>
      <c r="U18" s="427" t="str">
        <f t="shared" si="4"/>
        <v>n.v.t.</v>
      </c>
      <c r="V18" s="427"/>
      <c r="W18" s="427" t="str">
        <f t="shared" si="4"/>
        <v>n.v.t.</v>
      </c>
      <c r="X18" s="427" t="str">
        <f t="shared" si="4"/>
        <v>n.v.t.</v>
      </c>
      <c r="Y18" s="427" t="str">
        <f t="shared" si="4"/>
        <v>n.v.t.</v>
      </c>
      <c r="Z18" s="370"/>
      <c r="AA18" s="370"/>
      <c r="AC18" s="369"/>
      <c r="AD18" s="383" t="s">
        <v>256</v>
      </c>
      <c r="AE18" s="383"/>
      <c r="AF18" s="383"/>
      <c r="AG18" s="383"/>
      <c r="AH18" s="383"/>
      <c r="AI18" s="383"/>
      <c r="AJ18" s="383"/>
      <c r="AK18" s="383"/>
      <c r="AL18" s="383"/>
      <c r="AM18" s="383"/>
      <c r="AN18" s="383"/>
      <c r="AQ18" s="369"/>
    </row>
    <row r="19" spans="1:52" x14ac:dyDescent="0.35">
      <c r="E19" s="369"/>
      <c r="F19" s="413"/>
      <c r="G19" s="425" t="s">
        <v>140</v>
      </c>
      <c r="H19" s="411">
        <f xml:space="preserve"> H8</f>
        <v>67.081296019916834</v>
      </c>
      <c r="I19" s="411">
        <f xml:space="preserve"> I8</f>
        <v>67.081296019916834</v>
      </c>
      <c r="J19" s="401"/>
      <c r="K19" s="411">
        <f xml:space="preserve"> K8</f>
        <v>67.081296019916834</v>
      </c>
      <c r="L19" s="401"/>
      <c r="M19" s="401"/>
      <c r="N19" s="426">
        <f xml:space="preserve"> N8</f>
        <v>61.599758328019163</v>
      </c>
      <c r="O19" s="401"/>
      <c r="P19" s="426" t="str">
        <f xml:space="preserve"> P8</f>
        <v>n.v.t.</v>
      </c>
      <c r="Q19" s="426" t="str">
        <f xml:space="preserve"> Q8</f>
        <v>n.v.t.</v>
      </c>
      <c r="R19" s="426"/>
      <c r="S19" s="486">
        <f xml:space="preserve"> S$8</f>
        <v>8.7893107354369171</v>
      </c>
      <c r="T19" s="486">
        <f xml:space="preserve"> T$8</f>
        <v>29.255501360150028</v>
      </c>
      <c r="U19" s="486">
        <f xml:space="preserve"> U$8</f>
        <v>47.68080273367854</v>
      </c>
      <c r="V19" s="486"/>
      <c r="W19" s="429">
        <f xml:space="preserve"> W8</f>
        <v>6.7931774123117199</v>
      </c>
      <c r="X19" s="429">
        <f xml:space="preserve"> X8</f>
        <v>13.58635482462344</v>
      </c>
      <c r="Y19" s="429">
        <f xml:space="preserve"> Y8</f>
        <v>27.17270964924688</v>
      </c>
      <c r="AA19" s="371"/>
      <c r="AE19" s="392" t="s">
        <v>92</v>
      </c>
      <c r="AF19" s="393">
        <f xml:space="preserve"> K$16</f>
        <v>60.103821712204528</v>
      </c>
      <c r="AG19" s="430">
        <f xml:space="preserve"> P$16</f>
        <v>34.03798337688054</v>
      </c>
      <c r="AH19" s="430">
        <f xml:space="preserve"> Q$16</f>
        <v>49.038026534561332</v>
      </c>
      <c r="AI19" s="394"/>
      <c r="AJ19" s="394"/>
      <c r="AK19" s="394"/>
      <c r="AL19" s="394"/>
      <c r="AM19" s="394"/>
      <c r="AN19" s="394"/>
      <c r="AO19" s="369"/>
      <c r="AP19" s="369"/>
      <c r="AQ19" s="410"/>
    </row>
    <row r="20" spans="1:52" x14ac:dyDescent="0.35">
      <c r="F20" s="413"/>
      <c r="G20" s="425"/>
      <c r="H20" s="401"/>
      <c r="I20" s="401"/>
      <c r="J20" s="401"/>
      <c r="K20" s="401"/>
      <c r="L20" s="401"/>
      <c r="M20" s="401"/>
      <c r="N20" s="401"/>
      <c r="O20" s="401"/>
      <c r="P20" s="410"/>
      <c r="Q20" s="410"/>
      <c r="R20" s="410"/>
      <c r="S20" s="410"/>
      <c r="T20" s="410"/>
      <c r="U20" s="410"/>
      <c r="V20" s="410"/>
      <c r="W20" s="410"/>
      <c r="X20" s="410"/>
      <c r="Y20" s="410"/>
      <c r="Z20" s="370"/>
      <c r="AA20" s="370"/>
      <c r="AE20" s="392" t="s">
        <v>138</v>
      </c>
      <c r="AF20" s="393">
        <f xml:space="preserve"> K$17</f>
        <v>50.879752877178525</v>
      </c>
      <c r="AG20" s="396">
        <f xml:space="preserve"> P$17</f>
        <v>32.639497044300292</v>
      </c>
      <c r="AH20" s="396">
        <f xml:space="preserve"> Q$17</f>
        <v>47.273681944556245</v>
      </c>
      <c r="AI20" s="394"/>
      <c r="AJ20" s="394"/>
      <c r="AK20" s="394"/>
      <c r="AL20" s="394"/>
      <c r="AM20" s="394"/>
      <c r="AN20" s="394"/>
      <c r="AQ20" s="410"/>
    </row>
    <row r="21" spans="1:52" x14ac:dyDescent="0.35">
      <c r="A21" s="523"/>
      <c r="B21" s="523"/>
      <c r="C21" s="524"/>
      <c r="D21" s="524"/>
      <c r="E21" s="525"/>
      <c r="F21" s="413"/>
      <c r="G21" s="526"/>
      <c r="H21" s="401"/>
      <c r="I21" s="401"/>
      <c r="J21" s="401"/>
      <c r="K21" s="401"/>
      <c r="L21" s="401"/>
      <c r="M21" s="401"/>
      <c r="N21" s="401"/>
      <c r="O21" s="401"/>
      <c r="P21" s="410"/>
      <c r="Q21" s="410"/>
      <c r="R21" s="410"/>
      <c r="S21" s="410"/>
      <c r="T21" s="410"/>
      <c r="U21" s="410"/>
      <c r="V21" s="410"/>
      <c r="W21" s="410"/>
      <c r="X21" s="410"/>
      <c r="Y21" s="410"/>
      <c r="Z21" s="371"/>
      <c r="AA21" s="370"/>
      <c r="AB21" s="370"/>
      <c r="AD21" s="369"/>
      <c r="AE21" s="392" t="s">
        <v>252</v>
      </c>
      <c r="AF21" s="393">
        <f xml:space="preserve"> K$18</f>
        <v>49.903347189125064</v>
      </c>
      <c r="AG21" s="430">
        <f xml:space="preserve"> P$18</f>
        <v>30.512636570396012</v>
      </c>
      <c r="AH21" s="430">
        <f xml:space="preserve"> Q$18</f>
        <v>44.484478631590406</v>
      </c>
      <c r="AI21" s="394"/>
      <c r="AJ21" s="394"/>
      <c r="AK21" s="394"/>
      <c r="AL21" s="394"/>
      <c r="AM21" s="394"/>
      <c r="AN21" s="394"/>
      <c r="AQ21" s="410"/>
    </row>
    <row r="22" spans="1:52" x14ac:dyDescent="0.35">
      <c r="A22" s="523"/>
      <c r="B22" s="523"/>
      <c r="C22" s="524"/>
      <c r="D22" s="524"/>
      <c r="E22" s="525"/>
      <c r="F22" s="413"/>
      <c r="G22" s="526"/>
      <c r="H22" s="401"/>
      <c r="I22" s="401"/>
      <c r="J22" s="401"/>
      <c r="K22" s="401"/>
      <c r="L22" s="401"/>
      <c r="M22" s="401"/>
      <c r="N22" s="401"/>
      <c r="O22" s="401"/>
      <c r="P22" s="410"/>
      <c r="Q22" s="410"/>
      <c r="R22" s="410"/>
      <c r="S22" s="410"/>
      <c r="T22" s="410"/>
      <c r="U22" s="410"/>
      <c r="V22" s="410"/>
      <c r="W22" s="410"/>
      <c r="X22" s="410"/>
      <c r="Y22" s="410"/>
      <c r="Z22" s="371"/>
      <c r="AA22" s="371"/>
      <c r="AB22" s="371"/>
      <c r="AC22" s="369"/>
      <c r="AD22" s="369"/>
      <c r="AE22" s="366" t="s">
        <v>253</v>
      </c>
      <c r="AF22" s="393">
        <f xml:space="preserve"> K$19</f>
        <v>67.081296019916834</v>
      </c>
      <c r="AG22" s="394"/>
      <c r="AH22" s="394"/>
      <c r="AI22" s="394"/>
      <c r="AJ22" s="394"/>
      <c r="AK22" s="394"/>
      <c r="AL22" s="394"/>
      <c r="AM22" s="394"/>
      <c r="AN22" s="394"/>
      <c r="AO22" s="369"/>
      <c r="AP22" s="369"/>
      <c r="AQ22" s="410"/>
    </row>
    <row r="23" spans="1:52" x14ac:dyDescent="0.35">
      <c r="A23" s="523"/>
      <c r="B23" s="523"/>
      <c r="C23" s="524"/>
      <c r="D23" s="524"/>
      <c r="E23" s="524"/>
      <c r="F23" s="431"/>
      <c r="G23" s="425"/>
      <c r="H23" s="410"/>
      <c r="I23" s="410"/>
      <c r="J23" s="410"/>
      <c r="K23" s="432"/>
      <c r="L23" s="410"/>
      <c r="M23" s="410"/>
      <c r="N23" s="433"/>
      <c r="O23" s="410"/>
      <c r="P23" s="433"/>
      <c r="Q23" s="433"/>
      <c r="R23" s="434"/>
      <c r="S23" s="434"/>
      <c r="T23" s="435"/>
      <c r="U23" s="435"/>
      <c r="V23" s="435"/>
      <c r="W23" s="436"/>
      <c r="X23" s="371"/>
      <c r="Y23" s="410"/>
      <c r="Z23" s="371"/>
      <c r="AA23" s="370"/>
      <c r="AB23" s="370"/>
      <c r="AQ23" s="369"/>
    </row>
    <row r="24" spans="1:52" x14ac:dyDescent="0.35">
      <c r="A24" s="523"/>
      <c r="B24" s="523"/>
      <c r="C24" s="524"/>
      <c r="D24" s="524"/>
      <c r="E24" s="524"/>
      <c r="F24" s="431"/>
      <c r="G24" s="425"/>
      <c r="H24" s="410"/>
      <c r="I24" s="410"/>
      <c r="J24" s="410"/>
      <c r="K24" s="432"/>
      <c r="L24" s="410"/>
      <c r="M24" s="410"/>
      <c r="N24" s="433"/>
      <c r="O24" s="410"/>
      <c r="P24" s="433"/>
      <c r="Q24" s="433"/>
      <c r="R24" s="434"/>
      <c r="S24" s="434"/>
      <c r="T24" s="435"/>
      <c r="U24" s="435"/>
      <c r="V24" s="435"/>
      <c r="W24" s="436"/>
      <c r="X24" s="371"/>
      <c r="Y24" s="410"/>
      <c r="Z24" s="371"/>
      <c r="AA24" s="370"/>
      <c r="AB24" s="370"/>
      <c r="AD24" s="374" t="s">
        <v>254</v>
      </c>
      <c r="AE24" s="373"/>
      <c r="AF24" s="373"/>
      <c r="AG24" s="373"/>
      <c r="AH24" s="373"/>
      <c r="AI24" s="373"/>
      <c r="AJ24" s="373"/>
      <c r="AK24" s="373"/>
      <c r="AL24" s="373"/>
      <c r="AM24" s="373"/>
      <c r="AN24" s="373"/>
      <c r="AQ24" s="522"/>
    </row>
    <row r="25" spans="1:52" ht="15.6" customHeight="1" x14ac:dyDescent="0.35">
      <c r="A25" s="523"/>
      <c r="B25" s="523"/>
      <c r="C25" s="524"/>
      <c r="D25" s="524"/>
      <c r="E25" s="524"/>
      <c r="F25" s="431"/>
      <c r="G25" s="425"/>
      <c r="H25" s="410"/>
      <c r="I25" s="410"/>
      <c r="J25" s="410"/>
      <c r="K25" s="432"/>
      <c r="L25" s="410"/>
      <c r="M25" s="410"/>
      <c r="N25" s="433"/>
      <c r="O25" s="410"/>
      <c r="P25" s="433"/>
      <c r="Q25" s="433"/>
      <c r="R25" s="434"/>
      <c r="S25" s="434"/>
      <c r="T25" s="435"/>
      <c r="U25" s="435"/>
      <c r="V25" s="435"/>
      <c r="W25" s="436"/>
      <c r="X25" s="371"/>
      <c r="Y25" s="410"/>
      <c r="Z25" s="371"/>
      <c r="AA25" s="370"/>
      <c r="AB25" s="370"/>
      <c r="AC25" s="369"/>
      <c r="AD25" s="369"/>
      <c r="AE25" s="392" t="s">
        <v>257</v>
      </c>
      <c r="AF25" s="408"/>
      <c r="AG25" s="394"/>
      <c r="AH25" s="394"/>
      <c r="AI25" s="394"/>
      <c r="AJ25" s="394"/>
      <c r="AK25" s="430">
        <f>'Wonen - Sociaal beheer'!AG59+'Wonen - Sociaal beheer'!AG60</f>
        <v>39</v>
      </c>
      <c r="AL25" s="394"/>
      <c r="AM25" s="394"/>
      <c r="AN25" s="394"/>
      <c r="AQ25" s="410"/>
    </row>
    <row r="26" spans="1:52" x14ac:dyDescent="0.35">
      <c r="A26" s="523"/>
      <c r="B26" s="523"/>
      <c r="C26" s="524"/>
      <c r="D26" s="524"/>
      <c r="E26" s="524"/>
      <c r="F26" s="431"/>
      <c r="G26" s="425"/>
      <c r="H26" s="410"/>
      <c r="I26" s="410"/>
      <c r="J26" s="410"/>
      <c r="K26" s="432"/>
      <c r="L26" s="410"/>
      <c r="M26" s="410"/>
      <c r="N26" s="435"/>
      <c r="O26" s="410"/>
      <c r="P26" s="437"/>
      <c r="Q26" s="433"/>
      <c r="R26" s="434"/>
      <c r="S26" s="435"/>
      <c r="T26" s="435"/>
      <c r="U26" s="435"/>
      <c r="V26" s="435"/>
      <c r="W26" s="436"/>
      <c r="X26" s="371"/>
      <c r="Y26" s="410"/>
      <c r="Z26" s="371"/>
      <c r="AA26" s="370"/>
      <c r="AB26" s="370"/>
      <c r="AD26" s="369"/>
      <c r="AE26" s="392" t="s">
        <v>279</v>
      </c>
      <c r="AF26" s="394"/>
      <c r="AG26" s="572">
        <v>10</v>
      </c>
      <c r="AH26" s="573"/>
      <c r="AI26" s="394"/>
      <c r="AJ26" s="394"/>
      <c r="AK26" s="394"/>
      <c r="AL26" s="394"/>
      <c r="AM26" s="394"/>
      <c r="AN26" s="394"/>
      <c r="AQ26" s="410"/>
    </row>
    <row r="27" spans="1:52" x14ac:dyDescent="0.35">
      <c r="F27" s="431"/>
      <c r="G27" s="425"/>
      <c r="H27" s="410"/>
      <c r="I27" s="410"/>
      <c r="J27" s="410"/>
      <c r="K27" s="432"/>
      <c r="L27" s="410"/>
      <c r="M27" s="410"/>
      <c r="N27" s="435"/>
      <c r="O27" s="410"/>
      <c r="P27" s="437"/>
      <c r="Q27" s="433"/>
      <c r="R27" s="434"/>
      <c r="S27" s="435"/>
      <c r="T27" s="435"/>
      <c r="U27" s="435"/>
      <c r="V27" s="435"/>
      <c r="W27" s="436"/>
      <c r="X27" s="366"/>
      <c r="Y27" s="410"/>
      <c r="Z27" s="370"/>
      <c r="AA27" s="370"/>
      <c r="AB27" s="370"/>
      <c r="AD27" s="369"/>
      <c r="AE27" s="392" t="s">
        <v>278</v>
      </c>
      <c r="AF27" s="394"/>
      <c r="AG27" s="573">
        <v>22.5</v>
      </c>
      <c r="AH27" s="573"/>
      <c r="AI27" s="394"/>
      <c r="AJ27" s="394"/>
      <c r="AK27" s="394"/>
      <c r="AL27" s="394"/>
      <c r="AM27" s="394"/>
      <c r="AN27" s="394"/>
      <c r="AQ27" s="410"/>
    </row>
    <row r="28" spans="1:52" x14ac:dyDescent="0.35">
      <c r="F28" s="413"/>
      <c r="G28" s="425"/>
      <c r="H28" s="410"/>
      <c r="I28" s="401"/>
      <c r="J28" s="401"/>
      <c r="K28" s="401"/>
      <c r="L28" s="410"/>
      <c r="M28" s="401"/>
      <c r="N28" s="401"/>
      <c r="O28" s="401"/>
      <c r="P28" s="410"/>
      <c r="Q28" s="410"/>
      <c r="R28" s="410"/>
      <c r="S28" s="410"/>
      <c r="T28" s="410"/>
      <c r="U28" s="410"/>
      <c r="V28" s="410"/>
      <c r="W28" s="410"/>
      <c r="X28" s="410"/>
      <c r="Y28" s="410"/>
      <c r="Z28" s="370"/>
      <c r="AA28" s="370"/>
      <c r="AB28" s="370"/>
      <c r="AE28" s="408"/>
      <c r="AF28" s="410"/>
      <c r="AG28" s="574"/>
      <c r="AH28" s="574"/>
      <c r="AI28" s="410"/>
      <c r="AJ28" s="410"/>
      <c r="AK28" s="410"/>
      <c r="AL28" s="410"/>
      <c r="AM28" s="410"/>
      <c r="AN28" s="410"/>
      <c r="AO28" s="369"/>
      <c r="AP28" s="369"/>
      <c r="AQ28" s="410"/>
    </row>
    <row r="29" spans="1:52" x14ac:dyDescent="0.35">
      <c r="F29" s="413"/>
      <c r="G29" s="425"/>
      <c r="H29" s="410"/>
      <c r="I29" s="401"/>
      <c r="J29" s="401"/>
      <c r="K29" s="401"/>
      <c r="L29" s="410"/>
      <c r="M29" s="401"/>
      <c r="N29" s="401"/>
      <c r="O29" s="401"/>
      <c r="P29" s="410"/>
      <c r="Q29" s="410"/>
      <c r="R29" s="410"/>
      <c r="S29" s="410"/>
      <c r="T29" s="410"/>
      <c r="U29" s="410"/>
      <c r="V29" s="410"/>
      <c r="W29" s="410"/>
      <c r="X29" s="410"/>
      <c r="Y29" s="410"/>
      <c r="Z29" s="370"/>
      <c r="AA29" s="370"/>
      <c r="AB29" s="370"/>
      <c r="AE29" s="408"/>
      <c r="AF29" s="410"/>
      <c r="AG29" s="574"/>
      <c r="AH29" s="574"/>
      <c r="AI29" s="410"/>
      <c r="AJ29" s="410"/>
      <c r="AK29" s="410"/>
      <c r="AL29" s="410"/>
      <c r="AM29" s="410"/>
      <c r="AN29" s="410"/>
      <c r="AO29" s="369"/>
      <c r="AP29" s="369"/>
      <c r="AQ29" s="410"/>
    </row>
    <row r="30" spans="1:52" ht="15.6" thickBot="1" x14ac:dyDescent="0.4">
      <c r="A30" s="438"/>
      <c r="B30" s="438"/>
      <c r="C30" s="439"/>
      <c r="D30" s="439"/>
      <c r="E30" s="439"/>
      <c r="F30" s="440"/>
      <c r="G30" s="441" t="s">
        <v>234</v>
      </c>
      <c r="H30" s="442"/>
      <c r="I30" s="442"/>
      <c r="J30" s="442"/>
      <c r="K30" s="443" t="s">
        <v>151</v>
      </c>
      <c r="L30" s="443"/>
      <c r="M30" s="443"/>
      <c r="N30" s="443" t="s">
        <v>152</v>
      </c>
      <c r="O30" s="443"/>
      <c r="P30" s="488" t="s">
        <v>153</v>
      </c>
      <c r="Q30" s="488" t="s">
        <v>154</v>
      </c>
      <c r="R30" s="440"/>
      <c r="S30" s="440"/>
      <c r="T30" s="440"/>
      <c r="U30" s="440"/>
      <c r="V30" s="440"/>
      <c r="W30" s="440"/>
      <c r="X30" s="440"/>
      <c r="Y30" s="440"/>
      <c r="Z30" s="383"/>
      <c r="AA30" s="383"/>
      <c r="AB30" s="383"/>
      <c r="AC30" s="383"/>
      <c r="AD30" s="383"/>
      <c r="AE30" s="383"/>
      <c r="AF30" s="383"/>
      <c r="AG30" s="383"/>
      <c r="AH30" s="383"/>
      <c r="AI30" s="383"/>
      <c r="AJ30" s="383"/>
      <c r="AK30" s="383"/>
      <c r="AL30" s="383"/>
      <c r="AM30" s="383"/>
      <c r="AN30" s="383"/>
      <c r="AO30" s="369"/>
      <c r="AP30" s="369"/>
      <c r="AQ30" s="369"/>
    </row>
    <row r="31" spans="1:52" x14ac:dyDescent="0.35">
      <c r="F31" s="444"/>
      <c r="G31" s="367" t="s">
        <v>157</v>
      </c>
      <c r="H31" s="410"/>
      <c r="I31" s="410"/>
      <c r="J31" s="410"/>
      <c r="K31" s="435">
        <f xml:space="preserve"> 48 / 1.0185</f>
        <v>47.12812960235641</v>
      </c>
      <c r="L31" s="410"/>
      <c r="M31" s="410"/>
      <c r="N31" s="435">
        <f xml:space="preserve"> 66.6 / 1.0185</f>
        <v>65.390279823269509</v>
      </c>
      <c r="O31" s="410"/>
      <c r="P31" s="435" t="s">
        <v>158</v>
      </c>
      <c r="Q31" s="489" t="s">
        <v>159</v>
      </c>
      <c r="R31" s="410"/>
      <c r="S31" s="409"/>
      <c r="T31" s="409"/>
      <c r="U31" s="409"/>
      <c r="V31" s="409"/>
      <c r="W31" s="409"/>
      <c r="X31" s="409"/>
      <c r="Y31" s="409"/>
      <c r="Z31" s="370"/>
      <c r="AA31" s="370"/>
      <c r="AB31" s="370"/>
      <c r="AS31" s="539" t="s">
        <v>265</v>
      </c>
      <c r="AT31" s="540">
        <v>2020</v>
      </c>
      <c r="AU31" s="540">
        <f>AT31+1</f>
        <v>2021</v>
      </c>
      <c r="AV31" s="540">
        <f>AU31+1</f>
        <v>2022</v>
      </c>
      <c r="AW31" s="541">
        <f>AV31+1</f>
        <v>2023</v>
      </c>
      <c r="AX31" s="366"/>
      <c r="AY31" s="539" t="s">
        <v>281</v>
      </c>
      <c r="AZ31" s="541"/>
    </row>
    <row r="32" spans="1:52" ht="30" customHeight="1" x14ac:dyDescent="0.35">
      <c r="F32" s="444"/>
      <c r="G32" s="367"/>
      <c r="H32" s="410"/>
      <c r="I32" s="410"/>
      <c r="J32" s="410"/>
      <c r="K32" s="435"/>
      <c r="L32" s="410"/>
      <c r="M32" s="410"/>
      <c r="N32" s="435"/>
      <c r="O32" s="410"/>
      <c r="P32" s="435"/>
      <c r="Q32" s="489"/>
      <c r="R32" s="410"/>
      <c r="S32" s="409"/>
      <c r="T32" s="409"/>
      <c r="U32" s="409"/>
      <c r="V32" s="409"/>
      <c r="W32" s="409"/>
      <c r="X32" s="409"/>
      <c r="Y32" s="409"/>
      <c r="Z32" s="370"/>
      <c r="AA32" s="370"/>
      <c r="AB32" s="370"/>
      <c r="AS32" s="547"/>
      <c r="AT32" s="560" t="s">
        <v>267</v>
      </c>
      <c r="AU32" s="560" t="s">
        <v>268</v>
      </c>
      <c r="AV32" s="560" t="s">
        <v>282</v>
      </c>
      <c r="AW32" s="561" t="s">
        <v>283</v>
      </c>
      <c r="AX32" s="366"/>
      <c r="AY32" s="562" t="s">
        <v>266</v>
      </c>
      <c r="AZ32" s="563" t="s">
        <v>270</v>
      </c>
    </row>
    <row r="33" spans="1:52" x14ac:dyDescent="0.35">
      <c r="F33" s="444"/>
      <c r="G33" s="367"/>
      <c r="H33" s="410"/>
      <c r="I33" s="410"/>
      <c r="J33" s="410"/>
      <c r="K33" s="435"/>
      <c r="L33" s="410"/>
      <c r="M33" s="410"/>
      <c r="N33" s="435"/>
      <c r="O33" s="410"/>
      <c r="P33" s="435"/>
      <c r="Q33" s="489"/>
      <c r="R33" s="410"/>
      <c r="S33" s="409"/>
      <c r="T33" s="409"/>
      <c r="U33" s="409"/>
      <c r="V33" s="409"/>
      <c r="W33" s="409"/>
      <c r="X33" s="409"/>
      <c r="Y33" s="409"/>
      <c r="Z33" s="370"/>
      <c r="AA33" s="370"/>
      <c r="AB33" s="370"/>
      <c r="AS33" s="542" t="s">
        <v>260</v>
      </c>
      <c r="AT33" s="564" t="s">
        <v>284</v>
      </c>
      <c r="AU33" s="544">
        <v>2.01E-2</v>
      </c>
      <c r="AV33" s="544">
        <v>3.8699999999999998E-2</v>
      </c>
      <c r="AW33" s="557" t="s">
        <v>269</v>
      </c>
      <c r="AX33" s="366"/>
      <c r="AY33" s="548">
        <v>0.9</v>
      </c>
      <c r="AZ33" s="545">
        <v>0.1</v>
      </c>
    </row>
    <row r="34" spans="1:52" ht="15.6" thickBot="1" x14ac:dyDescent="0.4">
      <c r="F34" s="444"/>
      <c r="G34" s="367"/>
      <c r="H34" s="410"/>
      <c r="I34" s="410"/>
      <c r="J34" s="410"/>
      <c r="K34" s="435"/>
      <c r="L34" s="410"/>
      <c r="M34" s="410"/>
      <c r="N34" s="435"/>
      <c r="O34" s="410"/>
      <c r="P34" s="435"/>
      <c r="Q34" s="489"/>
      <c r="R34" s="410"/>
      <c r="S34" s="409"/>
      <c r="T34" s="409"/>
      <c r="U34" s="409"/>
      <c r="V34" s="409"/>
      <c r="W34" s="409"/>
      <c r="X34" s="409"/>
      <c r="Y34" s="409"/>
      <c r="Z34" s="370"/>
      <c r="AA34" s="370"/>
      <c r="AB34" s="370"/>
      <c r="AS34" s="542" t="s">
        <v>286</v>
      </c>
      <c r="AT34" s="564" t="s">
        <v>284</v>
      </c>
      <c r="AU34" s="544">
        <v>2.8000000000000001E-2</v>
      </c>
      <c r="AV34" s="544">
        <v>5.8999999999999997E-2</v>
      </c>
      <c r="AW34" s="557" t="s">
        <v>269</v>
      </c>
      <c r="AX34" s="366"/>
      <c r="AY34" s="549">
        <v>0.7</v>
      </c>
      <c r="AZ34" s="546">
        <v>0.3</v>
      </c>
    </row>
    <row r="35" spans="1:52" x14ac:dyDescent="0.35">
      <c r="F35" s="444"/>
      <c r="G35" s="425"/>
      <c r="H35" s="410"/>
      <c r="I35" s="410"/>
      <c r="J35" s="410"/>
      <c r="K35" s="435"/>
      <c r="L35" s="410"/>
      <c r="M35" s="410"/>
      <c r="N35" s="435"/>
      <c r="O35" s="410"/>
      <c r="P35" s="435"/>
      <c r="Q35" s="435"/>
      <c r="R35" s="410"/>
      <c r="S35" s="410"/>
      <c r="T35" s="410"/>
      <c r="U35" s="410"/>
      <c r="V35" s="410"/>
      <c r="W35" s="410"/>
      <c r="X35" s="369"/>
      <c r="Y35" s="369"/>
      <c r="Z35" s="369"/>
      <c r="AA35" s="370"/>
      <c r="AB35" s="370"/>
      <c r="AM35" s="369"/>
      <c r="AS35" s="533" t="s">
        <v>272</v>
      </c>
      <c r="AT35" s="534">
        <v>0</v>
      </c>
      <c r="AU35" s="535">
        <f xml:space="preserve"> AU33 * $AY$33 + AU34 * $AZ$33</f>
        <v>2.0890000000000002E-2</v>
      </c>
      <c r="AV35" s="535">
        <f xml:space="preserve"> AV33 * $AY$33 + AV34 * $AZ$33</f>
        <v>4.0730000000000002E-2</v>
      </c>
      <c r="AW35" s="550" t="s">
        <v>269</v>
      </c>
    </row>
    <row r="36" spans="1:52" s="371" customFormat="1" ht="14.4" customHeight="1" thickBot="1" x14ac:dyDescent="0.4">
      <c r="A36" s="363"/>
      <c r="B36" s="363"/>
      <c r="C36" s="364"/>
      <c r="D36" s="364"/>
      <c r="E36" s="364"/>
      <c r="F36" s="365"/>
      <c r="G36" s="366"/>
      <c r="H36" s="367"/>
      <c r="I36" s="367"/>
      <c r="J36" s="367"/>
      <c r="K36" s="367"/>
      <c r="L36" s="367"/>
      <c r="M36" s="367"/>
      <c r="N36" s="367"/>
      <c r="O36" s="367"/>
      <c r="P36" s="367"/>
      <c r="Q36" s="367"/>
      <c r="R36" s="367"/>
      <c r="S36" s="368"/>
      <c r="T36" s="368"/>
      <c r="U36" s="368"/>
      <c r="V36" s="368"/>
      <c r="W36" s="368"/>
      <c r="X36" s="368"/>
      <c r="Y36" s="368"/>
      <c r="Z36" s="366"/>
      <c r="AA36" s="366"/>
      <c r="AB36" s="366"/>
      <c r="AM36" s="366"/>
      <c r="AN36" s="366"/>
      <c r="AO36" s="366"/>
      <c r="AP36" s="366"/>
      <c r="AQ36" s="366"/>
      <c r="AS36" s="536" t="s">
        <v>271</v>
      </c>
      <c r="AT36" s="537">
        <v>0</v>
      </c>
      <c r="AU36" s="538">
        <f xml:space="preserve"> AU34 * $AY$34 + AU33 * $AZ$34</f>
        <v>2.563E-2</v>
      </c>
      <c r="AV36" s="538">
        <f xml:space="preserve"> AV34 * $AY$34 + AV33 * $AZ$34</f>
        <v>5.2909999999999999E-2</v>
      </c>
      <c r="AW36" s="551" t="s">
        <v>269</v>
      </c>
      <c r="AX36" s="366"/>
      <c r="AY36" s="366"/>
      <c r="AZ36" s="366"/>
    </row>
    <row r="37" spans="1:52" s="371" customFormat="1" ht="14.4" customHeight="1" x14ac:dyDescent="0.35">
      <c r="A37" s="376"/>
      <c r="B37" s="376"/>
      <c r="C37" s="377"/>
      <c r="D37" s="377"/>
      <c r="E37" s="377"/>
      <c r="F37" s="398"/>
      <c r="G37" s="36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92"/>
      <c r="T37" s="492"/>
      <c r="U37" s="492"/>
      <c r="V37" s="492"/>
      <c r="W37" s="492"/>
      <c r="X37" s="492"/>
      <c r="Y37" s="492"/>
      <c r="Z37" s="369"/>
      <c r="AA37" s="369"/>
      <c r="AB37" s="369"/>
      <c r="AE37" s="543"/>
      <c r="AF37" s="558"/>
      <c r="AG37" s="544"/>
      <c r="AH37" s="544"/>
      <c r="AI37" s="559"/>
      <c r="AJ37" s="369"/>
      <c r="AK37" s="369"/>
      <c r="AL37" s="369"/>
      <c r="AM37" s="369"/>
      <c r="AN37" s="369"/>
      <c r="AO37" s="369"/>
      <c r="AP37" s="369"/>
      <c r="AQ37" s="369"/>
      <c r="AS37" s="371" t="s">
        <v>285</v>
      </c>
    </row>
    <row r="38" spans="1:52" s="371" customFormat="1" ht="60.6" customHeight="1" thickBot="1" x14ac:dyDescent="0.4">
      <c r="A38" s="445"/>
      <c r="B38" s="445"/>
      <c r="C38" s="446"/>
      <c r="D38" s="446"/>
      <c r="E38" s="447" t="s">
        <v>291</v>
      </c>
      <c r="F38" s="448"/>
      <c r="G38" s="447"/>
      <c r="H38" s="416"/>
      <c r="I38" s="449"/>
      <c r="J38" s="449"/>
      <c r="K38" s="450"/>
      <c r="L38" s="416"/>
      <c r="M38" s="449"/>
      <c r="N38" s="451"/>
      <c r="O38" s="449"/>
      <c r="P38" s="450"/>
      <c r="Q38" s="450"/>
      <c r="R38" s="416"/>
      <c r="S38" s="416"/>
      <c r="T38" s="416"/>
      <c r="U38" s="416"/>
      <c r="V38" s="416"/>
      <c r="W38" s="416"/>
      <c r="X38" s="416"/>
      <c r="Y38" s="416"/>
      <c r="Z38" s="415"/>
      <c r="AA38" s="453"/>
      <c r="AB38" s="415"/>
      <c r="AC38" s="415"/>
      <c r="AD38" s="565" t="s">
        <v>290</v>
      </c>
      <c r="AE38" s="416"/>
      <c r="AF38" s="416"/>
      <c r="AG38" s="416"/>
      <c r="AH38" s="416"/>
      <c r="AI38" s="416"/>
      <c r="AJ38" s="416"/>
      <c r="AK38" s="416"/>
      <c r="AL38" s="416"/>
      <c r="AM38" s="416"/>
      <c r="AN38" s="416"/>
      <c r="AO38" s="416"/>
      <c r="AP38" s="416"/>
      <c r="AQ38" s="416"/>
      <c r="AS38" s="567" t="s">
        <v>287</v>
      </c>
      <c r="AT38" s="567"/>
      <c r="AU38" s="567"/>
      <c r="AV38" s="567"/>
      <c r="AW38" s="567"/>
      <c r="AX38" s="567"/>
      <c r="AY38" s="567"/>
      <c r="AZ38" s="567"/>
    </row>
    <row r="39" spans="1:52" x14ac:dyDescent="0.35">
      <c r="A39" s="370"/>
      <c r="B39" s="370"/>
      <c r="C39" s="370"/>
      <c r="D39" s="370"/>
      <c r="E39" s="495"/>
      <c r="F39" s="495"/>
      <c r="G39" s="495" t="s">
        <v>162</v>
      </c>
      <c r="H39" s="458" t="s">
        <v>172</v>
      </c>
      <c r="I39" s="496" t="s">
        <v>173</v>
      </c>
      <c r="J39" s="459"/>
      <c r="K39" s="459"/>
      <c r="L39" s="459"/>
      <c r="M39" s="459"/>
      <c r="N39" s="459"/>
      <c r="O39" s="459"/>
      <c r="P39" s="501"/>
      <c r="Q39" s="502"/>
      <c r="R39" s="370"/>
      <c r="S39" s="370"/>
      <c r="T39" s="370"/>
      <c r="U39" s="372"/>
      <c r="V39" s="372"/>
      <c r="W39" s="372"/>
      <c r="X39" s="372"/>
      <c r="Y39" s="372"/>
      <c r="Z39" s="370"/>
      <c r="AA39" s="370"/>
      <c r="AB39" s="370"/>
      <c r="AC39" s="370"/>
      <c r="AD39" s="373" t="s">
        <v>274</v>
      </c>
      <c r="AE39" s="373"/>
      <c r="AF39" s="532" t="s">
        <v>155</v>
      </c>
      <c r="AG39" s="374" t="s">
        <v>67</v>
      </c>
      <c r="AH39" s="373"/>
      <c r="AI39" s="374" t="s">
        <v>168</v>
      </c>
      <c r="AJ39" s="373"/>
      <c r="AK39" s="373"/>
      <c r="AL39" s="374" t="s">
        <v>169</v>
      </c>
      <c r="AM39" s="373"/>
      <c r="AN39" s="373"/>
      <c r="AO39" s="571" t="s">
        <v>280</v>
      </c>
      <c r="AP39" s="571"/>
      <c r="AQ39" s="571"/>
    </row>
    <row r="40" spans="1:52" ht="41.4" customHeight="1" x14ac:dyDescent="0.35">
      <c r="A40" s="370"/>
      <c r="B40" s="370"/>
      <c r="C40" s="370"/>
      <c r="D40" s="370"/>
      <c r="E40" s="495"/>
      <c r="F40" s="495"/>
      <c r="G40" s="495"/>
      <c r="H40" s="497">
        <v>-2020</v>
      </c>
      <c r="I40" s="498" t="s">
        <v>242</v>
      </c>
      <c r="J40" s="498" t="s">
        <v>241</v>
      </c>
      <c r="K40" s="498" t="s">
        <v>239</v>
      </c>
      <c r="L40" s="575" t="s">
        <v>179</v>
      </c>
      <c r="M40" s="575"/>
      <c r="N40" s="575" t="s">
        <v>171</v>
      </c>
      <c r="O40" s="575"/>
      <c r="P40" s="576" t="s">
        <v>251</v>
      </c>
      <c r="Q40" s="577"/>
      <c r="R40" s="370"/>
      <c r="S40" s="370"/>
      <c r="T40" s="370"/>
      <c r="U40" s="372"/>
      <c r="V40" s="372"/>
      <c r="W40" s="372"/>
      <c r="X40" s="372"/>
      <c r="Y40" s="372"/>
      <c r="Z40" s="370"/>
      <c r="AA40" s="370"/>
      <c r="AB40" s="370"/>
      <c r="AC40" s="370"/>
      <c r="AD40" s="374" t="s">
        <v>170</v>
      </c>
      <c r="AE40" s="373"/>
      <c r="AF40" s="556"/>
      <c r="AG40" s="556" t="s">
        <v>131</v>
      </c>
      <c r="AH40" s="556" t="s">
        <v>167</v>
      </c>
      <c r="AI40" s="375" t="s">
        <v>183</v>
      </c>
      <c r="AJ40" s="375" t="s">
        <v>276</v>
      </c>
      <c r="AK40" s="375" t="s">
        <v>187</v>
      </c>
      <c r="AL40" s="375" t="s">
        <v>184</v>
      </c>
      <c r="AM40" s="375" t="s">
        <v>185</v>
      </c>
      <c r="AN40" s="375" t="s">
        <v>186</v>
      </c>
      <c r="AO40" s="531" t="s">
        <v>261</v>
      </c>
      <c r="AP40" s="531" t="s">
        <v>262</v>
      </c>
      <c r="AQ40" s="531" t="s">
        <v>288</v>
      </c>
    </row>
    <row r="41" spans="1:52" ht="15" customHeight="1" x14ac:dyDescent="0.35">
      <c r="A41" s="371"/>
      <c r="B41" s="371"/>
      <c r="C41" s="371"/>
      <c r="D41" s="371"/>
      <c r="E41" s="508"/>
      <c r="F41" s="508"/>
      <c r="G41" s="508"/>
      <c r="H41" s="509"/>
      <c r="I41" s="513" t="s">
        <v>244</v>
      </c>
      <c r="J41" s="514" t="s">
        <v>245</v>
      </c>
      <c r="K41" s="514" t="s">
        <v>249</v>
      </c>
      <c r="L41" s="513" t="s">
        <v>246</v>
      </c>
      <c r="M41" s="514" t="s">
        <v>247</v>
      </c>
      <c r="N41" s="514" t="s">
        <v>240</v>
      </c>
      <c r="O41" s="510"/>
      <c r="P41" s="511"/>
      <c r="Q41" s="512"/>
      <c r="R41" s="371"/>
      <c r="S41" s="371"/>
      <c r="T41" s="371"/>
      <c r="U41" s="507"/>
      <c r="V41" s="507"/>
      <c r="W41" s="507"/>
      <c r="X41" s="507"/>
      <c r="Y41" s="507"/>
      <c r="Z41" s="371"/>
      <c r="AA41" s="371"/>
      <c r="AB41" s="371"/>
      <c r="AC41" s="371"/>
      <c r="AD41" s="415" t="s">
        <v>166</v>
      </c>
      <c r="AE41" s="415"/>
      <c r="AF41" s="521"/>
      <c r="AG41" s="415"/>
      <c r="AH41" s="415"/>
      <c r="AI41" s="415"/>
      <c r="AJ41" s="415"/>
      <c r="AK41" s="415"/>
      <c r="AL41" s="415"/>
      <c r="AM41" s="415"/>
      <c r="AN41" s="415"/>
      <c r="AO41" s="415"/>
      <c r="AP41" s="415"/>
      <c r="AQ41" s="415"/>
    </row>
    <row r="42" spans="1:52" x14ac:dyDescent="0.35">
      <c r="G42" s="454" t="s">
        <v>160</v>
      </c>
      <c r="H42" s="452">
        <v>101.08983799705449</v>
      </c>
      <c r="I42" s="500">
        <f xml:space="preserve"> T16</f>
        <v>30.160915915767436</v>
      </c>
      <c r="J42" s="452">
        <f xml:space="preserve"> X16</f>
        <v>14.21824442781533</v>
      </c>
      <c r="K42" s="452">
        <f xml:space="preserve"> H42 - I42 - J42</f>
        <v>56.710677653471727</v>
      </c>
      <c r="L42" s="517">
        <f xml:space="preserve"> 56 / 24</f>
        <v>2.3333333333333335</v>
      </c>
      <c r="M42" s="499">
        <f xml:space="preserve"> 59.5 / 48</f>
        <v>1.2395833333333333</v>
      </c>
      <c r="N42" s="499">
        <f xml:space="preserve"> K42 / N16 * 7</f>
        <v>7.0143709445164468</v>
      </c>
      <c r="O42" s="369"/>
      <c r="P42" s="505">
        <f xml:space="preserve"> SUM(L42:N42)</f>
        <v>10.587287611183115</v>
      </c>
      <c r="Q42" s="503" t="s">
        <v>156</v>
      </c>
      <c r="AE42" s="366" t="s">
        <v>92</v>
      </c>
      <c r="AF42" s="392">
        <f xml:space="preserve"> AF6 * ( 1 + $AU$35) * (1 + $AV$35)</f>
        <v>60.129995469451806</v>
      </c>
      <c r="AG42" s="392">
        <f xml:space="preserve"> AG6 * ( 1 + $AU$36 ) * ( 1 + $AV$36)</f>
        <v>36.757484932123802</v>
      </c>
      <c r="AH42" s="392">
        <f xml:space="preserve"> AH6 * ( 1 + $AU$36 ) * ( 1 + $AV$36 )</f>
        <v>52.955972787434256</v>
      </c>
      <c r="AI42" s="394"/>
      <c r="AJ42" s="392">
        <f t="shared" ref="AJ42:AN44" si="5" xml:space="preserve"> AJ6 * ( 1 + $AU$36 ) * ( 1 + $AV$36 )</f>
        <v>32.570654966177891</v>
      </c>
      <c r="AK42" s="392">
        <f t="shared" si="5"/>
        <v>53.057332360331536</v>
      </c>
      <c r="AL42" s="392">
        <f t="shared" si="5"/>
        <v>7.6771132344999122</v>
      </c>
      <c r="AM42" s="392">
        <f t="shared" si="5"/>
        <v>15.354226468999824</v>
      </c>
      <c r="AN42" s="392">
        <f t="shared" si="5"/>
        <v>30.708452937999649</v>
      </c>
      <c r="AO42" s="394"/>
      <c r="AP42" s="394"/>
      <c r="AQ42" s="394"/>
    </row>
    <row r="43" spans="1:52" x14ac:dyDescent="0.35">
      <c r="G43" s="454"/>
      <c r="H43" s="452">
        <v>101.08983799705449</v>
      </c>
      <c r="I43" s="500">
        <f xml:space="preserve"> U16</f>
        <v>49.131887022125596</v>
      </c>
      <c r="J43" s="452">
        <f>X16</f>
        <v>14.21824442781533</v>
      </c>
      <c r="K43" s="452">
        <f xml:space="preserve"> H43 - I43 - J43</f>
        <v>37.739706547113563</v>
      </c>
      <c r="L43" s="517">
        <f xml:space="preserve"> 109 / 24</f>
        <v>4.541666666666667</v>
      </c>
      <c r="M43" s="499">
        <f t="shared" ref="M43:M44" si="6" xml:space="preserve"> 59.5 / 48</f>
        <v>1.2395833333333333</v>
      </c>
      <c r="N43" s="499">
        <f xml:space="preserve"> K43 / N16 * 7</f>
        <v>4.6679093252281891</v>
      </c>
      <c r="O43" s="369"/>
      <c r="P43" s="505">
        <f xml:space="preserve"> SUM(L43:N43)</f>
        <v>10.449159325228189</v>
      </c>
      <c r="Q43" s="503" t="s">
        <v>156</v>
      </c>
      <c r="AD43" s="369"/>
      <c r="AE43" s="369" t="s">
        <v>138</v>
      </c>
      <c r="AF43" s="392">
        <f xml:space="preserve"> AF7 * ( 1 + $AU$35) * (1 + $AV$35)</f>
        <v>51.774036690011044</v>
      </c>
      <c r="AG43" s="392">
        <f xml:space="preserve"> AG7 * ( 1 + $AU$36 ) * ( 1 + $AV$36 )</f>
        <v>35.24726501902181</v>
      </c>
      <c r="AH43" s="392">
        <f xml:space="preserve"> AH7 * ( 1 + $AU$36 ) * ( 1 + $AV$36 )</f>
        <v>51.050663975096221</v>
      </c>
      <c r="AI43" s="394"/>
      <c r="AJ43" s="392">
        <f t="shared" si="5"/>
        <v>28.745471782610018</v>
      </c>
      <c r="AK43" s="392">
        <f t="shared" si="5"/>
        <v>46.497660411379378</v>
      </c>
      <c r="AL43" s="392">
        <f t="shared" si="5"/>
        <v>6.6688766819705307</v>
      </c>
      <c r="AM43" s="392">
        <f t="shared" si="5"/>
        <v>13.337753363941061</v>
      </c>
      <c r="AN43" s="392">
        <f t="shared" si="5"/>
        <v>26.675506727882123</v>
      </c>
      <c r="AO43" s="394"/>
      <c r="AP43" s="394"/>
      <c r="AQ43" s="394"/>
    </row>
    <row r="44" spans="1:52" x14ac:dyDescent="0.35">
      <c r="G44" s="454" t="s">
        <v>161</v>
      </c>
      <c r="H44" s="452">
        <v>121.50220913107512</v>
      </c>
      <c r="I44" s="500">
        <f xml:space="preserve"> U16</f>
        <v>49.131887022125596</v>
      </c>
      <c r="J44" s="452">
        <f>X16</f>
        <v>14.21824442781533</v>
      </c>
      <c r="K44" s="452">
        <f xml:space="preserve"> H44 - I44 - J44</f>
        <v>58.152077681134195</v>
      </c>
      <c r="L44" s="517">
        <f t="shared" ref="L44:L45" si="7" xml:space="preserve"> 109 / 24</f>
        <v>4.541666666666667</v>
      </c>
      <c r="M44" s="499">
        <f t="shared" si="6"/>
        <v>1.2395833333333333</v>
      </c>
      <c r="N44" s="499">
        <f xml:space="preserve"> K44 / N16 * 7</f>
        <v>7.1926533225765503</v>
      </c>
      <c r="O44" s="369"/>
      <c r="P44" s="505">
        <f xml:space="preserve"> SUM(L44:N44)</f>
        <v>12.97390332257655</v>
      </c>
      <c r="Q44" s="503" t="s">
        <v>156</v>
      </c>
      <c r="AD44" s="369"/>
      <c r="AE44" s="369" t="s">
        <v>140</v>
      </c>
      <c r="AF44" s="392">
        <f xml:space="preserve"> AF8 * ( 1 + $AU$35) * (1 + $AV$35)</f>
        <v>65.44794757208517</v>
      </c>
      <c r="AG44" s="392">
        <f xml:space="preserve"> AG8 * ( 1 + $AU$36 ) * ( 1 + $AV$36 )</f>
        <v>36.757484932123802</v>
      </c>
      <c r="AH44" s="392">
        <f xml:space="preserve"> AH8 * ( 1 + $AU$36 ) * ( 1 + $AV$36 )</f>
        <v>52.955972787434256</v>
      </c>
      <c r="AI44" s="394"/>
      <c r="AJ44" s="392">
        <f t="shared" si="5"/>
        <v>31.592901333803837</v>
      </c>
      <c r="AK44" s="392">
        <f t="shared" si="5"/>
        <v>51.490312120699393</v>
      </c>
      <c r="AL44" s="392">
        <f t="shared" si="5"/>
        <v>7.3359256807174562</v>
      </c>
      <c r="AM44" s="392">
        <f t="shared" si="5"/>
        <v>14.671851361434912</v>
      </c>
      <c r="AN44" s="392">
        <f t="shared" si="5"/>
        <v>29.343702722869825</v>
      </c>
      <c r="AO44" s="394"/>
      <c r="AP44" s="394"/>
      <c r="AQ44" s="394"/>
    </row>
    <row r="45" spans="1:52" ht="15.6" thickBot="1" x14ac:dyDescent="0.4">
      <c r="G45" s="363"/>
      <c r="H45" s="452">
        <v>121.50220913107512</v>
      </c>
      <c r="I45" s="500">
        <f xml:space="preserve"> U16</f>
        <v>49.131887022125596</v>
      </c>
      <c r="J45" s="452">
        <f>Y16</f>
        <v>28.43648885563066</v>
      </c>
      <c r="K45" s="452">
        <f xml:space="preserve"> H45 - I45 - J45</f>
        <v>43.933833253318866</v>
      </c>
      <c r="L45" s="517">
        <f t="shared" si="7"/>
        <v>4.541666666666667</v>
      </c>
      <c r="M45" s="499">
        <f xml:space="preserve"> 59.5 / 24</f>
        <v>2.4791666666666665</v>
      </c>
      <c r="N45" s="499">
        <f xml:space="preserve"> K45 / N16 * 7</f>
        <v>5.434041986526057</v>
      </c>
      <c r="O45" s="369"/>
      <c r="P45" s="506">
        <f xml:space="preserve"> SUM(L45:N45)</f>
        <v>12.45487531985939</v>
      </c>
      <c r="Q45" s="504" t="s">
        <v>156</v>
      </c>
      <c r="AD45" s="369" t="s">
        <v>258</v>
      </c>
      <c r="AE45" s="369"/>
      <c r="AF45" s="552">
        <f xml:space="preserve"> AF44</f>
        <v>65.44794757208517</v>
      </c>
      <c r="AG45" s="552">
        <f t="shared" ref="AG45:AH45" si="8" xml:space="preserve"> AG44</f>
        <v>36.757484932123802</v>
      </c>
      <c r="AH45" s="552">
        <f t="shared" si="8"/>
        <v>52.955972787434256</v>
      </c>
      <c r="AI45" s="553"/>
      <c r="AJ45" s="552">
        <f t="shared" ref="AJ45" si="9" xml:space="preserve"> AJ44</f>
        <v>31.592901333803837</v>
      </c>
      <c r="AK45" s="552">
        <f t="shared" ref="AK45" si="10" xml:space="preserve"> AK44</f>
        <v>51.490312120699393</v>
      </c>
      <c r="AL45" s="552">
        <f t="shared" ref="AL45" si="11" xml:space="preserve"> AL44</f>
        <v>7.3359256807174562</v>
      </c>
      <c r="AM45" s="552">
        <f t="shared" ref="AM45:AN45" si="12" xml:space="preserve"> AM44</f>
        <v>14.671851361434912</v>
      </c>
      <c r="AN45" s="552">
        <f t="shared" si="12"/>
        <v>29.343702722869825</v>
      </c>
      <c r="AO45" s="392">
        <f xml:space="preserve"> AO9 * ( 1 + $AU$36 ) * ( 1 + $AV$36 )</f>
        <v>105.45185253424501</v>
      </c>
      <c r="AP45" s="392">
        <f xml:space="preserve"> AP9 * ( 1 + $AU$36 ) * ( 1 + $AV$36 )</f>
        <v>147.567799782945</v>
      </c>
      <c r="AQ45" s="392">
        <f xml:space="preserve"> AQ9 * ( 1 + $AU$36 ) * ( 1 + $AV$36 )</f>
        <v>203.31203560289103</v>
      </c>
    </row>
    <row r="46" spans="1:52" x14ac:dyDescent="0.35">
      <c r="G46" s="515" t="s">
        <v>250</v>
      </c>
      <c r="AD46" s="366" t="s">
        <v>259</v>
      </c>
      <c r="AE46" s="369"/>
      <c r="AF46" s="554">
        <f xml:space="preserve"> AF42</f>
        <v>60.129995469451806</v>
      </c>
      <c r="AG46" s="554">
        <f t="shared" ref="AG46:AH46" si="13" xml:space="preserve"> AG42</f>
        <v>36.757484932123802</v>
      </c>
      <c r="AH46" s="554">
        <f t="shared" si="13"/>
        <v>52.955972787434256</v>
      </c>
      <c r="AI46" s="553"/>
      <c r="AJ46" s="554">
        <f t="shared" ref="AJ46:AM46" si="14" xml:space="preserve"> AJ42</f>
        <v>32.570654966177891</v>
      </c>
      <c r="AK46" s="554">
        <f t="shared" si="14"/>
        <v>53.057332360331536</v>
      </c>
      <c r="AL46" s="554">
        <f t="shared" si="14"/>
        <v>7.6771132344999122</v>
      </c>
      <c r="AM46" s="554">
        <f t="shared" si="14"/>
        <v>15.354226468999824</v>
      </c>
      <c r="AN46" s="554">
        <f t="shared" ref="AN46" si="15" xml:space="preserve"> AN42</f>
        <v>30.708452937999649</v>
      </c>
      <c r="AO46" s="392">
        <f xml:space="preserve"> AO10 * ( 1 + $AU$36 ) * ( 1 + $AV$36 )</f>
        <v>135.89412312247202</v>
      </c>
      <c r="AP46" s="394"/>
      <c r="AQ46" s="392">
        <f xml:space="preserve"> AQ10 * ( 1 + $AU$36 ) * ( 1 + $AV$36 )</f>
        <v>185.688131523435</v>
      </c>
    </row>
    <row r="47" spans="1:52" x14ac:dyDescent="0.35">
      <c r="G47" s="515" t="s">
        <v>248</v>
      </c>
      <c r="H47" s="366"/>
      <c r="I47" s="366"/>
      <c r="J47" s="366"/>
      <c r="K47" s="366"/>
      <c r="L47" s="369"/>
      <c r="M47" s="366"/>
      <c r="N47" s="366"/>
      <c r="O47" s="366"/>
      <c r="P47" s="366"/>
      <c r="AD47" s="369"/>
      <c r="AE47" s="519" t="s">
        <v>275</v>
      </c>
      <c r="AF47" s="369"/>
      <c r="AG47" s="369"/>
      <c r="AH47" s="369"/>
      <c r="AI47" s="369"/>
      <c r="AJ47" s="369"/>
      <c r="AK47" s="369"/>
      <c r="AL47" s="369"/>
      <c r="AM47" s="369"/>
      <c r="AN47" s="369"/>
    </row>
    <row r="48" spans="1:52" x14ac:dyDescent="0.35">
      <c r="AO48" s="369"/>
      <c r="AP48" s="369"/>
    </row>
    <row r="49" spans="1:43" x14ac:dyDescent="0.35">
      <c r="AD49" s="374" t="s">
        <v>277</v>
      </c>
      <c r="AE49" s="373"/>
      <c r="AF49" s="373"/>
      <c r="AG49" s="373"/>
      <c r="AH49" s="373"/>
      <c r="AI49" s="373"/>
      <c r="AJ49" s="373"/>
      <c r="AK49" s="373"/>
      <c r="AL49" s="373"/>
      <c r="AM49" s="373"/>
      <c r="AN49" s="373"/>
      <c r="AQ49" s="522"/>
    </row>
    <row r="50" spans="1:43" x14ac:dyDescent="0.35">
      <c r="AD50" s="383" t="s">
        <v>255</v>
      </c>
      <c r="AE50" s="384"/>
      <c r="AF50" s="383"/>
      <c r="AG50" s="383"/>
      <c r="AH50" s="383"/>
      <c r="AI50" s="383"/>
      <c r="AJ50" s="383"/>
      <c r="AK50" s="383"/>
      <c r="AL50" s="383"/>
      <c r="AM50" s="383"/>
      <c r="AN50" s="383"/>
      <c r="AQ50" s="369"/>
    </row>
    <row r="51" spans="1:43" x14ac:dyDescent="0.35">
      <c r="AD51" s="369"/>
      <c r="AE51" s="392" t="s">
        <v>92</v>
      </c>
      <c r="AF51" s="392">
        <f xml:space="preserve"> AF15 * ( 1 + $AU$35) * (1 + $AV$35)</f>
        <v>60.129995469451806</v>
      </c>
      <c r="AG51" s="392">
        <f t="shared" ref="AG51:AN53" si="16" xml:space="preserve"> AG15 * ( 1 + $AU$36 ) * ( 1 + $AV$36 )</f>
        <v>36.757484932123802</v>
      </c>
      <c r="AH51" s="392">
        <f t="shared" si="16"/>
        <v>52.955972787434256</v>
      </c>
      <c r="AI51" s="392">
        <f t="shared" si="16"/>
        <v>9.3024980669043558</v>
      </c>
      <c r="AJ51" s="392">
        <f t="shared" si="16"/>
        <v>32.570654966177891</v>
      </c>
      <c r="AK51" s="392">
        <f t="shared" si="16"/>
        <v>53.057332360331536</v>
      </c>
      <c r="AL51" s="392">
        <f t="shared" si="16"/>
        <v>7.6771132344999122</v>
      </c>
      <c r="AM51" s="392">
        <f t="shared" si="16"/>
        <v>15.354226468999824</v>
      </c>
      <c r="AN51" s="392">
        <f t="shared" si="16"/>
        <v>30.708452937999649</v>
      </c>
      <c r="AO51" s="369"/>
      <c r="AP51" s="369"/>
      <c r="AQ51" s="395"/>
    </row>
    <row r="52" spans="1:43" x14ac:dyDescent="0.35">
      <c r="AE52" s="392" t="s">
        <v>138</v>
      </c>
      <c r="AF52" s="392">
        <f xml:space="preserve"> AF16 * ( 1 + $AU$35) * (1 + $AV$35)</f>
        <v>51.774036690011044</v>
      </c>
      <c r="AG52" s="392">
        <f t="shared" si="16"/>
        <v>35.24726501902181</v>
      </c>
      <c r="AH52" s="392">
        <f t="shared" si="16"/>
        <v>51.050663975096221</v>
      </c>
      <c r="AI52" s="392">
        <f t="shared" si="16"/>
        <v>8.0457125867053243</v>
      </c>
      <c r="AJ52" s="392">
        <f t="shared" si="16"/>
        <v>28.745471782610018</v>
      </c>
      <c r="AK52" s="392">
        <f t="shared" si="16"/>
        <v>46.497660411379378</v>
      </c>
      <c r="AL52" s="392">
        <f t="shared" si="16"/>
        <v>6.6688766819705307</v>
      </c>
      <c r="AM52" s="392">
        <f t="shared" si="16"/>
        <v>13.337753363941061</v>
      </c>
      <c r="AN52" s="392">
        <f t="shared" si="16"/>
        <v>26.675506727882123</v>
      </c>
      <c r="AQ52" s="395"/>
    </row>
    <row r="53" spans="1:43" x14ac:dyDescent="0.35">
      <c r="AE53" s="369" t="s">
        <v>140</v>
      </c>
      <c r="AF53" s="392">
        <f xml:space="preserve"> AF17 * ( 1 + $AU$35) * (1 + $AV$35)</f>
        <v>65.44794757208517</v>
      </c>
      <c r="AG53" s="392">
        <f t="shared" si="16"/>
        <v>36.757484932123802</v>
      </c>
      <c r="AH53" s="392">
        <f t="shared" si="16"/>
        <v>52.955972787434256</v>
      </c>
      <c r="AI53" s="392">
        <f t="shared" si="16"/>
        <v>9.4915422381049694</v>
      </c>
      <c r="AJ53" s="392">
        <f t="shared" si="16"/>
        <v>31.592901333803837</v>
      </c>
      <c r="AK53" s="392">
        <f t="shared" si="16"/>
        <v>51.490312120699393</v>
      </c>
      <c r="AL53" s="392">
        <f t="shared" si="16"/>
        <v>7.3359256807174562</v>
      </c>
      <c r="AM53" s="392">
        <f t="shared" si="16"/>
        <v>14.671851361434912</v>
      </c>
      <c r="AN53" s="392">
        <f t="shared" si="16"/>
        <v>29.343702722869825</v>
      </c>
      <c r="AQ53" s="428"/>
    </row>
    <row r="54" spans="1:43" x14ac:dyDescent="0.35">
      <c r="AD54" s="383" t="s">
        <v>256</v>
      </c>
      <c r="AE54" s="383"/>
      <c r="AF54" s="383"/>
      <c r="AG54" s="383"/>
      <c r="AH54" s="383"/>
      <c r="AI54" s="383"/>
      <c r="AJ54" s="383"/>
      <c r="AK54" s="383"/>
      <c r="AL54" s="383"/>
      <c r="AM54" s="383"/>
      <c r="AN54" s="383"/>
      <c r="AQ54" s="369"/>
    </row>
    <row r="55" spans="1:43" x14ac:dyDescent="0.35">
      <c r="AE55" s="392" t="s">
        <v>92</v>
      </c>
      <c r="AF55" s="392">
        <f xml:space="preserve"> AF19 * ( 1 + $AU$35) * (1 + $AV$35)</f>
        <v>63.858558524783255</v>
      </c>
      <c r="AG55" s="392">
        <f t="shared" ref="AG55:AH57" si="17" xml:space="preserve"> AG19 * ( 1 + $AU$36 ) * ( 1 + $AV$36 )</f>
        <v>36.757484932123802</v>
      </c>
      <c r="AH55" s="392">
        <f t="shared" si="17"/>
        <v>52.955972787434256</v>
      </c>
      <c r="AI55" s="394"/>
      <c r="AJ55" s="394"/>
      <c r="AK55" s="394"/>
      <c r="AL55" s="394"/>
      <c r="AM55" s="394"/>
      <c r="AN55" s="394"/>
      <c r="AO55" s="369"/>
      <c r="AP55" s="369"/>
      <c r="AQ55" s="410"/>
    </row>
    <row r="56" spans="1:43" x14ac:dyDescent="0.35">
      <c r="AE56" s="392" t="s">
        <v>138</v>
      </c>
      <c r="AF56" s="392">
        <f xml:space="preserve"> AF20 * ( 1 + $AU$35) * (1 + $AV$35)</f>
        <v>54.058254271941891</v>
      </c>
      <c r="AG56" s="392">
        <f t="shared" si="17"/>
        <v>35.24726501902181</v>
      </c>
      <c r="AH56" s="392">
        <f t="shared" si="17"/>
        <v>51.050663975096221</v>
      </c>
      <c r="AI56" s="394"/>
      <c r="AJ56" s="394"/>
      <c r="AK56" s="394"/>
      <c r="AL56" s="394"/>
      <c r="AM56" s="394"/>
      <c r="AN56" s="394"/>
      <c r="AQ56" s="410"/>
    </row>
    <row r="57" spans="1:43" x14ac:dyDescent="0.35">
      <c r="AD57" s="369"/>
      <c r="AE57" s="392" t="s">
        <v>252</v>
      </c>
      <c r="AF57" s="392">
        <f xml:space="preserve"> AF21 * ( 1 + $AU$35) * (1 + $AV$35)</f>
        <v>53.020851690903811</v>
      </c>
      <c r="AG57" s="392">
        <f t="shared" si="17"/>
        <v>32.950476723526997</v>
      </c>
      <c r="AH57" s="392">
        <f t="shared" si="17"/>
        <v>48.038614241897029</v>
      </c>
      <c r="AI57" s="394"/>
      <c r="AJ57" s="394"/>
      <c r="AK57" s="394"/>
      <c r="AL57" s="394"/>
      <c r="AM57" s="394"/>
      <c r="AN57" s="394"/>
      <c r="AQ57" s="410"/>
    </row>
    <row r="58" spans="1:43" x14ac:dyDescent="0.35">
      <c r="AD58" s="369"/>
      <c r="AE58" s="366" t="s">
        <v>253</v>
      </c>
      <c r="AF58" s="392">
        <f xml:space="preserve"> AF22 * ( 1 + $AU$35) * (1 + $AV$35)</f>
        <v>71.271921581258269</v>
      </c>
      <c r="AG58" s="394"/>
      <c r="AH58" s="394"/>
      <c r="AI58" s="394"/>
      <c r="AJ58" s="394"/>
      <c r="AK58" s="394"/>
      <c r="AL58" s="394"/>
      <c r="AM58" s="394"/>
      <c r="AN58" s="394"/>
      <c r="AO58" s="369"/>
      <c r="AP58" s="369"/>
      <c r="AQ58" s="410"/>
    </row>
    <row r="59" spans="1:43" x14ac:dyDescent="0.35">
      <c r="A59" s="369"/>
      <c r="B59" s="369"/>
      <c r="C59" s="369"/>
      <c r="D59" s="369"/>
      <c r="E59" s="369"/>
      <c r="F59" s="369"/>
      <c r="G59" s="369"/>
      <c r="H59" s="369"/>
      <c r="I59" s="369"/>
      <c r="J59" s="369"/>
      <c r="K59" s="369"/>
      <c r="L59" s="369"/>
      <c r="M59" s="369"/>
      <c r="N59" s="369"/>
      <c r="O59" s="369"/>
      <c r="P59" s="369"/>
      <c r="Q59" s="369"/>
      <c r="R59" s="369"/>
      <c r="S59" s="369"/>
      <c r="T59" s="369"/>
      <c r="U59" s="369"/>
      <c r="V59" s="369"/>
      <c r="W59" s="369"/>
      <c r="X59" s="369"/>
      <c r="Y59" s="369"/>
      <c r="Z59" s="369"/>
      <c r="AA59" s="369"/>
      <c r="AB59" s="369"/>
      <c r="AC59" s="369"/>
      <c r="AQ59" s="369"/>
    </row>
    <row r="60" spans="1:43" x14ac:dyDescent="0.35">
      <c r="A60" s="369"/>
      <c r="B60" s="369"/>
      <c r="C60" s="369"/>
      <c r="D60" s="369"/>
      <c r="E60" s="369"/>
      <c r="F60" s="369"/>
      <c r="G60" s="369"/>
      <c r="H60" s="369"/>
      <c r="I60" s="369"/>
      <c r="J60" s="369"/>
      <c r="K60" s="369"/>
      <c r="L60" s="369"/>
      <c r="M60" s="369"/>
      <c r="N60" s="369"/>
      <c r="O60" s="369"/>
      <c r="P60" s="369"/>
      <c r="Q60" s="369"/>
      <c r="R60" s="369"/>
      <c r="S60" s="369"/>
      <c r="T60" s="369"/>
      <c r="U60" s="369"/>
      <c r="V60" s="369"/>
      <c r="W60" s="369"/>
      <c r="X60" s="369"/>
      <c r="Y60" s="369"/>
      <c r="Z60" s="369"/>
      <c r="AA60" s="369"/>
      <c r="AB60" s="369"/>
      <c r="AC60" s="369"/>
      <c r="AD60" s="374" t="s">
        <v>254</v>
      </c>
      <c r="AE60" s="373"/>
      <c r="AF60" s="373"/>
      <c r="AG60" s="373"/>
      <c r="AH60" s="373"/>
      <c r="AI60" s="373"/>
      <c r="AJ60" s="373"/>
      <c r="AK60" s="373"/>
      <c r="AL60" s="373"/>
      <c r="AM60" s="373"/>
      <c r="AN60" s="373"/>
      <c r="AQ60" s="522"/>
    </row>
    <row r="61" spans="1:43" x14ac:dyDescent="0.35">
      <c r="A61" s="369"/>
      <c r="B61" s="369"/>
      <c r="C61" s="369"/>
      <c r="D61" s="369"/>
      <c r="E61" s="369"/>
      <c r="F61" s="369"/>
      <c r="G61" s="369"/>
      <c r="H61" s="369"/>
      <c r="I61" s="369"/>
      <c r="J61" s="369"/>
      <c r="K61" s="369"/>
      <c r="L61" s="369"/>
      <c r="M61" s="369"/>
      <c r="N61" s="369"/>
      <c r="O61" s="369"/>
      <c r="P61" s="369"/>
      <c r="Q61" s="369"/>
      <c r="R61" s="369"/>
      <c r="S61" s="369"/>
      <c r="T61" s="369"/>
      <c r="U61" s="369"/>
      <c r="V61" s="369"/>
      <c r="W61" s="369"/>
      <c r="X61" s="369"/>
      <c r="Y61" s="369"/>
      <c r="Z61" s="369"/>
      <c r="AA61" s="369"/>
      <c r="AB61" s="369"/>
      <c r="AC61" s="369"/>
      <c r="AD61" s="369"/>
      <c r="AE61" s="392" t="s">
        <v>257</v>
      </c>
      <c r="AF61" s="408"/>
      <c r="AG61" s="394"/>
      <c r="AH61" s="394"/>
      <c r="AI61" s="394"/>
      <c r="AJ61" s="394"/>
      <c r="AK61" s="392">
        <f xml:space="preserve"> AK25 * ( 1 + $AU$36 ) * ( 1 + $AV$36 )</f>
        <v>42.115947248699996</v>
      </c>
      <c r="AL61" s="394"/>
      <c r="AM61" s="394"/>
      <c r="AN61" s="394"/>
      <c r="AQ61" s="410"/>
    </row>
    <row r="62" spans="1:43" x14ac:dyDescent="0.35">
      <c r="A62" s="369"/>
      <c r="B62" s="369"/>
      <c r="C62" s="369"/>
      <c r="D62" s="369"/>
      <c r="E62" s="369"/>
      <c r="F62" s="369"/>
      <c r="G62" s="369"/>
      <c r="H62" s="369"/>
      <c r="I62" s="369"/>
      <c r="J62" s="369"/>
      <c r="K62" s="369"/>
      <c r="L62" s="369"/>
      <c r="M62" s="369"/>
      <c r="N62" s="369"/>
      <c r="O62" s="369"/>
      <c r="P62" s="369"/>
      <c r="Q62" s="369"/>
      <c r="R62" s="369"/>
      <c r="S62" s="369"/>
      <c r="T62" s="369"/>
      <c r="U62" s="369"/>
      <c r="V62" s="369"/>
      <c r="W62" s="369"/>
      <c r="X62" s="369"/>
      <c r="Y62" s="369"/>
      <c r="Z62" s="369"/>
      <c r="AA62" s="369"/>
      <c r="AB62" s="369"/>
      <c r="AC62" s="369"/>
      <c r="AD62" s="369"/>
      <c r="AE62" s="392" t="s">
        <v>263</v>
      </c>
      <c r="AF62" s="394"/>
      <c r="AG62" s="578">
        <f>AG26</f>
        <v>10</v>
      </c>
      <c r="AH62" s="574"/>
      <c r="AI62" s="394"/>
      <c r="AJ62" s="394"/>
      <c r="AK62" s="394"/>
      <c r="AL62" s="394"/>
      <c r="AM62" s="394"/>
      <c r="AN62" s="394"/>
      <c r="AO62" s="369"/>
      <c r="AP62" s="369"/>
      <c r="AQ62" s="410"/>
    </row>
    <row r="63" spans="1:43" x14ac:dyDescent="0.35">
      <c r="A63" s="369"/>
      <c r="B63" s="369"/>
      <c r="C63" s="369"/>
      <c r="D63" s="369"/>
      <c r="E63" s="369"/>
      <c r="F63" s="369"/>
      <c r="G63" s="369"/>
      <c r="H63" s="369"/>
      <c r="I63" s="369"/>
      <c r="J63" s="369"/>
      <c r="K63" s="369"/>
      <c r="L63" s="369"/>
      <c r="M63" s="369"/>
      <c r="N63" s="369"/>
      <c r="O63" s="369"/>
      <c r="P63" s="369"/>
      <c r="Q63" s="369"/>
      <c r="R63" s="369"/>
      <c r="S63" s="369"/>
      <c r="T63" s="369"/>
      <c r="U63" s="369"/>
      <c r="V63" s="369"/>
      <c r="W63" s="369"/>
      <c r="X63" s="369"/>
      <c r="Y63" s="369"/>
      <c r="Z63" s="369"/>
      <c r="AA63" s="369"/>
      <c r="AB63" s="369"/>
      <c r="AC63" s="369"/>
      <c r="AD63" s="369"/>
      <c r="AE63" s="392" t="s">
        <v>264</v>
      </c>
      <c r="AF63" s="394"/>
      <c r="AG63" s="578">
        <f>AG27</f>
        <v>22.5</v>
      </c>
      <c r="AH63" s="574"/>
      <c r="AI63" s="394"/>
      <c r="AJ63" s="394"/>
      <c r="AK63" s="394"/>
      <c r="AL63" s="394"/>
      <c r="AM63" s="394"/>
      <c r="AN63" s="394"/>
      <c r="AO63" s="369"/>
      <c r="AP63" s="369"/>
      <c r="AQ63" s="410"/>
    </row>
    <row r="64" spans="1:43" x14ac:dyDescent="0.35">
      <c r="A64" s="369"/>
      <c r="B64" s="369"/>
      <c r="C64" s="369"/>
      <c r="D64" s="369"/>
      <c r="E64" s="369"/>
      <c r="F64" s="369"/>
      <c r="G64" s="369"/>
      <c r="H64" s="369"/>
      <c r="I64" s="369"/>
      <c r="J64" s="369"/>
      <c r="K64" s="369"/>
      <c r="L64" s="369"/>
      <c r="M64" s="369"/>
      <c r="N64" s="369"/>
      <c r="O64" s="369"/>
      <c r="P64" s="369"/>
      <c r="Q64" s="369"/>
      <c r="R64" s="369"/>
      <c r="S64" s="369"/>
      <c r="T64" s="369"/>
      <c r="U64" s="369"/>
      <c r="V64" s="369"/>
      <c r="W64" s="369"/>
      <c r="X64" s="369"/>
      <c r="Y64" s="369"/>
      <c r="Z64" s="369"/>
      <c r="AA64" s="369"/>
      <c r="AB64" s="369"/>
      <c r="AC64" s="369"/>
      <c r="AF64" s="410"/>
      <c r="AG64" s="574"/>
      <c r="AH64" s="574"/>
      <c r="AI64" s="410"/>
      <c r="AJ64" s="410"/>
      <c r="AK64" s="410"/>
      <c r="AL64" s="410"/>
      <c r="AM64" s="410"/>
      <c r="AN64" s="410"/>
      <c r="AQ64" s="410"/>
    </row>
    <row r="65" spans="1:43" x14ac:dyDescent="0.35">
      <c r="A65" s="369"/>
      <c r="B65" s="369"/>
      <c r="C65" s="369"/>
      <c r="D65" s="369"/>
      <c r="E65" s="369"/>
      <c r="F65" s="369"/>
      <c r="G65" s="369"/>
      <c r="H65" s="369"/>
      <c r="I65" s="369"/>
      <c r="J65" s="369"/>
      <c r="K65" s="369"/>
      <c r="L65" s="369"/>
      <c r="M65" s="369"/>
      <c r="N65" s="369"/>
      <c r="O65" s="369"/>
      <c r="P65" s="369"/>
      <c r="Q65" s="369"/>
      <c r="R65" s="369"/>
      <c r="S65" s="369"/>
      <c r="T65" s="369"/>
      <c r="U65" s="369"/>
      <c r="V65" s="369"/>
      <c r="W65" s="369"/>
      <c r="X65" s="369"/>
      <c r="Y65" s="369"/>
      <c r="Z65" s="369"/>
      <c r="AA65" s="369"/>
      <c r="AB65" s="369"/>
      <c r="AC65" s="369"/>
      <c r="AE65" s="392"/>
      <c r="AF65" s="410"/>
      <c r="AG65" s="574"/>
      <c r="AH65" s="574"/>
      <c r="AI65" s="410"/>
      <c r="AJ65" s="410"/>
      <c r="AK65" s="410"/>
      <c r="AL65" s="410"/>
      <c r="AM65" s="410"/>
      <c r="AN65" s="410"/>
      <c r="AQ65" s="410"/>
    </row>
  </sheetData>
  <mergeCells count="19">
    <mergeCell ref="AO39:AQ39"/>
    <mergeCell ref="AG62:AH62"/>
    <mergeCell ref="AG63:AH63"/>
    <mergeCell ref="AG64:AH64"/>
    <mergeCell ref="AG65:AH65"/>
    <mergeCell ref="L40:M40"/>
    <mergeCell ref="N40:O40"/>
    <mergeCell ref="P40:Q40"/>
    <mergeCell ref="AG27:AH27"/>
    <mergeCell ref="AG29:AH29"/>
    <mergeCell ref="AS38:AZ38"/>
    <mergeCell ref="F4:G4"/>
    <mergeCell ref="F3:G3"/>
    <mergeCell ref="H3:K3"/>
    <mergeCell ref="L3:N3"/>
    <mergeCell ref="AO3:AQ3"/>
    <mergeCell ref="P3:R3"/>
    <mergeCell ref="AG26:AH26"/>
    <mergeCell ref="AG28:AH28"/>
  </mergeCells>
  <pageMargins left="0.7" right="0.7" top="0.75" bottom="0.75" header="0.3" footer="0.3"/>
  <pageSetup paperSize="9" orientation="portrait" r:id="rId1"/>
  <ignoredErrors>
    <ignoredError sqref="K8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7547E-9D1B-4947-BA07-668B08959CD6}">
  <sheetPr>
    <tabColor theme="9" tint="0.39997558519241921"/>
  </sheetPr>
  <dimension ref="A1:CM48"/>
  <sheetViews>
    <sheetView showGridLines="0" zoomScale="85" zoomScaleNormal="85" workbookViewId="0">
      <pane xSplit="6" ySplit="4" topLeftCell="G7" activePane="bottomRight" state="frozen"/>
      <selection activeCell="Y42" sqref="Y42"/>
      <selection pane="topRight" activeCell="Y42" sqref="Y42"/>
      <selection pane="bottomLeft" activeCell="Y42" sqref="Y42"/>
      <selection pane="bottomRight" activeCell="F1" sqref="F1"/>
    </sheetView>
  </sheetViews>
  <sheetFormatPr defaultColWidth="0" defaultRowHeight="14.4" x14ac:dyDescent="0.3"/>
  <cols>
    <col min="1" max="1" width="1.109375" style="92" customWidth="1"/>
    <col min="2" max="2" width="1.109375" style="109" customWidth="1"/>
    <col min="3" max="3" width="1.109375" style="135" customWidth="1"/>
    <col min="4" max="4" width="1.109375" style="98" customWidth="1"/>
    <col min="5" max="5" width="53.6640625" style="93" customWidth="1"/>
    <col min="6" max="6" width="20.6640625" style="93" customWidth="1"/>
    <col min="7" max="11" width="10.6640625" style="93" customWidth="1"/>
    <col min="12" max="12" width="1.6640625" style="95" customWidth="1"/>
    <col min="13" max="17" width="10.6640625" style="93" customWidth="1"/>
    <col min="18" max="18" width="1.6640625" style="95" customWidth="1"/>
    <col min="19" max="23" width="10.6640625" style="93" customWidth="1"/>
    <col min="24" max="24" width="1.6640625" style="95" customWidth="1"/>
    <col min="25" max="29" width="10.6640625" style="93" customWidth="1"/>
    <col min="30" max="30" width="1.6640625" style="95" customWidth="1"/>
    <col min="31" max="35" width="10.88671875" style="95" customWidth="1"/>
    <col min="36" max="36" width="1.6640625" style="95" customWidth="1"/>
    <col min="37" max="41" width="10.88671875" style="95" customWidth="1"/>
    <col min="42" max="42" width="1.6640625" style="95" customWidth="1"/>
    <col min="43" max="47" width="10.88671875" style="95" customWidth="1"/>
    <col min="48" max="48" width="1.6640625" style="95" customWidth="1"/>
    <col min="49" max="53" width="10.88671875" style="95" customWidth="1"/>
    <col min="54" max="54" width="1.6640625" style="95" customWidth="1"/>
    <col min="55" max="55" width="1.6640625" style="98" customWidth="1"/>
    <col min="56" max="91" width="0" style="93" hidden="1" customWidth="1"/>
    <col min="92" max="16384" width="9.109375" style="93" hidden="1"/>
  </cols>
  <sheetData>
    <row r="1" spans="1:55" ht="25.8" x14ac:dyDescent="0.5">
      <c r="A1" s="106" t="str">
        <f ca="1">RIGHT(CELL("filename",$A$1),LEN(CELL("filename",$A$1))-SEARCH("]",CELL("filename",$A$1)))</f>
        <v>Ind. beg. Ambulant</v>
      </c>
    </row>
    <row r="3" spans="1:55" x14ac:dyDescent="0.3">
      <c r="E3" s="183"/>
      <c r="F3" s="183"/>
    </row>
    <row r="4" spans="1:55" s="107" customFormat="1" x14ac:dyDescent="0.3">
      <c r="B4" s="172"/>
      <c r="C4" s="169" t="s">
        <v>6</v>
      </c>
      <c r="D4" s="169"/>
      <c r="E4" s="142"/>
      <c r="F4" s="142" t="s">
        <v>11</v>
      </c>
      <c r="G4" s="180" t="s">
        <v>9</v>
      </c>
      <c r="H4" s="181"/>
      <c r="I4" s="181"/>
      <c r="J4" s="181"/>
      <c r="K4" s="182"/>
      <c r="L4" s="95"/>
      <c r="M4" s="180" t="s">
        <v>9</v>
      </c>
      <c r="N4" s="181"/>
      <c r="O4" s="181"/>
      <c r="P4" s="181"/>
      <c r="Q4" s="182"/>
      <c r="R4" s="95"/>
      <c r="S4" s="180" t="s">
        <v>9</v>
      </c>
      <c r="T4" s="181"/>
      <c r="U4" s="181"/>
      <c r="V4" s="181"/>
      <c r="W4" s="182"/>
      <c r="X4" s="95"/>
      <c r="Y4" s="180" t="s">
        <v>9</v>
      </c>
      <c r="Z4" s="181"/>
      <c r="AA4" s="181"/>
      <c r="AB4" s="181"/>
      <c r="AC4" s="182"/>
      <c r="AD4" s="95"/>
      <c r="AE4" s="180" t="s">
        <v>9</v>
      </c>
      <c r="AF4" s="181"/>
      <c r="AG4" s="181"/>
      <c r="AH4" s="181"/>
      <c r="AI4" s="182"/>
      <c r="AJ4" s="95"/>
      <c r="AK4" s="180" t="s">
        <v>9</v>
      </c>
      <c r="AL4" s="181"/>
      <c r="AM4" s="181"/>
      <c r="AN4" s="181"/>
      <c r="AO4" s="182"/>
      <c r="AP4" s="95"/>
      <c r="AQ4" s="180" t="s">
        <v>9</v>
      </c>
      <c r="AR4" s="181"/>
      <c r="AS4" s="181"/>
      <c r="AT4" s="181"/>
      <c r="AU4" s="182"/>
      <c r="AV4" s="95"/>
      <c r="AW4" s="180" t="s">
        <v>9</v>
      </c>
      <c r="AX4" s="181"/>
      <c r="AY4" s="181"/>
      <c r="AZ4" s="181"/>
      <c r="BA4" s="182"/>
      <c r="BB4" s="95"/>
      <c r="BC4" s="135"/>
    </row>
    <row r="5" spans="1:55" s="99" customFormat="1" x14ac:dyDescent="0.3">
      <c r="A5" s="108"/>
      <c r="B5" s="148"/>
      <c r="C5" s="149"/>
      <c r="D5" s="101"/>
      <c r="E5" s="96"/>
      <c r="F5" s="145"/>
      <c r="G5" s="115"/>
      <c r="H5" s="146"/>
      <c r="I5" s="146"/>
      <c r="J5" s="146"/>
      <c r="K5" s="125"/>
      <c r="M5" s="115"/>
      <c r="N5" s="146"/>
      <c r="O5" s="146"/>
      <c r="P5" s="146"/>
      <c r="Q5" s="125"/>
      <c r="S5" s="115"/>
      <c r="T5" s="146"/>
      <c r="U5" s="146"/>
      <c r="V5" s="146"/>
      <c r="W5" s="125"/>
      <c r="Y5" s="115"/>
      <c r="Z5" s="146"/>
      <c r="AA5" s="146"/>
      <c r="AB5" s="146"/>
      <c r="AC5" s="125"/>
      <c r="AE5" s="115"/>
      <c r="AF5" s="146"/>
      <c r="AG5" s="146"/>
      <c r="AH5" s="146"/>
      <c r="AI5" s="125"/>
      <c r="AK5" s="115"/>
      <c r="AL5" s="146"/>
      <c r="AM5" s="146"/>
      <c r="AN5" s="146"/>
      <c r="AO5" s="125"/>
      <c r="AQ5" s="115"/>
      <c r="AR5" s="146"/>
      <c r="AS5" s="146"/>
      <c r="AT5" s="146"/>
      <c r="AU5" s="125"/>
      <c r="AW5" s="115"/>
      <c r="AX5" s="146"/>
      <c r="AY5" s="146"/>
      <c r="AZ5" s="146"/>
      <c r="BA5" s="125"/>
      <c r="BC5" s="101"/>
    </row>
    <row r="6" spans="1:55" s="99" customFormat="1" x14ac:dyDescent="0.3">
      <c r="A6" s="108"/>
      <c r="B6" s="148"/>
      <c r="C6" s="149"/>
      <c r="D6" s="110" t="s">
        <v>39</v>
      </c>
      <c r="E6" s="96"/>
      <c r="F6" s="145"/>
      <c r="G6" s="124"/>
      <c r="H6" s="146"/>
      <c r="I6" s="146"/>
      <c r="J6" s="146"/>
      <c r="K6" s="125"/>
      <c r="M6" s="124"/>
      <c r="N6" s="146"/>
      <c r="O6" s="146"/>
      <c r="P6" s="146"/>
      <c r="Q6" s="125"/>
      <c r="S6" s="124"/>
      <c r="T6" s="146"/>
      <c r="U6" s="146"/>
      <c r="V6" s="146"/>
      <c r="W6" s="125"/>
      <c r="Y6" s="124"/>
      <c r="Z6" s="146"/>
      <c r="AA6" s="146"/>
      <c r="AB6" s="146"/>
      <c r="AC6" s="125"/>
      <c r="AE6" s="124"/>
      <c r="AF6" s="146"/>
      <c r="AG6" s="146"/>
      <c r="AH6" s="146"/>
      <c r="AI6" s="125"/>
      <c r="AK6" s="124"/>
      <c r="AL6" s="146"/>
      <c r="AM6" s="146"/>
      <c r="AN6" s="146"/>
      <c r="AO6" s="125"/>
      <c r="AQ6" s="124"/>
      <c r="AR6" s="146"/>
      <c r="AS6" s="146"/>
      <c r="AT6" s="146"/>
      <c r="AU6" s="125"/>
      <c r="AW6" s="115"/>
      <c r="AX6" s="146"/>
      <c r="AY6" s="146"/>
      <c r="AZ6" s="146"/>
      <c r="BA6" s="125"/>
      <c r="BC6" s="101"/>
    </row>
    <row r="7" spans="1:55" s="91" customFormat="1" x14ac:dyDescent="0.3">
      <c r="A7" s="89"/>
      <c r="B7" s="134"/>
      <c r="C7" s="167"/>
      <c r="D7" s="168"/>
      <c r="E7" s="90" t="s">
        <v>69</v>
      </c>
      <c r="F7" s="90" t="s">
        <v>12</v>
      </c>
      <c r="G7" s="179" t="s">
        <v>49</v>
      </c>
      <c r="H7" s="170"/>
      <c r="I7" s="170"/>
      <c r="J7" s="170"/>
      <c r="K7" s="171"/>
      <c r="L7" s="99"/>
      <c r="M7" s="179" t="s">
        <v>49</v>
      </c>
      <c r="N7" s="170"/>
      <c r="O7" s="170"/>
      <c r="P7" s="170"/>
      <c r="Q7" s="171"/>
      <c r="R7" s="99"/>
      <c r="S7" s="179" t="s">
        <v>49</v>
      </c>
      <c r="T7" s="170"/>
      <c r="U7" s="170"/>
      <c r="V7" s="170"/>
      <c r="W7" s="171"/>
      <c r="X7" s="99"/>
      <c r="Y7" s="179" t="s">
        <v>49</v>
      </c>
      <c r="Z7" s="170"/>
      <c r="AA7" s="170"/>
      <c r="AB7" s="170"/>
      <c r="AC7" s="171"/>
      <c r="AD7" s="99"/>
      <c r="AE7" s="179" t="s">
        <v>49</v>
      </c>
      <c r="AF7" s="170"/>
      <c r="AG7" s="170"/>
      <c r="AH7" s="170"/>
      <c r="AI7" s="171"/>
      <c r="AJ7" s="99"/>
      <c r="AK7" s="179" t="s">
        <v>49</v>
      </c>
      <c r="AL7" s="170"/>
      <c r="AM7" s="170"/>
      <c r="AN7" s="170"/>
      <c r="AO7" s="171"/>
      <c r="AP7" s="99"/>
      <c r="AQ7" s="179" t="s">
        <v>49</v>
      </c>
      <c r="AR7" s="170"/>
      <c r="AS7" s="170"/>
      <c r="AT7" s="170"/>
      <c r="AU7" s="171"/>
      <c r="AV7" s="99"/>
      <c r="AW7" s="179" t="s">
        <v>49</v>
      </c>
      <c r="AX7" s="170"/>
      <c r="AY7" s="170"/>
      <c r="AZ7" s="170"/>
      <c r="BA7" s="171"/>
      <c r="BB7" s="99"/>
      <c r="BC7" s="168"/>
    </row>
    <row r="8" spans="1:55" s="91" customFormat="1" ht="14.4" customHeight="1" x14ac:dyDescent="0.3">
      <c r="A8" s="89"/>
      <c r="B8" s="134"/>
      <c r="C8" s="167"/>
      <c r="D8" s="168"/>
      <c r="E8" s="90" t="s">
        <v>66</v>
      </c>
      <c r="F8" s="90" t="s">
        <v>70</v>
      </c>
      <c r="G8" s="579" t="s">
        <v>218</v>
      </c>
      <c r="H8" s="580"/>
      <c r="I8" s="580"/>
      <c r="J8" s="580"/>
      <c r="K8" s="581"/>
      <c r="L8" s="99"/>
      <c r="M8" s="579" t="s">
        <v>218</v>
      </c>
      <c r="N8" s="580"/>
      <c r="O8" s="580"/>
      <c r="P8" s="580"/>
      <c r="Q8" s="581"/>
      <c r="R8" s="99"/>
      <c r="S8" s="579" t="s">
        <v>218</v>
      </c>
      <c r="T8" s="580"/>
      <c r="U8" s="580"/>
      <c r="V8" s="580"/>
      <c r="W8" s="581"/>
      <c r="X8" s="99"/>
      <c r="Y8" s="579" t="s">
        <v>218</v>
      </c>
      <c r="Z8" s="580"/>
      <c r="AA8" s="580"/>
      <c r="AB8" s="580"/>
      <c r="AC8" s="581"/>
      <c r="AD8" s="99"/>
      <c r="AE8" s="579" t="s">
        <v>218</v>
      </c>
      <c r="AF8" s="580"/>
      <c r="AG8" s="580"/>
      <c r="AH8" s="580"/>
      <c r="AI8" s="581"/>
      <c r="AJ8" s="99"/>
      <c r="AK8" s="579" t="s">
        <v>218</v>
      </c>
      <c r="AL8" s="580"/>
      <c r="AM8" s="580"/>
      <c r="AN8" s="580"/>
      <c r="AO8" s="581"/>
      <c r="AP8" s="99"/>
      <c r="AQ8" s="579" t="s">
        <v>218</v>
      </c>
      <c r="AR8" s="580"/>
      <c r="AS8" s="580"/>
      <c r="AT8" s="580"/>
      <c r="AU8" s="581"/>
      <c r="AV8" s="99"/>
      <c r="AW8" s="579" t="s">
        <v>218</v>
      </c>
      <c r="AX8" s="580"/>
      <c r="AY8" s="580"/>
      <c r="AZ8" s="580"/>
      <c r="BA8" s="581"/>
      <c r="BB8" s="99"/>
      <c r="BC8" s="168"/>
    </row>
    <row r="9" spans="1:55" s="91" customFormat="1" ht="14.4" customHeight="1" x14ac:dyDescent="0.3">
      <c r="A9" s="89"/>
      <c r="B9" s="134"/>
      <c r="C9" s="167"/>
      <c r="D9" s="168"/>
      <c r="E9" s="91" t="s">
        <v>40</v>
      </c>
      <c r="F9" s="90" t="s">
        <v>12</v>
      </c>
      <c r="G9" s="582" t="s">
        <v>135</v>
      </c>
      <c r="H9" s="583"/>
      <c r="I9" s="583"/>
      <c r="J9" s="583"/>
      <c r="K9" s="584"/>
      <c r="L9" s="99"/>
      <c r="M9" s="582" t="s">
        <v>110</v>
      </c>
      <c r="N9" s="583"/>
      <c r="O9" s="583"/>
      <c r="P9" s="583"/>
      <c r="Q9" s="584"/>
      <c r="R9" s="99"/>
      <c r="S9" s="582" t="s">
        <v>113</v>
      </c>
      <c r="T9" s="583"/>
      <c r="U9" s="583"/>
      <c r="V9" s="583"/>
      <c r="W9" s="584"/>
      <c r="X9" s="99"/>
      <c r="Y9" s="582" t="s">
        <v>111</v>
      </c>
      <c r="Z9" s="583"/>
      <c r="AA9" s="583"/>
      <c r="AB9" s="583"/>
      <c r="AC9" s="584"/>
      <c r="AD9" s="99"/>
      <c r="AE9" s="582" t="s">
        <v>134</v>
      </c>
      <c r="AF9" s="583"/>
      <c r="AG9" s="583"/>
      <c r="AH9" s="583"/>
      <c r="AI9" s="584"/>
      <c r="AJ9" s="99"/>
      <c r="AK9" s="582" t="s">
        <v>114</v>
      </c>
      <c r="AL9" s="583"/>
      <c r="AM9" s="583"/>
      <c r="AN9" s="583"/>
      <c r="AO9" s="584"/>
      <c r="AP9" s="99"/>
      <c r="AQ9" s="582" t="s">
        <v>112</v>
      </c>
      <c r="AR9" s="583"/>
      <c r="AS9" s="583"/>
      <c r="AT9" s="583"/>
      <c r="AU9" s="584"/>
      <c r="AV9" s="99"/>
      <c r="AW9" s="585" t="s">
        <v>220</v>
      </c>
      <c r="AX9" s="583"/>
      <c r="AY9" s="583"/>
      <c r="AZ9" s="583"/>
      <c r="BA9" s="584"/>
      <c r="BB9" s="99"/>
      <c r="BC9" s="168"/>
    </row>
    <row r="10" spans="1:55" s="94" customFormat="1" x14ac:dyDescent="0.3">
      <c r="A10" s="107"/>
      <c r="B10" s="147"/>
      <c r="C10" s="135"/>
      <c r="D10" s="98"/>
      <c r="E10" s="91" t="s">
        <v>7</v>
      </c>
      <c r="F10" s="127" t="s">
        <v>12</v>
      </c>
      <c r="G10" s="111" t="s">
        <v>92</v>
      </c>
      <c r="H10" s="116" t="s">
        <v>92</v>
      </c>
      <c r="I10" s="116" t="s">
        <v>92</v>
      </c>
      <c r="J10" s="116" t="s">
        <v>92</v>
      </c>
      <c r="K10" s="117" t="s">
        <v>92</v>
      </c>
      <c r="L10" s="99"/>
      <c r="M10" s="111" t="s">
        <v>92</v>
      </c>
      <c r="N10" s="116" t="s">
        <v>92</v>
      </c>
      <c r="O10" s="116" t="s">
        <v>92</v>
      </c>
      <c r="P10" s="116" t="s">
        <v>92</v>
      </c>
      <c r="Q10" s="117" t="s">
        <v>92</v>
      </c>
      <c r="R10" s="99"/>
      <c r="S10" s="111" t="s">
        <v>93</v>
      </c>
      <c r="T10" s="116" t="s">
        <v>93</v>
      </c>
      <c r="U10" s="116" t="s">
        <v>93</v>
      </c>
      <c r="V10" s="116" t="s">
        <v>93</v>
      </c>
      <c r="W10" s="117"/>
      <c r="X10" s="99"/>
      <c r="Y10" s="111" t="s">
        <v>93</v>
      </c>
      <c r="Z10" s="116" t="s">
        <v>93</v>
      </c>
      <c r="AA10" s="116" t="s">
        <v>93</v>
      </c>
      <c r="AB10" s="116" t="s">
        <v>93</v>
      </c>
      <c r="AC10" s="117"/>
      <c r="AD10" s="99"/>
      <c r="AE10" s="111" t="s">
        <v>94</v>
      </c>
      <c r="AF10" s="116" t="s">
        <v>94</v>
      </c>
      <c r="AG10" s="116" t="s">
        <v>94</v>
      </c>
      <c r="AH10" s="116" t="s">
        <v>94</v>
      </c>
      <c r="AI10" s="117"/>
      <c r="AJ10" s="99"/>
      <c r="AK10" s="111" t="s">
        <v>95</v>
      </c>
      <c r="AL10" s="116" t="s">
        <v>95</v>
      </c>
      <c r="AM10" s="116" t="s">
        <v>95</v>
      </c>
      <c r="AN10" s="116" t="s">
        <v>95</v>
      </c>
      <c r="AO10" s="117" t="s">
        <v>95</v>
      </c>
      <c r="AP10" s="99"/>
      <c r="AQ10" s="111" t="s">
        <v>95</v>
      </c>
      <c r="AR10" s="116" t="s">
        <v>95</v>
      </c>
      <c r="AS10" s="116" t="s">
        <v>95</v>
      </c>
      <c r="AT10" s="116" t="s">
        <v>95</v>
      </c>
      <c r="AU10" s="117" t="s">
        <v>95</v>
      </c>
      <c r="AV10" s="99"/>
      <c r="AW10" s="111" t="s">
        <v>97</v>
      </c>
      <c r="AX10" s="116"/>
      <c r="AY10" s="116"/>
      <c r="AZ10" s="116"/>
      <c r="BA10" s="117"/>
      <c r="BB10" s="99"/>
      <c r="BC10" s="98"/>
    </row>
    <row r="11" spans="1:55" s="94" customFormat="1" x14ac:dyDescent="0.3">
      <c r="A11" s="107"/>
      <c r="B11" s="147"/>
      <c r="C11" s="135"/>
      <c r="D11" s="98"/>
      <c r="E11" s="96" t="s">
        <v>8</v>
      </c>
      <c r="F11" s="127" t="s">
        <v>13</v>
      </c>
      <c r="G11" s="111">
        <v>40</v>
      </c>
      <c r="H11" s="116">
        <v>45</v>
      </c>
      <c r="I11" s="116">
        <v>50</v>
      </c>
      <c r="J11" s="116">
        <v>55</v>
      </c>
      <c r="K11" s="117">
        <v>60</v>
      </c>
      <c r="L11" s="99"/>
      <c r="M11" s="111">
        <v>40</v>
      </c>
      <c r="N11" s="116">
        <v>45</v>
      </c>
      <c r="O11" s="116">
        <v>50</v>
      </c>
      <c r="P11" s="116">
        <v>55</v>
      </c>
      <c r="Q11" s="117">
        <v>60</v>
      </c>
      <c r="R11" s="99"/>
      <c r="S11" s="111">
        <v>35</v>
      </c>
      <c r="T11" s="116">
        <v>40</v>
      </c>
      <c r="U11" s="116">
        <v>45</v>
      </c>
      <c r="V11" s="116">
        <v>65</v>
      </c>
      <c r="W11" s="117"/>
      <c r="X11" s="99"/>
      <c r="Y11" s="111">
        <v>35</v>
      </c>
      <c r="Z11" s="116">
        <v>40</v>
      </c>
      <c r="AA11" s="116">
        <v>45</v>
      </c>
      <c r="AB11" s="116">
        <v>50</v>
      </c>
      <c r="AC11" s="117">
        <v>65</v>
      </c>
      <c r="AD11" s="99"/>
      <c r="AE11" s="111">
        <v>7</v>
      </c>
      <c r="AF11" s="116">
        <v>8</v>
      </c>
      <c r="AG11" s="116">
        <v>9</v>
      </c>
      <c r="AH11" s="116">
        <v>11</v>
      </c>
      <c r="AI11" s="117"/>
      <c r="AJ11" s="99"/>
      <c r="AK11" s="111">
        <v>3</v>
      </c>
      <c r="AL11" s="116">
        <v>6</v>
      </c>
      <c r="AM11" s="116">
        <v>7</v>
      </c>
      <c r="AN11" s="116">
        <v>8</v>
      </c>
      <c r="AO11" s="117">
        <v>10</v>
      </c>
      <c r="AP11" s="99"/>
      <c r="AQ11" s="111">
        <v>6</v>
      </c>
      <c r="AR11" s="116">
        <v>7</v>
      </c>
      <c r="AS11" s="116"/>
      <c r="AT11" s="116">
        <v>8</v>
      </c>
      <c r="AU11" s="117">
        <v>10</v>
      </c>
      <c r="AV11" s="99"/>
      <c r="AW11" s="111">
        <v>40</v>
      </c>
      <c r="AX11" s="116"/>
      <c r="AY11" s="116"/>
      <c r="AZ11" s="116"/>
      <c r="BA11" s="117"/>
      <c r="BB11" s="99"/>
      <c r="BC11" s="98"/>
    </row>
    <row r="12" spans="1:55" s="94" customFormat="1" x14ac:dyDescent="0.3">
      <c r="A12" s="107"/>
      <c r="B12" s="147"/>
      <c r="C12" s="135"/>
      <c r="D12" s="98"/>
      <c r="E12" s="96" t="s">
        <v>219</v>
      </c>
      <c r="F12" s="127" t="s">
        <v>14</v>
      </c>
      <c r="G12" s="462">
        <v>0.7</v>
      </c>
      <c r="H12" s="463">
        <v>0.28999999999999998</v>
      </c>
      <c r="I12" s="463"/>
      <c r="J12" s="463"/>
      <c r="K12" s="464">
        <v>0.01</v>
      </c>
      <c r="L12" s="102"/>
      <c r="M12" s="462">
        <v>0.2</v>
      </c>
      <c r="N12" s="463">
        <v>0.4</v>
      </c>
      <c r="O12" s="463">
        <v>0.39</v>
      </c>
      <c r="P12" s="463"/>
      <c r="Q12" s="464">
        <v>0.01</v>
      </c>
      <c r="R12" s="102"/>
      <c r="S12" s="462">
        <v>0.15</v>
      </c>
      <c r="T12" s="463">
        <v>0.59</v>
      </c>
      <c r="U12" s="463">
        <v>0.25</v>
      </c>
      <c r="V12" s="463">
        <v>0.01</v>
      </c>
      <c r="W12" s="464"/>
      <c r="X12" s="102"/>
      <c r="Y12" s="462"/>
      <c r="Z12" s="463">
        <v>0.2</v>
      </c>
      <c r="AA12" s="463">
        <v>0.59</v>
      </c>
      <c r="AB12" s="463">
        <v>0.2</v>
      </c>
      <c r="AC12" s="464">
        <v>0.01</v>
      </c>
      <c r="AD12" s="102"/>
      <c r="AE12" s="462"/>
      <c r="AF12" s="463">
        <v>0.22</v>
      </c>
      <c r="AG12" s="463">
        <v>0.76</v>
      </c>
      <c r="AH12" s="463">
        <v>0.02</v>
      </c>
      <c r="AI12" s="464"/>
      <c r="AJ12" s="102"/>
      <c r="AK12" s="462"/>
      <c r="AL12" s="463">
        <v>0.7</v>
      </c>
      <c r="AM12" s="463">
        <v>0.15</v>
      </c>
      <c r="AN12" s="463">
        <v>0.14000000000000001</v>
      </c>
      <c r="AO12" s="464">
        <v>0.01</v>
      </c>
      <c r="AP12" s="102"/>
      <c r="AQ12" s="462">
        <v>0.2</v>
      </c>
      <c r="AR12" s="463">
        <v>0.2</v>
      </c>
      <c r="AS12" s="463"/>
      <c r="AT12" s="463">
        <v>0.59</v>
      </c>
      <c r="AU12" s="464">
        <v>0.01</v>
      </c>
      <c r="AV12" s="102"/>
      <c r="AW12" s="462">
        <v>1</v>
      </c>
      <c r="AX12" s="463"/>
      <c r="AY12" s="463"/>
      <c r="AZ12" s="463"/>
      <c r="BA12" s="464"/>
      <c r="BB12" s="102"/>
      <c r="BC12" s="98"/>
    </row>
    <row r="13" spans="1:55" s="99" customFormat="1" x14ac:dyDescent="0.3">
      <c r="A13" s="108"/>
      <c r="B13" s="148"/>
      <c r="C13" s="149"/>
      <c r="D13" s="101"/>
      <c r="E13" s="230"/>
      <c r="F13" s="145"/>
      <c r="G13" s="226"/>
      <c r="H13" s="227"/>
      <c r="I13" s="461"/>
      <c r="J13" s="227"/>
      <c r="K13" s="228"/>
      <c r="M13" s="226"/>
      <c r="N13" s="227"/>
      <c r="O13" s="461"/>
      <c r="P13" s="227"/>
      <c r="Q13" s="228"/>
      <c r="S13" s="112"/>
      <c r="T13" s="229"/>
      <c r="U13" s="461"/>
      <c r="V13" s="146"/>
      <c r="W13" s="125"/>
      <c r="Y13" s="112"/>
      <c r="Z13" s="229"/>
      <c r="AA13" s="461"/>
      <c r="AB13" s="146"/>
      <c r="AC13" s="228"/>
      <c r="AE13" s="115"/>
      <c r="AF13" s="146"/>
      <c r="AG13" s="461"/>
      <c r="AH13" s="146"/>
      <c r="AI13" s="125"/>
      <c r="AK13" s="115"/>
      <c r="AL13" s="146"/>
      <c r="AM13" s="461"/>
      <c r="AN13" s="146"/>
      <c r="AO13" s="125"/>
      <c r="AQ13" s="115"/>
      <c r="AR13" s="146"/>
      <c r="AS13" s="461"/>
      <c r="AT13" s="146"/>
      <c r="AU13" s="125"/>
      <c r="AW13" s="115"/>
      <c r="AX13" s="146"/>
      <c r="AY13" s="146"/>
      <c r="AZ13" s="146"/>
      <c r="BA13" s="125"/>
      <c r="BC13" s="101"/>
    </row>
    <row r="14" spans="1:55" s="99" customFormat="1" x14ac:dyDescent="0.3">
      <c r="A14" s="108"/>
      <c r="B14" s="148"/>
      <c r="C14" s="149"/>
      <c r="D14" s="110" t="s">
        <v>29</v>
      </c>
      <c r="E14" s="96"/>
      <c r="F14" s="145"/>
      <c r="G14" s="216" t="s">
        <v>89</v>
      </c>
      <c r="H14" s="222"/>
      <c r="I14" s="146"/>
      <c r="J14" s="146"/>
      <c r="K14" s="125"/>
      <c r="M14" s="216" t="s">
        <v>89</v>
      </c>
      <c r="N14" s="222"/>
      <c r="O14" s="146"/>
      <c r="P14" s="146"/>
      <c r="Q14" s="125"/>
      <c r="S14" s="216" t="s">
        <v>89</v>
      </c>
      <c r="T14" s="222"/>
      <c r="U14" s="146"/>
      <c r="V14" s="146"/>
      <c r="W14" s="125"/>
      <c r="Y14" s="216" t="s">
        <v>89</v>
      </c>
      <c r="Z14" s="222"/>
      <c r="AA14" s="146"/>
      <c r="AB14" s="146"/>
      <c r="AC14" s="125"/>
      <c r="AE14" s="216" t="s">
        <v>101</v>
      </c>
      <c r="AF14" s="222"/>
      <c r="AG14" s="146"/>
      <c r="AH14" s="146"/>
      <c r="AI14" s="125"/>
      <c r="AK14" s="216" t="s">
        <v>101</v>
      </c>
      <c r="AL14" s="222"/>
      <c r="AM14" s="146"/>
      <c r="AN14" s="146"/>
      <c r="AO14" s="125"/>
      <c r="AQ14" s="216" t="s">
        <v>101</v>
      </c>
      <c r="AR14" s="222"/>
      <c r="AS14" s="146"/>
      <c r="AT14" s="146"/>
      <c r="AU14" s="125"/>
      <c r="AW14" s="216" t="s">
        <v>89</v>
      </c>
      <c r="AX14" s="146"/>
      <c r="AY14" s="146"/>
      <c r="AZ14" s="146"/>
      <c r="BA14" s="125"/>
      <c r="BC14" s="101"/>
    </row>
    <row r="15" spans="1:55" s="94" customFormat="1" x14ac:dyDescent="0.3">
      <c r="A15" s="107"/>
      <c r="B15" s="147"/>
      <c r="C15" s="135"/>
      <c r="D15" s="98"/>
      <c r="E15" s="97" t="s">
        <v>79</v>
      </c>
      <c r="F15" s="127" t="s">
        <v>34</v>
      </c>
      <c r="G15" s="210">
        <f xml:space="preserve"> 'Bron - cao''s 2020'!F$14</f>
        <v>3037</v>
      </c>
      <c r="H15" s="211">
        <f xml:space="preserve"> 'Bron - cao''s 2020'!$F$15</f>
        <v>3326</v>
      </c>
      <c r="I15" s="211"/>
      <c r="J15" s="211"/>
      <c r="K15" s="212">
        <f xml:space="preserve"> 'Bron - cao''s 2020'!$F$18</f>
        <v>4620</v>
      </c>
      <c r="L15" s="99"/>
      <c r="M15" s="210">
        <f xml:space="preserve"> 'Bron - cao''s 2020'!F$14</f>
        <v>3037</v>
      </c>
      <c r="N15" s="211">
        <f xml:space="preserve"> 'Bron - cao''s 2020'!$F$15</f>
        <v>3326</v>
      </c>
      <c r="O15" s="211">
        <f xml:space="preserve"> 'Bron - cao''s 2020'!$F$16</f>
        <v>3678</v>
      </c>
      <c r="P15" s="211"/>
      <c r="Q15" s="212">
        <f xml:space="preserve"> 'Bron - cao''s 2020'!$F$18</f>
        <v>4620</v>
      </c>
      <c r="R15" s="99"/>
      <c r="S15" s="210">
        <f xml:space="preserve"> 'Bron - cao''s 2020'!$I$13</f>
        <v>2766</v>
      </c>
      <c r="T15" s="211">
        <f xml:space="preserve"> 'Bron - cao''s 2020'!$I$14</f>
        <v>2902</v>
      </c>
      <c r="U15" s="211">
        <f xml:space="preserve"> 'Bron - cao''s 2020'!$I$15</f>
        <v>3189</v>
      </c>
      <c r="V15" s="211">
        <f xml:space="preserve"> 'Bron - cao''s 2020'!I$19</f>
        <v>5476</v>
      </c>
      <c r="W15" s="212"/>
      <c r="X15" s="99"/>
      <c r="Y15" s="210"/>
      <c r="Z15" s="211">
        <f xml:space="preserve"> 'Bron - cao''s 2020'!$I$14</f>
        <v>2902</v>
      </c>
      <c r="AA15" s="211">
        <f xml:space="preserve"> 'Bron - cao''s 2020'!$I$15</f>
        <v>3189</v>
      </c>
      <c r="AB15" s="211">
        <f xml:space="preserve"> 'Bron - cao''s 2020'!I$16</f>
        <v>3624</v>
      </c>
      <c r="AC15" s="212">
        <f xml:space="preserve"> 'Bron - cao''s 2020'!I$19</f>
        <v>5476</v>
      </c>
      <c r="AD15" s="99"/>
      <c r="AE15" s="210"/>
      <c r="AF15" s="217">
        <f xml:space="preserve"> 'Bron - cao''s 2020'!$F$34</f>
        <v>3568.98</v>
      </c>
      <c r="AG15" s="217">
        <f xml:space="preserve"> 'Bron - cao''s 2020'!$F$35</f>
        <v>3888.56</v>
      </c>
      <c r="AH15" s="217">
        <f xml:space="preserve"> 'Bron - cao''s 2020'!$F$37</f>
        <v>4896.26</v>
      </c>
      <c r="AI15" s="175"/>
      <c r="AJ15" s="99"/>
      <c r="AK15" s="210"/>
      <c r="AL15" s="217">
        <f xml:space="preserve"> 'Bron - cao''s 2020'!$I$32</f>
        <v>3279</v>
      </c>
      <c r="AM15" s="211">
        <f xml:space="preserve"> 'Bron - cao''s 2020'!I$33</f>
        <v>3494</v>
      </c>
      <c r="AN15" s="217">
        <f xml:space="preserve"> 'Bron - cao''s 2020'!$I$34</f>
        <v>3738</v>
      </c>
      <c r="AO15" s="311">
        <f xml:space="preserve"> 'Bron - cao''s 2020'!I$36</f>
        <v>4712</v>
      </c>
      <c r="AP15" s="99"/>
      <c r="AQ15" s="210">
        <f xml:space="preserve"> 'Bron - cao''s 2020'!I$32</f>
        <v>3279</v>
      </c>
      <c r="AR15" s="217">
        <f xml:space="preserve"> 'Bron - cao''s 2020'!$I$33</f>
        <v>3494</v>
      </c>
      <c r="AS15" s="217"/>
      <c r="AT15" s="217">
        <f xml:space="preserve"> 'Bron - cao''s 2020'!$I$34</f>
        <v>3738</v>
      </c>
      <c r="AU15" s="212">
        <f xml:space="preserve"> 'Bron - cao''s 2020'!I$36</f>
        <v>4712</v>
      </c>
      <c r="AV15" s="99"/>
      <c r="AW15" s="210">
        <f xml:space="preserve"> 'Bron - cao''s 2020'!L$14</f>
        <v>2971.05</v>
      </c>
      <c r="AX15" s="174"/>
      <c r="AY15" s="174"/>
      <c r="AZ15" s="174"/>
      <c r="BA15" s="175"/>
      <c r="BB15" s="99"/>
      <c r="BC15" s="98"/>
    </row>
    <row r="16" spans="1:55" s="468" customFormat="1" x14ac:dyDescent="0.3">
      <c r="A16" s="466"/>
      <c r="B16" s="467"/>
      <c r="C16" s="466"/>
      <c r="E16" s="469" t="s">
        <v>16</v>
      </c>
      <c r="F16" s="470" t="s">
        <v>15</v>
      </c>
      <c r="G16" s="34">
        <v>0.92</v>
      </c>
      <c r="H16" s="34">
        <v>0.92</v>
      </c>
      <c r="I16" s="34"/>
      <c r="J16" s="34"/>
      <c r="K16" s="471">
        <v>0.92</v>
      </c>
      <c r="L16" s="469"/>
      <c r="M16" s="472">
        <v>0.92</v>
      </c>
      <c r="N16" s="34">
        <v>0.92</v>
      </c>
      <c r="O16" s="34">
        <v>0.92</v>
      </c>
      <c r="P16" s="34"/>
      <c r="Q16" s="471">
        <v>0.92</v>
      </c>
      <c r="R16" s="469"/>
      <c r="S16" s="472">
        <v>0.92</v>
      </c>
      <c r="T16" s="34">
        <v>0.92</v>
      </c>
      <c r="U16" s="34">
        <v>0.92</v>
      </c>
      <c r="V16" s="34">
        <v>0.92</v>
      </c>
      <c r="W16" s="471"/>
      <c r="X16" s="469"/>
      <c r="Y16" s="472"/>
      <c r="Z16" s="34">
        <v>0.92</v>
      </c>
      <c r="AA16" s="34">
        <v>0.92</v>
      </c>
      <c r="AB16" s="34">
        <v>0.92</v>
      </c>
      <c r="AC16" s="471">
        <v>0.92</v>
      </c>
      <c r="AD16" s="469"/>
      <c r="AE16" s="472"/>
      <c r="AF16" s="34">
        <v>0.92</v>
      </c>
      <c r="AG16" s="34">
        <v>0.92</v>
      </c>
      <c r="AH16" s="34">
        <v>0.92</v>
      </c>
      <c r="AI16" s="471"/>
      <c r="AJ16" s="469"/>
      <c r="AK16" s="472"/>
      <c r="AL16" s="34">
        <v>0.92</v>
      </c>
      <c r="AM16" s="34">
        <v>0.92</v>
      </c>
      <c r="AN16" s="34">
        <v>0.92</v>
      </c>
      <c r="AO16" s="471">
        <v>0.92</v>
      </c>
      <c r="AP16" s="469"/>
      <c r="AQ16" s="472">
        <v>0.92</v>
      </c>
      <c r="AR16" s="34">
        <v>0.92</v>
      </c>
      <c r="AS16" s="34"/>
      <c r="AT16" s="34">
        <v>0.92</v>
      </c>
      <c r="AU16" s="471">
        <v>0.92</v>
      </c>
      <c r="AV16" s="469"/>
      <c r="AW16" s="472">
        <v>0.92</v>
      </c>
      <c r="AX16" s="34"/>
      <c r="AY16" s="34"/>
      <c r="AZ16" s="34"/>
      <c r="BA16" s="471"/>
      <c r="BB16" s="469"/>
    </row>
    <row r="17" spans="1:55" s="468" customFormat="1" x14ac:dyDescent="0.3">
      <c r="A17" s="466"/>
      <c r="B17" s="467"/>
      <c r="C17" s="466"/>
      <c r="E17" s="469" t="s">
        <v>17</v>
      </c>
      <c r="F17" s="470" t="s">
        <v>18</v>
      </c>
      <c r="G17" s="34">
        <v>0.01</v>
      </c>
      <c r="H17" s="34">
        <v>0.01</v>
      </c>
      <c r="I17" s="34"/>
      <c r="J17" s="34"/>
      <c r="K17" s="471">
        <v>0.01</v>
      </c>
      <c r="L17" s="469"/>
      <c r="M17" s="472">
        <v>0.01</v>
      </c>
      <c r="N17" s="34">
        <v>0.01</v>
      </c>
      <c r="O17" s="34">
        <v>0.01</v>
      </c>
      <c r="P17" s="34"/>
      <c r="Q17" s="471">
        <v>0.01</v>
      </c>
      <c r="R17" s="469"/>
      <c r="S17" s="472">
        <v>0.01</v>
      </c>
      <c r="T17" s="34">
        <v>0.01</v>
      </c>
      <c r="U17" s="34">
        <v>0.01</v>
      </c>
      <c r="V17" s="34">
        <v>0.01</v>
      </c>
      <c r="W17" s="471"/>
      <c r="X17" s="469"/>
      <c r="Y17" s="472"/>
      <c r="Z17" s="34">
        <v>0.01</v>
      </c>
      <c r="AA17" s="34">
        <v>0.01</v>
      </c>
      <c r="AB17" s="34">
        <v>0.01</v>
      </c>
      <c r="AC17" s="471">
        <v>0.01</v>
      </c>
      <c r="AD17" s="469"/>
      <c r="AE17" s="472"/>
      <c r="AF17" s="34">
        <v>0.01</v>
      </c>
      <c r="AG17" s="34">
        <v>0.01</v>
      </c>
      <c r="AH17" s="34">
        <v>0.01</v>
      </c>
      <c r="AI17" s="471"/>
      <c r="AJ17" s="469"/>
      <c r="AK17" s="472"/>
      <c r="AL17" s="34">
        <v>0.01</v>
      </c>
      <c r="AM17" s="34">
        <v>0.01</v>
      </c>
      <c r="AN17" s="34">
        <v>0.01</v>
      </c>
      <c r="AO17" s="471">
        <v>0.01</v>
      </c>
      <c r="AP17" s="469"/>
      <c r="AQ17" s="472">
        <v>0.01</v>
      </c>
      <c r="AR17" s="34">
        <v>0.01</v>
      </c>
      <c r="AS17" s="34"/>
      <c r="AT17" s="34">
        <v>0.01</v>
      </c>
      <c r="AU17" s="471">
        <v>0.01</v>
      </c>
      <c r="AV17" s="469"/>
      <c r="AW17" s="472">
        <v>0.01</v>
      </c>
      <c r="AX17" s="34"/>
      <c r="AY17" s="34"/>
      <c r="AZ17" s="34"/>
      <c r="BA17" s="471"/>
      <c r="BB17" s="469"/>
    </row>
    <row r="18" spans="1:55" s="94" customFormat="1" x14ac:dyDescent="0.3">
      <c r="A18" s="107"/>
      <c r="B18" s="147"/>
      <c r="C18" s="135"/>
      <c r="D18" s="98"/>
      <c r="E18" s="96" t="s">
        <v>88</v>
      </c>
      <c r="F18" s="127" t="s">
        <v>18</v>
      </c>
      <c r="G18" s="112">
        <v>0.08</v>
      </c>
      <c r="H18" s="118">
        <v>0.08</v>
      </c>
      <c r="I18" s="118">
        <v>0.08</v>
      </c>
      <c r="J18" s="118">
        <v>0.08</v>
      </c>
      <c r="K18" s="119">
        <v>0.08</v>
      </c>
      <c r="L18" s="102"/>
      <c r="M18" s="112">
        <v>0.08</v>
      </c>
      <c r="N18" s="118">
        <v>0.08</v>
      </c>
      <c r="O18" s="118">
        <v>0.08</v>
      </c>
      <c r="P18" s="118">
        <v>0.08</v>
      </c>
      <c r="Q18" s="119">
        <v>0.08</v>
      </c>
      <c r="R18" s="102"/>
      <c r="S18" s="112">
        <v>0.08</v>
      </c>
      <c r="T18" s="118">
        <v>0.08</v>
      </c>
      <c r="U18" s="118">
        <v>0.08</v>
      </c>
      <c r="V18" s="118">
        <v>0.08</v>
      </c>
      <c r="W18" s="119">
        <v>0.08</v>
      </c>
      <c r="X18" s="102"/>
      <c r="Y18" s="112">
        <v>0.08</v>
      </c>
      <c r="Z18" s="118">
        <v>0.08</v>
      </c>
      <c r="AA18" s="118">
        <v>0.08</v>
      </c>
      <c r="AB18" s="118">
        <v>0.08</v>
      </c>
      <c r="AC18" s="119">
        <v>0.08</v>
      </c>
      <c r="AD18" s="102"/>
      <c r="AE18" s="112">
        <v>0.08</v>
      </c>
      <c r="AF18" s="118">
        <v>0.08</v>
      </c>
      <c r="AG18" s="118">
        <v>0.08</v>
      </c>
      <c r="AH18" s="118">
        <v>0.08</v>
      </c>
      <c r="AI18" s="119">
        <v>0.08</v>
      </c>
      <c r="AJ18" s="102"/>
      <c r="AK18" s="112">
        <v>0.08</v>
      </c>
      <c r="AL18" s="118">
        <v>0.08</v>
      </c>
      <c r="AM18" s="118">
        <v>0.08</v>
      </c>
      <c r="AN18" s="118">
        <v>0.08</v>
      </c>
      <c r="AO18" s="119">
        <v>0.08</v>
      </c>
      <c r="AP18" s="102"/>
      <c r="AQ18" s="112">
        <v>0.08</v>
      </c>
      <c r="AR18" s="118">
        <v>0.08</v>
      </c>
      <c r="AS18" s="118">
        <v>0.08</v>
      </c>
      <c r="AT18" s="118">
        <v>0.08</v>
      </c>
      <c r="AU18" s="119">
        <v>0.08</v>
      </c>
      <c r="AV18" s="102"/>
      <c r="AW18" s="112">
        <v>0.08</v>
      </c>
      <c r="AX18" s="118">
        <v>0.08</v>
      </c>
      <c r="AY18" s="118">
        <v>0.08</v>
      </c>
      <c r="AZ18" s="118">
        <v>0.08</v>
      </c>
      <c r="BA18" s="119">
        <v>0.08</v>
      </c>
      <c r="BB18" s="102"/>
      <c r="BC18" s="98"/>
    </row>
    <row r="19" spans="1:55" s="94" customFormat="1" x14ac:dyDescent="0.3">
      <c r="A19" s="107"/>
      <c r="B19" s="147"/>
      <c r="C19" s="135"/>
      <c r="D19" s="98"/>
      <c r="E19" s="96" t="s">
        <v>0</v>
      </c>
      <c r="F19" s="127" t="s">
        <v>102</v>
      </c>
      <c r="G19" s="197">
        <v>8.3299999999999999E-2</v>
      </c>
      <c r="H19" s="198">
        <v>8.3299999999999999E-2</v>
      </c>
      <c r="I19" s="198">
        <v>8.3299999999999999E-2</v>
      </c>
      <c r="J19" s="198">
        <v>8.3299999999999999E-2</v>
      </c>
      <c r="K19" s="199">
        <v>8.3299999999999999E-2</v>
      </c>
      <c r="L19" s="103"/>
      <c r="M19" s="197">
        <v>8.3299999999999999E-2</v>
      </c>
      <c r="N19" s="198">
        <v>8.3299999999999999E-2</v>
      </c>
      <c r="O19" s="198">
        <v>8.3299999999999999E-2</v>
      </c>
      <c r="P19" s="198">
        <v>8.3299999999999999E-2</v>
      </c>
      <c r="Q19" s="199">
        <v>8.3299999999999999E-2</v>
      </c>
      <c r="R19" s="103"/>
      <c r="S19" s="197">
        <v>8.3299999999999999E-2</v>
      </c>
      <c r="T19" s="198">
        <v>8.3299999999999999E-2</v>
      </c>
      <c r="U19" s="198">
        <v>8.3299999999999999E-2</v>
      </c>
      <c r="V19" s="198">
        <v>8.3299999999999999E-2</v>
      </c>
      <c r="W19" s="199">
        <v>8.3299999999999999E-2</v>
      </c>
      <c r="X19" s="103"/>
      <c r="Y19" s="197">
        <v>8.3299999999999999E-2</v>
      </c>
      <c r="Z19" s="198">
        <v>8.3299999999999999E-2</v>
      </c>
      <c r="AA19" s="198">
        <v>8.3299999999999999E-2</v>
      </c>
      <c r="AB19" s="198">
        <v>8.3299999999999999E-2</v>
      </c>
      <c r="AC19" s="199">
        <v>8.3299999999999999E-2</v>
      </c>
      <c r="AD19" s="103"/>
      <c r="AE19" s="197">
        <v>8.3299999999999999E-2</v>
      </c>
      <c r="AF19" s="198">
        <v>8.3299999999999999E-2</v>
      </c>
      <c r="AG19" s="198">
        <v>8.3299999999999999E-2</v>
      </c>
      <c r="AH19" s="198">
        <v>8.3299999999999999E-2</v>
      </c>
      <c r="AI19" s="199">
        <v>8.3299999999999999E-2</v>
      </c>
      <c r="AJ19" s="103"/>
      <c r="AK19" s="197">
        <v>8.3299999999999999E-2</v>
      </c>
      <c r="AL19" s="198">
        <v>8.3299999999999999E-2</v>
      </c>
      <c r="AM19" s="198">
        <v>8.3299999999999999E-2</v>
      </c>
      <c r="AN19" s="198">
        <v>8.3299999999999999E-2</v>
      </c>
      <c r="AO19" s="199">
        <v>8.3299999999999999E-2</v>
      </c>
      <c r="AP19" s="103"/>
      <c r="AQ19" s="197">
        <v>8.3299999999999999E-2</v>
      </c>
      <c r="AR19" s="198">
        <v>8.3299999999999999E-2</v>
      </c>
      <c r="AS19" s="198">
        <v>8.3299999999999999E-2</v>
      </c>
      <c r="AT19" s="198">
        <v>8.3299999999999999E-2</v>
      </c>
      <c r="AU19" s="199">
        <v>8.3299999999999999E-2</v>
      </c>
      <c r="AV19" s="103"/>
      <c r="AW19" s="197">
        <v>8.3299999999999999E-2</v>
      </c>
      <c r="AX19" s="198">
        <v>8.3299999999999999E-2</v>
      </c>
      <c r="AY19" s="198">
        <v>8.3299999999999999E-2</v>
      </c>
      <c r="AZ19" s="198">
        <v>8.3299999999999999E-2</v>
      </c>
      <c r="BA19" s="199">
        <v>8.3299999999999999E-2</v>
      </c>
      <c r="BB19" s="103"/>
      <c r="BC19" s="98"/>
    </row>
    <row r="20" spans="1:55" s="94" customFormat="1" x14ac:dyDescent="0.3">
      <c r="A20" s="107"/>
      <c r="B20" s="147"/>
      <c r="C20" s="135"/>
      <c r="D20" s="98"/>
      <c r="E20" s="128" t="s">
        <v>19</v>
      </c>
      <c r="F20" s="128" t="s">
        <v>34</v>
      </c>
      <c r="G20" s="129">
        <f xml:space="preserve"> IF($G14= "% jaarsalaris INCL. VU", G15 * 12 * G16 * ( 1 + G17 ) * ( 1 + G18 ) * ( 1 + G19 ),  G15 * 12 * G16 * ( 1 + G17 ) * ( 1 + G18 ) + G15 * 12 * G16 * ( 1 + G17 )* ( G19 ) )</f>
        <v>39393.717591840003</v>
      </c>
      <c r="H20" s="130">
        <f xml:space="preserve"> IF($G14= "% jaarsalaris INCL. VU", H15 * 12 * H16 * ( 1 + H17 ) * ( 1 + H18 ) * ( 1 + H19 ),  H15 * 12 * H16 * ( 1 + H17 ) * ( 1 + H18 ) + H15 * 12 * H16 * ( 1 + H17 )* ( H19 ) )</f>
        <v>43142.411824319999</v>
      </c>
      <c r="I20" s="130">
        <f xml:space="preserve"> IF($G14= "% jaarsalaris INCL. VU", I15 * 12 * I16 * ( 1 + I17 ) * ( 1 + I18 ) * ( 1 + I19 ),  I15 * 12 * I16 * ( 1 + I17 ) * ( 1 + I18 ) + I15 * 12 * I16 * ( 1 + I17 )* ( I19 ) )</f>
        <v>0</v>
      </c>
      <c r="J20" s="130">
        <f xml:space="preserve"> IF($G14= "% jaarsalaris INCL. VU", J15 * 12 * J16 * ( 1 + J17 ) * ( 1 + J18 ) * ( 1 + J19 ),  J15 * 12 * J16 * ( 1 + J17 ) * ( 1 + J18 ) + J15 * 12 * J16 * ( 1 + J17 )* ( J19 ) )</f>
        <v>0</v>
      </c>
      <c r="K20" s="131">
        <f xml:space="preserve"> IF($G14= "% jaarsalaris INCL. VU", K15 * 12 * K16 * ( 1 + K17 ) * ( 1 + K18 ) * ( 1 + K19 ),  K15 * 12 * K16 * ( 1 + K17 ) * ( 1 + K18 ) + K15 * 12 * K16 * ( 1 + K17 )* ( K19 ) )</f>
        <v>59927.222678400009</v>
      </c>
      <c r="L20" s="103"/>
      <c r="M20" s="129">
        <f xml:space="preserve"> IF($M14= "% jaarsalaris INCL. VU", M15 * 12 * M16 * ( 1 + M17 ) * ( 1 + M18 ) * ( 1 + M19 ),  M15 * 12 * M16 * ( 1 + M17 ) * ( 1 + M18 ) + M15 * 12 * M16 * ( 1 + M17 )* ( M19 ) )</f>
        <v>39393.717591840003</v>
      </c>
      <c r="N20" s="130">
        <f xml:space="preserve"> IF($M14= "% jaarsalaris INCL. VU", N15 * 12 * N16 * ( 1 + N17 ) * ( 1 + N18 ) * ( 1 + N19 ),  N15 * 12 * N16 * ( 1 + N17 ) * ( 1 + N18 ) + N15 * 12 * N16 * ( 1 + N17 )* ( N19 ) )</f>
        <v>43142.411824319999</v>
      </c>
      <c r="O20" s="130">
        <f xml:space="preserve"> IF($M14= "% jaarsalaris INCL. VU", O15 * 12 * O16 * ( 1 + O17 ) * ( 1 + O18 ) * ( 1 + O19 ),  O15 * 12 * O16 * ( 1 + O17 ) * ( 1 + O18 ) + O15 * 12 * O16 * ( 1 + O17 )* ( O19 ) )</f>
        <v>47708.295456960012</v>
      </c>
      <c r="P20" s="130">
        <f xml:space="preserve"> IF($M14= "% jaarsalaris INCL. VU", P15 * 12 * P16 * ( 1 + P17 ) * ( 1 + P18 ) * ( 1 + P19 ),  P15 * 12 * P16 * ( 1 + P17 ) * ( 1 + P18 ) + P15 * 12 * P16 * ( 1 + P17 )* ( P19 ) )</f>
        <v>0</v>
      </c>
      <c r="Q20" s="131">
        <f xml:space="preserve"> IF($M14= "% jaarsalaris INCL. VU", Q15 * 12 * Q16 * ( 1 + Q17 ) * ( 1 + Q18 ) * ( 1 + Q19 ),  Q15 * 12 * Q16 * ( 1 + Q17 ) * ( 1 + Q18 ) + Q15 * 12 * Q16 * ( 1 + Q17 )* ( Q19 ) )</f>
        <v>59927.222678400009</v>
      </c>
      <c r="R20" s="103"/>
      <c r="S20" s="129">
        <f xml:space="preserve"> IF($S14= "% jaarsalaris INCL. VU", S15 * 12 * S16 * ( 1 + S17 ) * ( 1 + S18 ) * ( 1 + S19 ),  S15 * 12 * S16 * ( 1 + S17 ) * ( 1 + S18 ) + S15 * 12 * S16 * ( 1 + S17 )* ( S19 ) )</f>
        <v>35878.506045120004</v>
      </c>
      <c r="T20" s="130">
        <f t="shared" ref="T20:W20" si="0" xml:space="preserve"> IF($S14= "% jaarsalaris INCL. VU", T15 * 12 * T16 * ( 1 + T17 ) * ( 1 + T18 ) * ( 1 + T19 ),  T15 * 12 * T16 * ( 1 + T17 ) * ( 1 + T18 ) + T15 * 12 * T16 * ( 1 + T17 )* ( T19 ) )</f>
        <v>37642.597448640001</v>
      </c>
      <c r="U20" s="130">
        <f t="shared" si="0"/>
        <v>41365.349160480007</v>
      </c>
      <c r="V20" s="130">
        <f t="shared" si="0"/>
        <v>71030.621512319995</v>
      </c>
      <c r="W20" s="131">
        <f t="shared" si="0"/>
        <v>0</v>
      </c>
      <c r="X20" s="103"/>
      <c r="Y20" s="129">
        <f xml:space="preserve"> IF($Y14= "% jaarsalaris INCL. VU", Y15 * 12 * Y16 * ( 1 + Y17 ) * ( 1 + Y18 ) * ( 1 + Y19 ),  Y15 * 12 * Y16 * ( 1 + Y17 ) * ( 1 + Y18 ) + Y15 * 12 * Y16 * ( 1 + Y17 )* ( Y19 ) )</f>
        <v>0</v>
      </c>
      <c r="Z20" s="130">
        <f xml:space="preserve"> IF($Y14= "% jaarsalaris INCL. VU", Z15 * 12 * Z16 * ( 1 + Z17 ) * ( 1 + Z18 ) * ( 1 + Z19 ),  Z15 * 12 * Z16 * ( 1 + Z17 ) * ( 1 + Z18 ) + Z15 * 12 * Z16 * ( 1 + Z17 )* ( Z19 ) )</f>
        <v>37642.597448640001</v>
      </c>
      <c r="AA20" s="130">
        <f xml:space="preserve"> IF($Y14= "% jaarsalaris INCL. VU", AA15 * 12 * AA16 * ( 1 + AA17 ) * ( 1 + AA18 ) * ( 1 + AA19 ),  AA15 * 12 * AA16 * ( 1 + AA17 ) * ( 1 + AA18 ) + AA15 * 12 * AA16 * ( 1 + AA17 )* ( AA19 ) )</f>
        <v>41365.349160480007</v>
      </c>
      <c r="AB20" s="130">
        <f xml:space="preserve"> IF($Y14= "% jaarsalaris INCL. VU", AB15 * 12 * AB16 * ( 1 + AB17 ) * ( 1 + AB18 ) * ( 1 + AB19 ),  AB15 * 12 * AB16 * ( 1 + AB17 ) * ( 1 + AB18 ) + AB15 * 12 * AB16 * ( 1 + AB17 )* ( AB19 ) )</f>
        <v>47007.847399680002</v>
      </c>
      <c r="AC20" s="131">
        <f xml:space="preserve"> IF($Y14= "% jaarsalaris INCL. VU", AC15 * 12 * AC16 * ( 1 + AC17 ) * ( 1 + AC18 ) * ( 1 + AC19 ),  AC15 * 12 * AC16 * ( 1 + AC17 ) * ( 1 + AC18 ) + AC15 * 12 * AC16 * ( 1 + AC17 )* ( AC19 ) )</f>
        <v>71030.621512319995</v>
      </c>
      <c r="AD20" s="103"/>
      <c r="AE20" s="129">
        <f xml:space="preserve"> IF($AE14= "% jaarsalaris INCL. VU", AE15 * 12 * AE16 * ( 1 + AE17 ) * ( 1 + AE18 ) * ( 1 + AE19 ),  AE15 * 12 * AE16 * ( 1 + AE17 ) * ( 1 + AE18 ) + AE15 * 12 * AE16 * ( 1 + AE17 )* ( AE19 ) )</f>
        <v>0</v>
      </c>
      <c r="AF20" s="130">
        <f t="shared" ref="AF20:AI20" si="1" xml:space="preserve"> IF($AE14= "% jaarsalaris INCL. VU", AF15 * 12 * AF16 * ( 1 + AF17 ) * ( 1 + AF18 ) * ( 1 + AF19 ),  AF15 * 12 * AF16 * ( 1 + AF17 ) * ( 1 + AF18 ) + AF15 * 12 * AF16 * ( 1 + AF17 )* ( AF19 ) )</f>
        <v>46559.366232674693</v>
      </c>
      <c r="AG20" s="130">
        <f t="shared" si="1"/>
        <v>50728.468402100734</v>
      </c>
      <c r="AH20" s="130">
        <f t="shared" si="1"/>
        <v>63874.485850409859</v>
      </c>
      <c r="AI20" s="131">
        <f t="shared" si="1"/>
        <v>0</v>
      </c>
      <c r="AJ20" s="103"/>
      <c r="AK20" s="129">
        <f xml:space="preserve"> IF($AK14= "% jaarsalaris INCL. VU", AK15 * 12 * AK16 * ( 1 + AK17 ) * ( 1 + AK18 ) * ( 1 + AK19 ),  AK15 * 12 * AK16 * ( 1 + AK17 ) * ( 1 + AK18 ) + AK15 * 12 * AK16 * ( 1 + AK17 )* ( AK19 ) )</f>
        <v>0</v>
      </c>
      <c r="AL20" s="130">
        <f t="shared" ref="AL20:AO20" si="2" xml:space="preserve"> IF($AK14= "% jaarsalaris INCL. VU", AL15 * 12 * AL16 * ( 1 + AL17 ) * ( 1 + AL18 ) * ( 1 + AL19 ),  AL15 * 12 * AL16 * ( 1 + AL17 ) * ( 1 + AL18 ) + AL15 * 12 * AL16 * ( 1 + AL17 )* ( AL19 ) )</f>
        <v>42776.412834182411</v>
      </c>
      <c r="AM20" s="130">
        <f t="shared" si="2"/>
        <v>45581.209650086399</v>
      </c>
      <c r="AN20" s="130">
        <f t="shared" si="2"/>
        <v>48764.327896972805</v>
      </c>
      <c r="AO20" s="131">
        <f t="shared" si="2"/>
        <v>61470.709751347204</v>
      </c>
      <c r="AP20" s="103"/>
      <c r="AQ20" s="129">
        <f xml:space="preserve"> IF($AQ14= "% jaarsalaris INCL. VU", AQ15 * 12 * AQ16 * ( 1 + AQ17 ) * ( 1 + AQ18 ) * ( 1 + AQ19 ),  AQ15 * 12 * AQ16 * ( 1 + AQ17 ) * ( 1 + AQ18 ) + AQ15 * 12 * AQ16 * ( 1 + AQ17 )* ( AQ19 ) )</f>
        <v>42776.412834182411</v>
      </c>
      <c r="AR20" s="130">
        <f xml:space="preserve"> IF($AQ14= "% jaarsalaris INCL. VU", AR15 * 12 * AR16 * ( 1 + AR17 ) * ( 1 + AR18 ) * ( 1 + AR19 ),  AR15 * 12 * AR16 * ( 1 + AR17 ) * ( 1 + AR18 ) + AR15 * 12 * AR16 * ( 1 + AR17 )* ( AR19 ) )</f>
        <v>45581.209650086399</v>
      </c>
      <c r="AS20" s="130">
        <f xml:space="preserve"> IF($AQ14= "% jaarsalaris INCL. VU", AS15 * 12 * AS16 * ( 1 + AS17 ) * ( 1 + AS18 ) * ( 1 + AS19 ),  AS15 * 12 * AS16 * ( 1 + AS17 ) * ( 1 + AS18 ) + AS15 * 12 * AS16 * ( 1 + AS17 )* ( AS19 ) )</f>
        <v>0</v>
      </c>
      <c r="AT20" s="130">
        <f xml:space="preserve"> IF($AQ14= "% jaarsalaris INCL. VU", AT15 * 12 * AT16 * ( 1 + AT17 ) * ( 1 + AT18 ) * ( 1 + AT19 ),  AT15 * 12 * AT16 * ( 1 + AT17 ) * ( 1 + AT18 ) + AT15 * 12 * AT16 * ( 1 + AT17 )* ( AT19 ) )</f>
        <v>48764.327896972805</v>
      </c>
      <c r="AU20" s="131">
        <f xml:space="preserve"> IF($AQ14= "% jaarsalaris INCL. VU", AU15 * 12 * AU16 * ( 1 + AU17 ) * ( 1 + AU18 ) * ( 1 + AU19 ),  AU15 * 12 * AU16 * ( 1 + AU17 ) * ( 1 + AU18 ) + AU15 * 12 * AU16 * ( 1 + AU17 )* ( AU19 ) )</f>
        <v>61470.709751347204</v>
      </c>
      <c r="AV20" s="103"/>
      <c r="AW20" s="129">
        <f xml:space="preserve"> IF($AW14= "% jaarsalaris INCL. VU", AW15 * 12 * AW16 * ( 1 + AW17 ) * ( 1 + AW18 ) * ( 1 + AW19 ),  AW15 * 12 * AW16 * ( 1 + AW17 ) * ( 1 + AW18 ) + AW15 * 12 * AW16 * ( 1 + AW17 )* ( AW19 ) )</f>
        <v>38538.262973736011</v>
      </c>
      <c r="AX20" s="130">
        <f t="shared" ref="AX20:BA20" si="3" xml:space="preserve"> IF($AW14= "% jaarsalaris INCL. VU", AX15 * 12 * AX16 * ( 1 + AX17 ) * ( 1 + AX18 ) * ( 1 + AX19 ),  AX15 * 12 * AX16 * ( 1 + AX17 ) * ( 1 + AX18 ) + AX15 * 12 * AX16 * ( 1 + AX17 )* ( AX19 ) )</f>
        <v>0</v>
      </c>
      <c r="AY20" s="130">
        <f t="shared" si="3"/>
        <v>0</v>
      </c>
      <c r="AZ20" s="130">
        <f t="shared" si="3"/>
        <v>0</v>
      </c>
      <c r="BA20" s="131">
        <f t="shared" si="3"/>
        <v>0</v>
      </c>
      <c r="BB20" s="103"/>
      <c r="BC20" s="98"/>
    </row>
    <row r="21" spans="1:55" s="94" customFormat="1" ht="6" customHeight="1" x14ac:dyDescent="0.3">
      <c r="A21" s="107"/>
      <c r="B21" s="147"/>
      <c r="C21" s="135"/>
      <c r="D21" s="98"/>
      <c r="E21" s="97"/>
      <c r="F21" s="127"/>
      <c r="G21" s="113"/>
      <c r="H21" s="120"/>
      <c r="I21" s="120"/>
      <c r="J21" s="120"/>
      <c r="K21" s="121"/>
      <c r="L21" s="103"/>
      <c r="M21" s="113"/>
      <c r="N21" s="120"/>
      <c r="O21" s="120"/>
      <c r="P21" s="120"/>
      <c r="Q21" s="121"/>
      <c r="R21" s="103"/>
      <c r="S21" s="113"/>
      <c r="T21" s="120"/>
      <c r="U21" s="120"/>
      <c r="V21" s="120"/>
      <c r="W21" s="121"/>
      <c r="X21" s="103"/>
      <c r="Y21" s="113"/>
      <c r="Z21" s="120"/>
      <c r="AA21" s="120"/>
      <c r="AB21" s="120"/>
      <c r="AC21" s="121"/>
      <c r="AD21" s="103"/>
      <c r="AE21" s="113"/>
      <c r="AF21" s="120"/>
      <c r="AG21" s="120"/>
      <c r="AH21" s="120"/>
      <c r="AI21" s="121"/>
      <c r="AJ21" s="103"/>
      <c r="AK21" s="113"/>
      <c r="AL21" s="120"/>
      <c r="AM21" s="120"/>
      <c r="AN21" s="120"/>
      <c r="AO21" s="121"/>
      <c r="AP21" s="103"/>
      <c r="AQ21" s="113"/>
      <c r="AR21" s="120"/>
      <c r="AS21" s="120"/>
      <c r="AT21" s="120"/>
      <c r="AU21" s="121"/>
      <c r="AV21" s="103"/>
      <c r="AW21" s="113"/>
      <c r="AX21" s="120"/>
      <c r="AY21" s="120"/>
      <c r="AZ21" s="120"/>
      <c r="BA21" s="121"/>
      <c r="BB21" s="103"/>
      <c r="BC21" s="98"/>
    </row>
    <row r="22" spans="1:55" s="468" customFormat="1" x14ac:dyDescent="0.3">
      <c r="A22" s="466"/>
      <c r="B22" s="467"/>
      <c r="C22" s="466"/>
      <c r="E22" s="469" t="s">
        <v>24</v>
      </c>
      <c r="F22" s="470" t="s">
        <v>20</v>
      </c>
      <c r="G22" s="34">
        <v>0.25</v>
      </c>
      <c r="H22" s="34">
        <v>0.25</v>
      </c>
      <c r="I22" s="34"/>
      <c r="J22" s="34"/>
      <c r="K22" s="471">
        <v>0.25</v>
      </c>
      <c r="L22" s="469"/>
      <c r="M22" s="472">
        <v>0.25</v>
      </c>
      <c r="N22" s="34">
        <v>0.25</v>
      </c>
      <c r="O22" s="34">
        <v>0.25</v>
      </c>
      <c r="P22" s="34"/>
      <c r="Q22" s="471">
        <v>0.25</v>
      </c>
      <c r="R22" s="469"/>
      <c r="S22" s="472">
        <v>0.25</v>
      </c>
      <c r="T22" s="34">
        <v>0.25</v>
      </c>
      <c r="U22" s="34">
        <v>0.25</v>
      </c>
      <c r="V22" s="34">
        <v>0.25</v>
      </c>
      <c r="W22" s="471"/>
      <c r="X22" s="469"/>
      <c r="Y22" s="472"/>
      <c r="Z22" s="34">
        <v>0.25</v>
      </c>
      <c r="AA22" s="34">
        <v>0.25</v>
      </c>
      <c r="AB22" s="34">
        <v>0.25</v>
      </c>
      <c r="AC22" s="471">
        <v>0.25</v>
      </c>
      <c r="AD22" s="469"/>
      <c r="AE22" s="472"/>
      <c r="AF22" s="34">
        <v>0.25</v>
      </c>
      <c r="AG22" s="34">
        <v>0.25</v>
      </c>
      <c r="AH22" s="34">
        <v>0.25</v>
      </c>
      <c r="AI22" s="471"/>
      <c r="AJ22" s="469"/>
      <c r="AK22" s="472"/>
      <c r="AL22" s="34">
        <v>0.25</v>
      </c>
      <c r="AM22" s="34">
        <v>0.25</v>
      </c>
      <c r="AN22" s="34">
        <v>0.25</v>
      </c>
      <c r="AO22" s="471">
        <v>0.25</v>
      </c>
      <c r="AP22" s="469"/>
      <c r="AQ22" s="472">
        <v>0.25</v>
      </c>
      <c r="AR22" s="34">
        <v>0.25</v>
      </c>
      <c r="AS22" s="34"/>
      <c r="AT22" s="34">
        <v>0.25</v>
      </c>
      <c r="AU22" s="471">
        <v>0.25</v>
      </c>
      <c r="AV22" s="469"/>
      <c r="AW22" s="472">
        <v>0.25</v>
      </c>
      <c r="AX22" s="34"/>
      <c r="AY22" s="34"/>
      <c r="AZ22" s="34"/>
      <c r="BA22" s="471"/>
      <c r="BB22" s="469"/>
    </row>
    <row r="23" spans="1:55" s="468" customFormat="1" x14ac:dyDescent="0.3">
      <c r="A23" s="466"/>
      <c r="B23" s="467"/>
      <c r="C23" s="466"/>
      <c r="E23" s="469" t="s">
        <v>1</v>
      </c>
      <c r="F23" s="470" t="s">
        <v>20</v>
      </c>
      <c r="G23" s="34">
        <v>0.04</v>
      </c>
      <c r="H23" s="34">
        <v>0.04</v>
      </c>
      <c r="I23" s="34"/>
      <c r="J23" s="34"/>
      <c r="K23" s="471">
        <v>0.04</v>
      </c>
      <c r="L23" s="469"/>
      <c r="M23" s="472">
        <v>0.04</v>
      </c>
      <c r="N23" s="34">
        <v>0.04</v>
      </c>
      <c r="O23" s="34">
        <v>0.04</v>
      </c>
      <c r="P23" s="34"/>
      <c r="Q23" s="471">
        <v>0.04</v>
      </c>
      <c r="R23" s="469"/>
      <c r="S23" s="472">
        <v>0.04</v>
      </c>
      <c r="T23" s="34">
        <v>0.04</v>
      </c>
      <c r="U23" s="34">
        <v>0.04</v>
      </c>
      <c r="V23" s="34">
        <v>0.04</v>
      </c>
      <c r="W23" s="471"/>
      <c r="X23" s="469"/>
      <c r="Y23" s="472"/>
      <c r="Z23" s="34">
        <v>0.04</v>
      </c>
      <c r="AA23" s="34">
        <v>0.04</v>
      </c>
      <c r="AB23" s="34">
        <v>0.04</v>
      </c>
      <c r="AC23" s="471">
        <v>0.04</v>
      </c>
      <c r="AD23" s="469"/>
      <c r="AE23" s="472"/>
      <c r="AF23" s="34">
        <v>0.04</v>
      </c>
      <c r="AG23" s="34">
        <v>0.04</v>
      </c>
      <c r="AH23" s="34">
        <v>0.04</v>
      </c>
      <c r="AI23" s="471"/>
      <c r="AJ23" s="469"/>
      <c r="AK23" s="472"/>
      <c r="AL23" s="34">
        <v>0.04</v>
      </c>
      <c r="AM23" s="34">
        <v>0.04</v>
      </c>
      <c r="AN23" s="34">
        <v>0.04</v>
      </c>
      <c r="AO23" s="471">
        <v>0.04</v>
      </c>
      <c r="AP23" s="469"/>
      <c r="AQ23" s="472">
        <v>0.04</v>
      </c>
      <c r="AR23" s="34">
        <v>0.04</v>
      </c>
      <c r="AS23" s="34"/>
      <c r="AT23" s="34">
        <v>0.04</v>
      </c>
      <c r="AU23" s="471">
        <v>0.04</v>
      </c>
      <c r="AV23" s="469"/>
      <c r="AW23" s="472">
        <v>0.04</v>
      </c>
      <c r="AX23" s="34"/>
      <c r="AY23" s="34"/>
      <c r="AZ23" s="34"/>
      <c r="BA23" s="471"/>
      <c r="BB23" s="469"/>
    </row>
    <row r="24" spans="1:55" s="94" customFormat="1" x14ac:dyDescent="0.3">
      <c r="A24" s="107"/>
      <c r="B24" s="147"/>
      <c r="C24" s="135"/>
      <c r="D24" s="98"/>
      <c r="E24" s="128" t="s">
        <v>21</v>
      </c>
      <c r="F24" s="128" t="s">
        <v>34</v>
      </c>
      <c r="G24" s="129">
        <f xml:space="preserve"> G20 + ( G20 * G22 ) + ( G20 * G23 )</f>
        <v>50817.895693473605</v>
      </c>
      <c r="H24" s="130">
        <f t="shared" ref="H24:K24" si="4" xml:space="preserve"> H20 + ( H20 * H22 ) + ( H20 * H23 )</f>
        <v>55653.7112533728</v>
      </c>
      <c r="I24" s="130">
        <f t="shared" si="4"/>
        <v>0</v>
      </c>
      <c r="J24" s="130">
        <f t="shared" si="4"/>
        <v>0</v>
      </c>
      <c r="K24" s="131">
        <f t="shared" si="4"/>
        <v>77306.117255136007</v>
      </c>
      <c r="L24" s="104"/>
      <c r="M24" s="129">
        <f xml:space="preserve"> M20 + ( M20 * M22 ) + ( M20 * M23 )</f>
        <v>50817.895693473605</v>
      </c>
      <c r="N24" s="130">
        <f xml:space="preserve"> N20 + ( N20 * N22 ) + ( N20 * N23 )</f>
        <v>55653.7112533728</v>
      </c>
      <c r="O24" s="130">
        <f xml:space="preserve"> O20 + ( O20 * O22 ) + ( O20 * O23 )</f>
        <v>61543.701139478413</v>
      </c>
      <c r="P24" s="130">
        <f xml:space="preserve"> P20 + ( P20 * P22 ) + ( P20 * P23 )</f>
        <v>0</v>
      </c>
      <c r="Q24" s="131">
        <f xml:space="preserve"> Q20 + ( Q20 * Q22 ) + ( Q20 * Q23 )</f>
        <v>77306.117255136007</v>
      </c>
      <c r="R24" s="104"/>
      <c r="S24" s="129">
        <f xml:space="preserve"> S20 + ( S20 * S22 ) + ( S20 * S23 )</f>
        <v>46283.272798204809</v>
      </c>
      <c r="T24" s="130">
        <f t="shared" ref="T24:W24" si="5" xml:space="preserve"> T20 + ( T20 * T22 ) + ( T20 * T23 )</f>
        <v>48558.9507087456</v>
      </c>
      <c r="U24" s="130">
        <f t="shared" si="5"/>
        <v>53361.300417019214</v>
      </c>
      <c r="V24" s="130">
        <f t="shared" si="5"/>
        <v>91629.501750892799</v>
      </c>
      <c r="W24" s="131">
        <f t="shared" si="5"/>
        <v>0</v>
      </c>
      <c r="X24" s="104"/>
      <c r="Y24" s="129">
        <f xml:space="preserve"> Y20 + ( Y20 * Y22 ) + ( Y20 * Y23 )</f>
        <v>0</v>
      </c>
      <c r="Z24" s="130">
        <f xml:space="preserve"> Z20 + ( Z20 * Z22 ) + ( Z20 * Z23 )</f>
        <v>48558.9507087456</v>
      </c>
      <c r="AA24" s="130">
        <f xml:space="preserve"> AA20 + ( AA20 * AA22 ) + ( AA20 * AA23 )</f>
        <v>53361.300417019214</v>
      </c>
      <c r="AB24" s="130">
        <f xml:space="preserve"> AB20 + ( AB20 * AB22 ) + ( AB20 * AB23 )</f>
        <v>60640.123145587204</v>
      </c>
      <c r="AC24" s="131">
        <f xml:space="preserve"> AC20 + ( AC20 * AC22 ) + ( AC20 * AC23 )</f>
        <v>91629.501750892799</v>
      </c>
      <c r="AD24" s="104"/>
      <c r="AE24" s="129">
        <f xml:space="preserve"> AE20 + ( AE20 * AE22 ) + ( AE20 * AE23 )</f>
        <v>0</v>
      </c>
      <c r="AF24" s="130">
        <f t="shared" ref="AF24:AI24" si="6" xml:space="preserve"> AF20 + ( AF20 * AF22 ) + ( AF20 * AF23 )</f>
        <v>60061.582440150349</v>
      </c>
      <c r="AG24" s="130">
        <f t="shared" si="6"/>
        <v>65439.724238709947</v>
      </c>
      <c r="AH24" s="130">
        <f t="shared" si="6"/>
        <v>82398.086747028719</v>
      </c>
      <c r="AI24" s="131">
        <f t="shared" si="6"/>
        <v>0</v>
      </c>
      <c r="AJ24" s="104"/>
      <c r="AK24" s="129">
        <f xml:space="preserve"> AK20 + ( AK20 * AK22 ) + ( AK20 * AK23 )</f>
        <v>0</v>
      </c>
      <c r="AL24" s="130">
        <f t="shared" ref="AL24:AO24" si="7" xml:space="preserve"> AL20 + ( AL20 * AL22 ) + ( AL20 * AL23 )</f>
        <v>55181.572556095307</v>
      </c>
      <c r="AM24" s="130">
        <f t="shared" si="7"/>
        <v>58799.760448611458</v>
      </c>
      <c r="AN24" s="130">
        <f t="shared" si="7"/>
        <v>62905.982987094918</v>
      </c>
      <c r="AO24" s="131">
        <f t="shared" si="7"/>
        <v>79297.215579237905</v>
      </c>
      <c r="AP24" s="104"/>
      <c r="AQ24" s="129">
        <f xml:space="preserve"> AQ20 + ( AQ20 * AQ22 ) + ( AQ20 * AQ23 )</f>
        <v>55181.572556095307</v>
      </c>
      <c r="AR24" s="130">
        <f xml:space="preserve"> AR20 + ( AR20 * AR22 ) + ( AR20 * AR23 )</f>
        <v>58799.760448611458</v>
      </c>
      <c r="AS24" s="130">
        <f xml:space="preserve"> AS20 + ( AS20 * AS22 ) + ( AS20 * AS23 )</f>
        <v>0</v>
      </c>
      <c r="AT24" s="130">
        <f xml:space="preserve"> AT20 + ( AT20 * AT22 ) + ( AT20 * AT23 )</f>
        <v>62905.982987094918</v>
      </c>
      <c r="AU24" s="131">
        <f xml:space="preserve"> AU20 + ( AU20 * AU22 ) + ( AU20 * AU23 )</f>
        <v>79297.215579237905</v>
      </c>
      <c r="AV24" s="104"/>
      <c r="AW24" s="129">
        <f xml:space="preserve"> AW20 + ( AW20 * AW22 ) + ( AW20 * AW23 )</f>
        <v>49714.359236119453</v>
      </c>
      <c r="AX24" s="130">
        <f t="shared" ref="AX24:BA24" si="8" xml:space="preserve"> AX20 + ( AX20 * AX22 ) + ( AX20 * AX23 )</f>
        <v>0</v>
      </c>
      <c r="AY24" s="130">
        <f t="shared" si="8"/>
        <v>0</v>
      </c>
      <c r="AZ24" s="130">
        <f t="shared" si="8"/>
        <v>0</v>
      </c>
      <c r="BA24" s="131">
        <f t="shared" si="8"/>
        <v>0</v>
      </c>
      <c r="BB24" s="104"/>
    </row>
    <row r="25" spans="1:55" s="94" customFormat="1" ht="6" customHeight="1" x14ac:dyDescent="0.3">
      <c r="A25" s="107"/>
      <c r="B25" s="147"/>
      <c r="C25" s="135"/>
      <c r="D25" s="98"/>
      <c r="E25" s="97"/>
      <c r="F25" s="127"/>
      <c r="G25" s="113"/>
      <c r="H25" s="120"/>
      <c r="I25" s="120"/>
      <c r="J25" s="120"/>
      <c r="K25" s="121"/>
      <c r="L25" s="103"/>
      <c r="M25" s="113"/>
      <c r="N25" s="120"/>
      <c r="O25" s="120"/>
      <c r="P25" s="120"/>
      <c r="Q25" s="121"/>
      <c r="R25" s="103"/>
      <c r="S25" s="113"/>
      <c r="T25" s="120"/>
      <c r="U25" s="120"/>
      <c r="V25" s="120"/>
      <c r="W25" s="121"/>
      <c r="X25" s="103"/>
      <c r="Y25" s="113"/>
      <c r="Z25" s="120"/>
      <c r="AA25" s="120"/>
      <c r="AB25" s="120"/>
      <c r="AC25" s="121"/>
      <c r="AD25" s="103"/>
      <c r="AE25" s="113"/>
      <c r="AF25" s="120"/>
      <c r="AG25" s="120"/>
      <c r="AH25" s="120"/>
      <c r="AI25" s="121"/>
      <c r="AJ25" s="103"/>
      <c r="AK25" s="113"/>
      <c r="AL25" s="120"/>
      <c r="AM25" s="120"/>
      <c r="AN25" s="120"/>
      <c r="AO25" s="121"/>
      <c r="AP25" s="103"/>
      <c r="AQ25" s="113"/>
      <c r="AR25" s="120"/>
      <c r="AS25" s="120"/>
      <c r="AT25" s="120"/>
      <c r="AU25" s="121"/>
      <c r="AV25" s="103"/>
      <c r="AW25" s="113"/>
      <c r="AX25" s="120"/>
      <c r="AY25" s="120"/>
      <c r="AZ25" s="120"/>
      <c r="BA25" s="121"/>
      <c r="BB25" s="103"/>
      <c r="BC25" s="98"/>
    </row>
    <row r="26" spans="1:55" s="468" customFormat="1" x14ac:dyDescent="0.3">
      <c r="A26" s="466"/>
      <c r="B26" s="467"/>
      <c r="C26" s="466"/>
      <c r="E26" s="473" t="s">
        <v>80</v>
      </c>
      <c r="F26" s="473" t="s">
        <v>22</v>
      </c>
      <c r="G26" s="34">
        <v>0.01</v>
      </c>
      <c r="H26" s="34">
        <v>0.01</v>
      </c>
      <c r="I26" s="34"/>
      <c r="J26" s="34"/>
      <c r="K26" s="471">
        <v>0.01</v>
      </c>
      <c r="L26" s="469"/>
      <c r="M26" s="472">
        <v>0.01</v>
      </c>
      <c r="N26" s="34">
        <v>0.01</v>
      </c>
      <c r="O26" s="34">
        <v>0.01</v>
      </c>
      <c r="P26" s="34"/>
      <c r="Q26" s="471">
        <v>0.01</v>
      </c>
      <c r="R26" s="469"/>
      <c r="S26" s="472">
        <v>0.01</v>
      </c>
      <c r="T26" s="34">
        <v>0.01</v>
      </c>
      <c r="U26" s="34">
        <v>0.01</v>
      </c>
      <c r="V26" s="34">
        <v>0.01</v>
      </c>
      <c r="W26" s="471"/>
      <c r="X26" s="469"/>
      <c r="Y26" s="472"/>
      <c r="Z26" s="34">
        <v>0.01</v>
      </c>
      <c r="AA26" s="34">
        <v>0.01</v>
      </c>
      <c r="AB26" s="34">
        <v>0.01</v>
      </c>
      <c r="AC26" s="471">
        <v>0.01</v>
      </c>
      <c r="AD26" s="469"/>
      <c r="AE26" s="472"/>
      <c r="AF26" s="34">
        <v>0.01</v>
      </c>
      <c r="AG26" s="34">
        <v>0.01</v>
      </c>
      <c r="AH26" s="34">
        <v>0.01</v>
      </c>
      <c r="AI26" s="471"/>
      <c r="AJ26" s="469"/>
      <c r="AK26" s="472"/>
      <c r="AL26" s="34">
        <v>0.01</v>
      </c>
      <c r="AM26" s="34">
        <v>0.01</v>
      </c>
      <c r="AN26" s="34">
        <v>0.01</v>
      </c>
      <c r="AO26" s="471">
        <v>0.01</v>
      </c>
      <c r="AP26" s="469"/>
      <c r="AQ26" s="472">
        <v>0.01</v>
      </c>
      <c r="AR26" s="34">
        <v>0.01</v>
      </c>
      <c r="AS26" s="34"/>
      <c r="AT26" s="34">
        <v>0.01</v>
      </c>
      <c r="AU26" s="471">
        <v>0.01</v>
      </c>
      <c r="AV26" s="469"/>
      <c r="AW26" s="472">
        <v>0.01</v>
      </c>
      <c r="AX26" s="34"/>
      <c r="AY26" s="34"/>
      <c r="AZ26" s="34"/>
      <c r="BA26" s="471"/>
      <c r="BB26" s="469"/>
    </row>
    <row r="27" spans="1:55" s="94" customFormat="1" x14ac:dyDescent="0.3">
      <c r="A27" s="107"/>
      <c r="B27" s="147"/>
      <c r="C27" s="135"/>
      <c r="D27" s="98"/>
      <c r="E27" s="128" t="s">
        <v>26</v>
      </c>
      <c r="F27" s="128" t="s">
        <v>34</v>
      </c>
      <c r="G27" s="129">
        <f xml:space="preserve"> G24 * ( 1 + G26 )</f>
        <v>51326.074650408344</v>
      </c>
      <c r="H27" s="130">
        <f t="shared" ref="H27:K27" si="9" xml:space="preserve"> H24 * ( 1 + H26 )</f>
        <v>56210.248365906526</v>
      </c>
      <c r="I27" s="130">
        <f t="shared" si="9"/>
        <v>0</v>
      </c>
      <c r="J27" s="130">
        <f t="shared" si="9"/>
        <v>0</v>
      </c>
      <c r="K27" s="131">
        <f t="shared" si="9"/>
        <v>78079.178427687366</v>
      </c>
      <c r="L27" s="104"/>
      <c r="M27" s="129">
        <f xml:space="preserve"> M24 * ( 1 + M26 )</f>
        <v>51326.074650408344</v>
      </c>
      <c r="N27" s="130">
        <f xml:space="preserve"> N24 * ( 1 + N26 )</f>
        <v>56210.248365906526</v>
      </c>
      <c r="O27" s="130">
        <f xml:space="preserve"> O24 * ( 1 + O26 )</f>
        <v>62159.138150873201</v>
      </c>
      <c r="P27" s="130">
        <f xml:space="preserve"> P24 * ( 1 + P26 )</f>
        <v>0</v>
      </c>
      <c r="Q27" s="131">
        <f xml:space="preserve"> Q24 * ( 1 + Q26 )</f>
        <v>78079.178427687366</v>
      </c>
      <c r="R27" s="104"/>
      <c r="S27" s="129">
        <f xml:space="preserve"> S24 * ( 1 + S26 )</f>
        <v>46746.105526186861</v>
      </c>
      <c r="T27" s="130">
        <f t="shared" ref="T27:W27" si="10" xml:space="preserve"> T24 * ( 1 + T26 )</f>
        <v>49044.540215833054</v>
      </c>
      <c r="U27" s="130">
        <f t="shared" si="10"/>
        <v>53894.913421189405</v>
      </c>
      <c r="V27" s="130">
        <f t="shared" si="10"/>
        <v>92545.796768401735</v>
      </c>
      <c r="W27" s="131">
        <f t="shared" si="10"/>
        <v>0</v>
      </c>
      <c r="X27" s="104"/>
      <c r="Y27" s="129">
        <f xml:space="preserve"> Y24 * ( 1 + Y26 )</f>
        <v>0</v>
      </c>
      <c r="Z27" s="130">
        <f xml:space="preserve"> Z24 * ( 1 + Z26 )</f>
        <v>49044.540215833054</v>
      </c>
      <c r="AA27" s="130">
        <f xml:space="preserve"> AA24 * ( 1 + AA26 )</f>
        <v>53894.913421189405</v>
      </c>
      <c r="AB27" s="130">
        <f xml:space="preserve"> AB24 * ( 1 + AB26 )</f>
        <v>61246.524377043075</v>
      </c>
      <c r="AC27" s="131">
        <f xml:space="preserve"> AC24 * ( 1 + AC26 )</f>
        <v>92545.796768401735</v>
      </c>
      <c r="AD27" s="104"/>
      <c r="AE27" s="129">
        <f xml:space="preserve"> AE24 * ( 1 + AE26 )</f>
        <v>0</v>
      </c>
      <c r="AF27" s="130">
        <f t="shared" ref="AF27:AI27" si="11" xml:space="preserve"> AF24 * ( 1 + AF26 )</f>
        <v>60662.198264551851</v>
      </c>
      <c r="AG27" s="130">
        <f t="shared" si="11"/>
        <v>66094.121481097041</v>
      </c>
      <c r="AH27" s="130">
        <f t="shared" si="11"/>
        <v>83222.067614499014</v>
      </c>
      <c r="AI27" s="131">
        <f t="shared" si="11"/>
        <v>0</v>
      </c>
      <c r="AJ27" s="104"/>
      <c r="AK27" s="129">
        <f xml:space="preserve"> AK24 * ( 1 + AK26 )</f>
        <v>0</v>
      </c>
      <c r="AL27" s="130">
        <f t="shared" ref="AL27:AO27" si="12" xml:space="preserve"> AL24 * ( 1 + AL26 )</f>
        <v>55733.388281656262</v>
      </c>
      <c r="AM27" s="130">
        <f t="shared" si="12"/>
        <v>59387.758053097576</v>
      </c>
      <c r="AN27" s="130">
        <f t="shared" si="12"/>
        <v>63535.04281696587</v>
      </c>
      <c r="AO27" s="131">
        <f t="shared" si="12"/>
        <v>80090.187735030282</v>
      </c>
      <c r="AP27" s="104"/>
      <c r="AQ27" s="129">
        <f xml:space="preserve"> AQ24 * ( 1 + AQ26 )</f>
        <v>55733.388281656262</v>
      </c>
      <c r="AR27" s="130">
        <f xml:space="preserve"> AR24 * ( 1 + AR26 )</f>
        <v>59387.758053097576</v>
      </c>
      <c r="AS27" s="130">
        <f xml:space="preserve"> AS24 * ( 1 + AS26 )</f>
        <v>0</v>
      </c>
      <c r="AT27" s="130">
        <f xml:space="preserve"> AT24 * ( 1 + AT26 )</f>
        <v>63535.04281696587</v>
      </c>
      <c r="AU27" s="131">
        <f xml:space="preserve"> AU24 * ( 1 + AU26 )</f>
        <v>80090.187735030282</v>
      </c>
      <c r="AV27" s="104"/>
      <c r="AW27" s="129">
        <f xml:space="preserve"> AW24 * ( 1 + AW26 )</f>
        <v>50211.502828480647</v>
      </c>
      <c r="AX27" s="130">
        <f t="shared" ref="AX27:BA27" si="13" xml:space="preserve"> AX24 * ( 1 + AX26 )</f>
        <v>0</v>
      </c>
      <c r="AY27" s="130">
        <f t="shared" si="13"/>
        <v>0</v>
      </c>
      <c r="AZ27" s="130">
        <f t="shared" si="13"/>
        <v>0</v>
      </c>
      <c r="BA27" s="131">
        <f t="shared" si="13"/>
        <v>0</v>
      </c>
      <c r="BB27" s="104"/>
    </row>
    <row r="28" spans="1:55" s="94" customFormat="1" ht="6" customHeight="1" x14ac:dyDescent="0.3">
      <c r="A28" s="107"/>
      <c r="B28" s="147"/>
      <c r="C28" s="135"/>
      <c r="D28" s="98"/>
      <c r="E28" s="97"/>
      <c r="F28" s="127"/>
      <c r="G28" s="113"/>
      <c r="H28" s="120"/>
      <c r="I28" s="120"/>
      <c r="J28" s="120"/>
      <c r="K28" s="121"/>
      <c r="L28" s="103"/>
      <c r="M28" s="113"/>
      <c r="N28" s="120"/>
      <c r="O28" s="120"/>
      <c r="P28" s="120"/>
      <c r="Q28" s="121"/>
      <c r="R28" s="103"/>
      <c r="S28" s="113"/>
      <c r="T28" s="120"/>
      <c r="U28" s="120"/>
      <c r="V28" s="120"/>
      <c r="W28" s="121"/>
      <c r="X28" s="103"/>
      <c r="Y28" s="113"/>
      <c r="Z28" s="120"/>
      <c r="AA28" s="120"/>
      <c r="AB28" s="120"/>
      <c r="AC28" s="121"/>
      <c r="AD28" s="103"/>
      <c r="AE28" s="113"/>
      <c r="AF28" s="120"/>
      <c r="AG28" s="120"/>
      <c r="AH28" s="120"/>
      <c r="AI28" s="121"/>
      <c r="AJ28" s="103"/>
      <c r="AK28" s="113"/>
      <c r="AL28" s="120"/>
      <c r="AM28" s="120"/>
      <c r="AN28" s="120"/>
      <c r="AO28" s="121"/>
      <c r="AP28" s="103"/>
      <c r="AQ28" s="113"/>
      <c r="AR28" s="120"/>
      <c r="AS28" s="120"/>
      <c r="AT28" s="120"/>
      <c r="AU28" s="121"/>
      <c r="AV28" s="103"/>
      <c r="AW28" s="113"/>
      <c r="AX28" s="120"/>
      <c r="AY28" s="120"/>
      <c r="AZ28" s="120"/>
      <c r="BA28" s="121"/>
      <c r="BB28" s="103"/>
      <c r="BC28" s="98"/>
    </row>
    <row r="29" spans="1:55" s="191" customFormat="1" x14ac:dyDescent="0.3">
      <c r="A29" s="189"/>
      <c r="B29" s="190"/>
      <c r="C29" s="189"/>
      <c r="E29" s="195" t="s">
        <v>27</v>
      </c>
      <c r="F29" s="196" t="s">
        <v>25</v>
      </c>
      <c r="G29" s="193">
        <f xml:space="preserve"> (29% / ( 1 - 29% )) * ( 1 - 10%)</f>
        <v>0.36760563380281691</v>
      </c>
      <c r="H29" s="193">
        <f xml:space="preserve"> (29% / ( 1 - 29% )) * ( 1 - 10%)</f>
        <v>0.36760563380281691</v>
      </c>
      <c r="I29" s="193"/>
      <c r="J29" s="193"/>
      <c r="K29" s="194">
        <f xml:space="preserve"> (29% / ( 1 - 29% )) * ( 1 - 10%)</f>
        <v>0.36760563380281691</v>
      </c>
      <c r="L29" s="195"/>
      <c r="M29" s="192">
        <f xml:space="preserve"> (29% / ( 1 - 29% )) * ( 1 - 10%)</f>
        <v>0.36760563380281691</v>
      </c>
      <c r="N29" s="193">
        <f xml:space="preserve"> (29% / ( 1 - 29% )) * ( 1 - 10%)</f>
        <v>0.36760563380281691</v>
      </c>
      <c r="O29" s="193">
        <f xml:space="preserve"> (29% / ( 1 - 29% )) * ( 1 - 10%)</f>
        <v>0.36760563380281691</v>
      </c>
      <c r="P29" s="193"/>
      <c r="Q29" s="194">
        <f xml:space="preserve"> (29% / ( 1 - 29% )) * ( 1 - 10%)</f>
        <v>0.36760563380281691</v>
      </c>
      <c r="R29" s="195"/>
      <c r="S29" s="192">
        <v>0.25</v>
      </c>
      <c r="T29" s="193">
        <v>0.25</v>
      </c>
      <c r="U29" s="193">
        <v>0.25</v>
      </c>
      <c r="V29" s="193">
        <v>0.25</v>
      </c>
      <c r="W29" s="194"/>
      <c r="X29" s="195"/>
      <c r="Y29" s="192"/>
      <c r="Z29" s="193">
        <v>0.25</v>
      </c>
      <c r="AA29" s="193">
        <v>0.25</v>
      </c>
      <c r="AB29" s="193">
        <v>0.25</v>
      </c>
      <c r="AC29" s="194">
        <v>0.25</v>
      </c>
      <c r="AD29" s="195"/>
      <c r="AE29" s="192"/>
      <c r="AF29" s="193">
        <f xml:space="preserve"> (24.7% / ( 1 - 24.7% )) * ( 1 - 10%)</f>
        <v>0.29521912350597607</v>
      </c>
      <c r="AG29" s="193">
        <f xml:space="preserve"> (24.7% / ( 1 - 24.7% )) * ( 1 - 10%)</f>
        <v>0.29521912350597607</v>
      </c>
      <c r="AH29" s="193">
        <f xml:space="preserve"> (24.7% / ( 1 - 24.7% )) * ( 1 - 10%)</f>
        <v>0.29521912350597607</v>
      </c>
      <c r="AI29" s="194"/>
      <c r="AJ29" s="195"/>
      <c r="AK29" s="192"/>
      <c r="AL29" s="193">
        <v>0.25</v>
      </c>
      <c r="AM29" s="193">
        <v>0.25</v>
      </c>
      <c r="AN29" s="193">
        <v>0.25</v>
      </c>
      <c r="AO29" s="194">
        <v>0.25</v>
      </c>
      <c r="AP29" s="195"/>
      <c r="AQ29" s="192">
        <v>0.25</v>
      </c>
      <c r="AR29" s="193">
        <v>0.25</v>
      </c>
      <c r="AS29" s="193"/>
      <c r="AT29" s="193">
        <v>0.25</v>
      </c>
      <c r="AU29" s="194">
        <v>0.25</v>
      </c>
      <c r="AV29" s="195"/>
      <c r="AW29" s="192">
        <v>0.25</v>
      </c>
      <c r="AX29" s="193"/>
      <c r="AY29" s="193"/>
      <c r="AZ29" s="193"/>
      <c r="BA29" s="194"/>
      <c r="BB29" s="195"/>
    </row>
    <row r="30" spans="1:55" s="94" customFormat="1" x14ac:dyDescent="0.3">
      <c r="A30" s="107"/>
      <c r="B30" s="147"/>
      <c r="C30" s="135"/>
      <c r="D30" s="98"/>
      <c r="E30" s="128" t="s">
        <v>32</v>
      </c>
      <c r="F30" s="128" t="s">
        <v>34</v>
      </c>
      <c r="G30" s="129">
        <f xml:space="preserve"> G27 * ( 1 + G29 )</f>
        <v>70193.82885288239</v>
      </c>
      <c r="H30" s="130">
        <f t="shared" ref="H30:K30" si="14" xml:space="preserve"> H27 * ( 1 + H29 )</f>
        <v>76873.452342669349</v>
      </c>
      <c r="I30" s="130">
        <f t="shared" si="14"/>
        <v>0</v>
      </c>
      <c r="J30" s="130">
        <f t="shared" si="14"/>
        <v>0</v>
      </c>
      <c r="K30" s="131">
        <f t="shared" si="14"/>
        <v>106781.5243004006</v>
      </c>
      <c r="L30" s="104"/>
      <c r="M30" s="129">
        <f xml:space="preserve"> M27 * ( 1 + M29 )</f>
        <v>70193.82885288239</v>
      </c>
      <c r="N30" s="130">
        <f xml:space="preserve"> N27 * ( 1 + N29 )</f>
        <v>76873.452342669349</v>
      </c>
      <c r="O30" s="130">
        <f xml:space="preserve"> O27 * ( 1 + O29 )</f>
        <v>85009.187527461792</v>
      </c>
      <c r="P30" s="130">
        <f xml:space="preserve"> P27 * ( 1 + P29 )</f>
        <v>0</v>
      </c>
      <c r="Q30" s="131">
        <f xml:space="preserve"> Q27 * ( 1 + Q29 )</f>
        <v>106781.5243004006</v>
      </c>
      <c r="R30" s="104"/>
      <c r="S30" s="129">
        <f xml:space="preserve"> S27 * ( 1 + S29 )</f>
        <v>58432.631907733579</v>
      </c>
      <c r="T30" s="130">
        <f t="shared" ref="T30:W30" si="15" xml:space="preserve"> T27 * ( 1 + T29 )</f>
        <v>61305.675269791318</v>
      </c>
      <c r="U30" s="130">
        <f t="shared" si="15"/>
        <v>67368.641776486751</v>
      </c>
      <c r="V30" s="130">
        <f t="shared" si="15"/>
        <v>115682.24596050217</v>
      </c>
      <c r="W30" s="131">
        <f t="shared" si="15"/>
        <v>0</v>
      </c>
      <c r="X30" s="104"/>
      <c r="Y30" s="129">
        <f xml:space="preserve"> Y27 * ( 1 + Y29 )</f>
        <v>0</v>
      </c>
      <c r="Z30" s="130">
        <f xml:space="preserve"> Z27 * ( 1 + Z29 )</f>
        <v>61305.675269791318</v>
      </c>
      <c r="AA30" s="130">
        <f xml:space="preserve"> AA27 * ( 1 + AA29 )</f>
        <v>67368.641776486751</v>
      </c>
      <c r="AB30" s="130">
        <f xml:space="preserve"> AB27 * ( 1 + AB29 )</f>
        <v>76558.155471303849</v>
      </c>
      <c r="AC30" s="131">
        <f xml:space="preserve"> AC27 * ( 1 + AC29 )</f>
        <v>115682.24596050217</v>
      </c>
      <c r="AD30" s="104"/>
      <c r="AE30" s="129">
        <f xml:space="preserve"> AE27 * ( 1 + AE29 )</f>
        <v>0</v>
      </c>
      <c r="AF30" s="130">
        <f t="shared" ref="AF30:AI30" si="16" xml:space="preserve"> AF27 * ( 1 + AF29 )</f>
        <v>78570.839266158582</v>
      </c>
      <c r="AG30" s="130">
        <f t="shared" si="16"/>
        <v>85606.370093644015</v>
      </c>
      <c r="AH30" s="130">
        <f t="shared" si="16"/>
        <v>107790.81347200648</v>
      </c>
      <c r="AI30" s="131">
        <f t="shared" si="16"/>
        <v>0</v>
      </c>
      <c r="AJ30" s="104"/>
      <c r="AK30" s="129">
        <f xml:space="preserve"> AK27 * ( 1 + AK29 )</f>
        <v>0</v>
      </c>
      <c r="AL30" s="130">
        <f t="shared" ref="AL30:AO30" si="17" xml:space="preserve"> AL27 * ( 1 + AL29 )</f>
        <v>69666.735352070333</v>
      </c>
      <c r="AM30" s="130">
        <f t="shared" si="17"/>
        <v>74234.697566371964</v>
      </c>
      <c r="AN30" s="130">
        <f t="shared" si="17"/>
        <v>79418.80352120733</v>
      </c>
      <c r="AO30" s="131">
        <f t="shared" si="17"/>
        <v>100112.73466878786</v>
      </c>
      <c r="AP30" s="104"/>
      <c r="AQ30" s="129">
        <f xml:space="preserve"> AQ27 * ( 1 + AQ29 )</f>
        <v>69666.735352070333</v>
      </c>
      <c r="AR30" s="130">
        <f xml:space="preserve"> AR27 * ( 1 + AR29 )</f>
        <v>74234.697566371964</v>
      </c>
      <c r="AS30" s="130">
        <f xml:space="preserve"> AS27 * ( 1 + AS29 )</f>
        <v>0</v>
      </c>
      <c r="AT30" s="130">
        <f xml:space="preserve"> AT27 * ( 1 + AT29 )</f>
        <v>79418.80352120733</v>
      </c>
      <c r="AU30" s="131">
        <f xml:space="preserve"> AU27 * ( 1 + AU29 )</f>
        <v>100112.73466878786</v>
      </c>
      <c r="AV30" s="104"/>
      <c r="AW30" s="129">
        <f xml:space="preserve"> AW27 * ( 1 + AW29 )</f>
        <v>62764.378535600808</v>
      </c>
      <c r="AX30" s="130">
        <f t="shared" ref="AX30:BA30" si="18" xml:space="preserve"> AX27 * ( 1 + AX29 )</f>
        <v>0</v>
      </c>
      <c r="AY30" s="130">
        <f t="shared" si="18"/>
        <v>0</v>
      </c>
      <c r="AZ30" s="130">
        <f t="shared" si="18"/>
        <v>0</v>
      </c>
      <c r="BA30" s="131">
        <f t="shared" si="18"/>
        <v>0</v>
      </c>
      <c r="BB30" s="104"/>
    </row>
    <row r="31" spans="1:55" s="94" customFormat="1" ht="6" customHeight="1" x14ac:dyDescent="0.3">
      <c r="A31" s="107"/>
      <c r="B31" s="147"/>
      <c r="C31" s="135"/>
      <c r="D31" s="98"/>
      <c r="E31" s="97"/>
      <c r="F31" s="127"/>
      <c r="G31" s="113"/>
      <c r="H31" s="120"/>
      <c r="I31" s="120"/>
      <c r="J31" s="120"/>
      <c r="K31" s="121"/>
      <c r="L31" s="103"/>
      <c r="M31" s="113"/>
      <c r="N31" s="120"/>
      <c r="O31" s="120"/>
      <c r="P31" s="120"/>
      <c r="Q31" s="121"/>
      <c r="R31" s="103"/>
      <c r="S31" s="113"/>
      <c r="T31" s="120"/>
      <c r="U31" s="120"/>
      <c r="V31" s="120"/>
      <c r="W31" s="121"/>
      <c r="X31" s="103"/>
      <c r="Y31" s="113"/>
      <c r="Z31" s="120"/>
      <c r="AA31" s="120"/>
      <c r="AB31" s="120"/>
      <c r="AC31" s="121"/>
      <c r="AD31" s="103"/>
      <c r="AE31" s="113"/>
      <c r="AF31" s="120"/>
      <c r="AG31" s="120"/>
      <c r="AH31" s="120"/>
      <c r="AI31" s="121"/>
      <c r="AJ31" s="103"/>
      <c r="AK31" s="113"/>
      <c r="AL31" s="120"/>
      <c r="AM31" s="120"/>
      <c r="AN31" s="120"/>
      <c r="AO31" s="121"/>
      <c r="AP31" s="103"/>
      <c r="AQ31" s="113"/>
      <c r="AR31" s="120"/>
      <c r="AS31" s="120"/>
      <c r="AT31" s="120"/>
      <c r="AU31" s="121"/>
      <c r="AV31" s="103"/>
      <c r="AW31" s="113"/>
      <c r="AX31" s="120"/>
      <c r="AY31" s="120"/>
      <c r="AZ31" s="120"/>
      <c r="BA31" s="121"/>
      <c r="BB31" s="103"/>
      <c r="BC31" s="98"/>
    </row>
    <row r="32" spans="1:55" s="191" customFormat="1" x14ac:dyDescent="0.3">
      <c r="A32" s="189"/>
      <c r="B32" s="190"/>
      <c r="C32" s="189"/>
      <c r="E32" s="195" t="s">
        <v>2</v>
      </c>
      <c r="F32" s="196" t="s">
        <v>33</v>
      </c>
      <c r="G32" s="193">
        <v>0.01</v>
      </c>
      <c r="H32" s="193">
        <v>0.01</v>
      </c>
      <c r="I32" s="193"/>
      <c r="J32" s="193"/>
      <c r="K32" s="194">
        <v>0.01</v>
      </c>
      <c r="L32" s="195"/>
      <c r="M32" s="192">
        <v>0.01</v>
      </c>
      <c r="N32" s="193">
        <v>0.01</v>
      </c>
      <c r="O32" s="193">
        <v>0.01</v>
      </c>
      <c r="P32" s="193"/>
      <c r="Q32" s="194">
        <v>0.01</v>
      </c>
      <c r="R32" s="195"/>
      <c r="S32" s="192">
        <v>0.01</v>
      </c>
      <c r="T32" s="193">
        <v>0.01</v>
      </c>
      <c r="U32" s="193">
        <v>0.01</v>
      </c>
      <c r="V32" s="193">
        <v>0.01</v>
      </c>
      <c r="W32" s="194"/>
      <c r="X32" s="195"/>
      <c r="Y32" s="192"/>
      <c r="Z32" s="193">
        <v>0.01</v>
      </c>
      <c r="AA32" s="193">
        <v>0.01</v>
      </c>
      <c r="AB32" s="193">
        <v>0.01</v>
      </c>
      <c r="AC32" s="194">
        <v>0.01</v>
      </c>
      <c r="AD32" s="195"/>
      <c r="AE32" s="192"/>
      <c r="AF32" s="193">
        <v>0.01</v>
      </c>
      <c r="AG32" s="193">
        <v>0.01</v>
      </c>
      <c r="AH32" s="193">
        <v>0.01</v>
      </c>
      <c r="AI32" s="194"/>
      <c r="AJ32" s="195"/>
      <c r="AK32" s="192"/>
      <c r="AL32" s="193">
        <v>0.01</v>
      </c>
      <c r="AM32" s="193">
        <v>0.01</v>
      </c>
      <c r="AN32" s="193">
        <v>0.01</v>
      </c>
      <c r="AO32" s="194">
        <v>0.01</v>
      </c>
      <c r="AP32" s="195"/>
      <c r="AQ32" s="192">
        <v>0.01</v>
      </c>
      <c r="AR32" s="193">
        <v>0.01</v>
      </c>
      <c r="AS32" s="193"/>
      <c r="AT32" s="193">
        <v>0.01</v>
      </c>
      <c r="AU32" s="194">
        <v>0.01</v>
      </c>
      <c r="AV32" s="195"/>
      <c r="AW32" s="192">
        <v>0.01</v>
      </c>
      <c r="AX32" s="193"/>
      <c r="AY32" s="193"/>
      <c r="AZ32" s="193"/>
      <c r="BA32" s="194"/>
      <c r="BB32" s="195"/>
    </row>
    <row r="33" spans="1:55" s="107" customFormat="1" x14ac:dyDescent="0.3">
      <c r="B33" s="147"/>
      <c r="C33" s="135"/>
      <c r="D33" s="135"/>
      <c r="E33" s="137" t="s">
        <v>28</v>
      </c>
      <c r="F33" s="137" t="s">
        <v>34</v>
      </c>
      <c r="G33" s="138">
        <f xml:space="preserve"> G30 * ( 1 + G32 )</f>
        <v>70895.767141411212</v>
      </c>
      <c r="H33" s="139">
        <f t="shared" ref="H33:K33" si="19" xml:space="preserve"> H30 * ( 1 + H32 )</f>
        <v>77642.186866096046</v>
      </c>
      <c r="I33" s="139">
        <f t="shared" si="19"/>
        <v>0</v>
      </c>
      <c r="J33" s="139">
        <f t="shared" si="19"/>
        <v>0</v>
      </c>
      <c r="K33" s="140">
        <f t="shared" si="19"/>
        <v>107849.33954340461</v>
      </c>
      <c r="L33" s="141"/>
      <c r="M33" s="138">
        <f xml:space="preserve"> M30 * ( 1 + M32 )</f>
        <v>70895.767141411212</v>
      </c>
      <c r="N33" s="139">
        <f xml:space="preserve"> N30 * ( 1 + N32 )</f>
        <v>77642.186866096046</v>
      </c>
      <c r="O33" s="139">
        <f xml:space="preserve"> O30 * ( 1 + O32 )</f>
        <v>85859.279402736414</v>
      </c>
      <c r="P33" s="139">
        <f xml:space="preserve"> P30 * ( 1 + P32 )</f>
        <v>0</v>
      </c>
      <c r="Q33" s="140">
        <f xml:space="preserve"> Q30 * ( 1 + Q32 )</f>
        <v>107849.33954340461</v>
      </c>
      <c r="R33" s="141"/>
      <c r="S33" s="138">
        <f xml:space="preserve"> S30 * ( 1 + S32 )</f>
        <v>59016.958226810915</v>
      </c>
      <c r="T33" s="139">
        <f t="shared" ref="T33:W33" si="20" xml:space="preserve"> T30 * ( 1 + T32 )</f>
        <v>61918.732022489232</v>
      </c>
      <c r="U33" s="139">
        <f t="shared" si="20"/>
        <v>68042.328194251619</v>
      </c>
      <c r="V33" s="139">
        <f t="shared" si="20"/>
        <v>116839.0684201072</v>
      </c>
      <c r="W33" s="140">
        <f t="shared" si="20"/>
        <v>0</v>
      </c>
      <c r="X33" s="141"/>
      <c r="Y33" s="138">
        <f xml:space="preserve"> Y30 * ( 1 + Y32 )</f>
        <v>0</v>
      </c>
      <c r="Z33" s="139">
        <f xml:space="preserve"> Z30 * ( 1 + Z32 )</f>
        <v>61918.732022489232</v>
      </c>
      <c r="AA33" s="139">
        <f xml:space="preserve"> AA30 * ( 1 + AA32 )</f>
        <v>68042.328194251619</v>
      </c>
      <c r="AB33" s="139">
        <f xml:space="preserve"> AB30 * ( 1 + AB32 )</f>
        <v>77323.737026016883</v>
      </c>
      <c r="AC33" s="140">
        <f xml:space="preserve"> AC30 * ( 1 + AC32 )</f>
        <v>116839.0684201072</v>
      </c>
      <c r="AD33" s="141"/>
      <c r="AE33" s="138">
        <f xml:space="preserve"> AE30 * ( 1 + AE32 )</f>
        <v>0</v>
      </c>
      <c r="AF33" s="139">
        <f t="shared" ref="AF33:AI33" si="21" xml:space="preserve"> AF30 * ( 1 + AF32 )</f>
        <v>79356.547658820171</v>
      </c>
      <c r="AG33" s="139">
        <f t="shared" si="21"/>
        <v>86462.433794580458</v>
      </c>
      <c r="AH33" s="139">
        <f t="shared" si="21"/>
        <v>108868.72160672655</v>
      </c>
      <c r="AI33" s="140">
        <f t="shared" si="21"/>
        <v>0</v>
      </c>
      <c r="AJ33" s="141"/>
      <c r="AK33" s="138">
        <f xml:space="preserve"> AK30 * ( 1 + AK32 )</f>
        <v>0</v>
      </c>
      <c r="AL33" s="139">
        <f t="shared" ref="AL33:AO33" si="22" xml:space="preserve"> AL30 * ( 1 + AL32 )</f>
        <v>70363.402705591041</v>
      </c>
      <c r="AM33" s="139">
        <f t="shared" si="22"/>
        <v>74977.044542035685</v>
      </c>
      <c r="AN33" s="139">
        <f t="shared" si="22"/>
        <v>80212.991556419409</v>
      </c>
      <c r="AO33" s="140">
        <f t="shared" si="22"/>
        <v>101113.86201547574</v>
      </c>
      <c r="AP33" s="141"/>
      <c r="AQ33" s="138">
        <f xml:space="preserve"> AQ30 * ( 1 + AQ32 )</f>
        <v>70363.402705591041</v>
      </c>
      <c r="AR33" s="139">
        <f xml:space="preserve"> AR30 * ( 1 + AR32 )</f>
        <v>74977.044542035685</v>
      </c>
      <c r="AS33" s="139">
        <f xml:space="preserve"> AS30 * ( 1 + AS32 )</f>
        <v>0</v>
      </c>
      <c r="AT33" s="139">
        <f xml:space="preserve"> AT30 * ( 1 + AT32 )</f>
        <v>80212.991556419409</v>
      </c>
      <c r="AU33" s="140">
        <f xml:space="preserve"> AU30 * ( 1 + AU32 )</f>
        <v>101113.86201547574</v>
      </c>
      <c r="AV33" s="141"/>
      <c r="AW33" s="138">
        <f xml:space="preserve"> AW30 * ( 1 + AW32 )</f>
        <v>63392.022320956814</v>
      </c>
      <c r="AX33" s="139">
        <f t="shared" ref="AX33:BA33" si="23" xml:space="preserve"> AX30 * ( 1 + AX32 )</f>
        <v>0</v>
      </c>
      <c r="AY33" s="139">
        <f t="shared" si="23"/>
        <v>0</v>
      </c>
      <c r="AZ33" s="139">
        <f t="shared" si="23"/>
        <v>0</v>
      </c>
      <c r="BA33" s="140">
        <f t="shared" si="23"/>
        <v>0</v>
      </c>
      <c r="BB33" s="141"/>
    </row>
    <row r="34" spans="1:55" s="99" customFormat="1" x14ac:dyDescent="0.3">
      <c r="A34" s="108"/>
      <c r="B34" s="148"/>
      <c r="C34" s="149"/>
      <c r="D34" s="101"/>
      <c r="E34" s="96"/>
      <c r="F34" s="145"/>
      <c r="G34" s="115"/>
      <c r="H34" s="146"/>
      <c r="I34" s="146"/>
      <c r="J34" s="146"/>
      <c r="K34" s="125"/>
      <c r="M34" s="115"/>
      <c r="N34" s="146"/>
      <c r="O34" s="146"/>
      <c r="P34" s="146"/>
      <c r="Q34" s="125"/>
      <c r="S34" s="115"/>
      <c r="T34" s="146"/>
      <c r="U34" s="146"/>
      <c r="V34" s="146"/>
      <c r="W34" s="125"/>
      <c r="Y34" s="115"/>
      <c r="Z34" s="146"/>
      <c r="AA34" s="146"/>
      <c r="AB34" s="146"/>
      <c r="AC34" s="125"/>
      <c r="AE34" s="115"/>
      <c r="AF34" s="146"/>
      <c r="AG34" s="146"/>
      <c r="AH34" s="146"/>
      <c r="AI34" s="125"/>
      <c r="AK34" s="115"/>
      <c r="AL34" s="146"/>
      <c r="AM34" s="146"/>
      <c r="AN34" s="146"/>
      <c r="AO34" s="125"/>
      <c r="AQ34" s="115"/>
      <c r="AR34" s="146"/>
      <c r="AS34" s="146"/>
      <c r="AT34" s="146"/>
      <c r="AU34" s="125"/>
      <c r="AW34" s="115"/>
      <c r="AX34" s="146"/>
      <c r="AY34" s="146"/>
      <c r="AZ34" s="146"/>
      <c r="BA34" s="125"/>
      <c r="BC34" s="101"/>
    </row>
    <row r="35" spans="1:55" s="99" customFormat="1" x14ac:dyDescent="0.3">
      <c r="A35" s="108"/>
      <c r="B35" s="148"/>
      <c r="C35" s="149"/>
      <c r="D35" s="110" t="s">
        <v>51</v>
      </c>
      <c r="E35" s="96"/>
      <c r="F35" s="145"/>
      <c r="G35" s="340"/>
      <c r="H35" s="146"/>
      <c r="I35" s="303"/>
      <c r="J35" s="302"/>
      <c r="K35" s="125"/>
      <c r="M35" s="115"/>
      <c r="N35" s="146"/>
      <c r="O35" s="303"/>
      <c r="P35" s="302"/>
      <c r="Q35" s="125"/>
      <c r="S35" s="115"/>
      <c r="T35" s="146"/>
      <c r="U35" s="146"/>
      <c r="V35" s="146"/>
      <c r="W35" s="125"/>
      <c r="Y35" s="115"/>
      <c r="Z35" s="146"/>
      <c r="AA35" s="146"/>
      <c r="AB35" s="146"/>
      <c r="AC35" s="125"/>
      <c r="AE35" s="115"/>
      <c r="AF35" s="146"/>
      <c r="AG35" s="146"/>
      <c r="AH35" s="146"/>
      <c r="AI35" s="125"/>
      <c r="AK35" s="115"/>
      <c r="AL35" s="146"/>
      <c r="AM35" s="146"/>
      <c r="AN35" s="146"/>
      <c r="AO35" s="125"/>
      <c r="AQ35" s="115"/>
      <c r="AR35" s="146"/>
      <c r="AS35" s="146"/>
      <c r="AT35" s="146"/>
      <c r="AU35" s="125"/>
      <c r="AW35" s="115"/>
      <c r="AX35" s="146"/>
      <c r="AY35" s="146"/>
      <c r="AZ35" s="146"/>
      <c r="BA35" s="125"/>
      <c r="BC35" s="101"/>
    </row>
    <row r="36" spans="1:55" s="94" customFormat="1" x14ac:dyDescent="0.3">
      <c r="A36" s="107"/>
      <c r="B36" s="147"/>
      <c r="C36" s="135"/>
      <c r="D36" s="98"/>
      <c r="E36" s="96" t="s">
        <v>3</v>
      </c>
      <c r="F36" s="91" t="s">
        <v>45</v>
      </c>
      <c r="G36" s="124">
        <v>1878</v>
      </c>
      <c r="H36" s="132">
        <v>1878</v>
      </c>
      <c r="I36" s="132">
        <v>1878</v>
      </c>
      <c r="J36" s="132">
        <v>1878</v>
      </c>
      <c r="K36" s="133">
        <v>1878</v>
      </c>
      <c r="L36" s="100"/>
      <c r="M36" s="124">
        <v>1878</v>
      </c>
      <c r="N36" s="132">
        <v>1878</v>
      </c>
      <c r="O36" s="132">
        <v>1878</v>
      </c>
      <c r="P36" s="132">
        <v>1878</v>
      </c>
      <c r="Q36" s="133">
        <v>1878</v>
      </c>
      <c r="R36" s="100"/>
      <c r="S36" s="124">
        <v>1878</v>
      </c>
      <c r="T36" s="132">
        <v>1878</v>
      </c>
      <c r="U36" s="132">
        <v>1878</v>
      </c>
      <c r="V36" s="132">
        <v>1878</v>
      </c>
      <c r="W36" s="133">
        <v>1878</v>
      </c>
      <c r="X36" s="100"/>
      <c r="Y36" s="124">
        <v>1878</v>
      </c>
      <c r="Z36" s="132">
        <v>1878</v>
      </c>
      <c r="AA36" s="132">
        <v>1878</v>
      </c>
      <c r="AB36" s="132">
        <v>1878</v>
      </c>
      <c r="AC36" s="133">
        <v>1878</v>
      </c>
      <c r="AD36" s="100"/>
      <c r="AE36" s="124">
        <v>1878</v>
      </c>
      <c r="AF36" s="132">
        <v>1878</v>
      </c>
      <c r="AG36" s="132">
        <v>1878</v>
      </c>
      <c r="AH36" s="132">
        <v>1878</v>
      </c>
      <c r="AI36" s="133">
        <v>1878</v>
      </c>
      <c r="AJ36" s="100"/>
      <c r="AK36" s="124">
        <v>1878</v>
      </c>
      <c r="AL36" s="132">
        <v>1878</v>
      </c>
      <c r="AM36" s="132">
        <v>1878</v>
      </c>
      <c r="AN36" s="132">
        <v>1878</v>
      </c>
      <c r="AO36" s="133">
        <v>1878</v>
      </c>
      <c r="AP36" s="100"/>
      <c r="AQ36" s="124">
        <v>1878</v>
      </c>
      <c r="AR36" s="132">
        <v>1878</v>
      </c>
      <c r="AS36" s="132">
        <v>1878</v>
      </c>
      <c r="AT36" s="132">
        <v>1878</v>
      </c>
      <c r="AU36" s="133">
        <v>1878</v>
      </c>
      <c r="AV36" s="100"/>
      <c r="AW36" s="124">
        <v>1878</v>
      </c>
      <c r="AX36" s="132">
        <v>1878</v>
      </c>
      <c r="AY36" s="132">
        <v>1878</v>
      </c>
      <c r="AZ36" s="132">
        <v>1878</v>
      </c>
      <c r="BA36" s="133">
        <v>1878</v>
      </c>
      <c r="BB36" s="100"/>
      <c r="BC36" s="98"/>
    </row>
    <row r="37" spans="1:55" s="94" customFormat="1" x14ac:dyDescent="0.3">
      <c r="A37" s="107"/>
      <c r="B37" s="147"/>
      <c r="C37" s="135"/>
      <c r="D37" s="98"/>
      <c r="E37" s="96" t="s">
        <v>4</v>
      </c>
      <c r="F37" s="91" t="s">
        <v>45</v>
      </c>
      <c r="G37" s="122">
        <f xml:space="preserve"> 166 + 50 + 35</f>
        <v>251</v>
      </c>
      <c r="H37" s="122">
        <f xml:space="preserve"> 166 + 50 + 35</f>
        <v>251</v>
      </c>
      <c r="I37" s="122"/>
      <c r="J37" s="122"/>
      <c r="K37" s="123">
        <f xml:space="preserve"> 166 + 50 + 35</f>
        <v>251</v>
      </c>
      <c r="L37" s="100"/>
      <c r="M37" s="114">
        <f xml:space="preserve"> 166 + 50 + 35</f>
        <v>251</v>
      </c>
      <c r="N37" s="122">
        <f xml:space="preserve"> 166 + 50 + 35</f>
        <v>251</v>
      </c>
      <c r="O37" s="122">
        <f xml:space="preserve"> 166 + 50 + 35</f>
        <v>251</v>
      </c>
      <c r="P37" s="122"/>
      <c r="Q37" s="123">
        <f xml:space="preserve"> 166 + 50 + 35</f>
        <v>251</v>
      </c>
      <c r="R37" s="100"/>
      <c r="S37" s="114">
        <f xml:space="preserve"> 201 + 50</f>
        <v>251</v>
      </c>
      <c r="T37" s="122">
        <f xml:space="preserve"> 201 + 50</f>
        <v>251</v>
      </c>
      <c r="U37" s="122">
        <f xml:space="preserve"> 201 + 50</f>
        <v>251</v>
      </c>
      <c r="V37" s="122">
        <f xml:space="preserve"> 201 + 50</f>
        <v>251</v>
      </c>
      <c r="W37" s="123"/>
      <c r="X37" s="100"/>
      <c r="Y37" s="114"/>
      <c r="Z37" s="122">
        <v>251</v>
      </c>
      <c r="AA37" s="122">
        <v>251</v>
      </c>
      <c r="AB37" s="122">
        <v>251</v>
      </c>
      <c r="AC37" s="123">
        <v>251</v>
      </c>
      <c r="AD37" s="100"/>
      <c r="AE37" s="114"/>
      <c r="AF37" s="122">
        <f xml:space="preserve"> 200 + 50</f>
        <v>250</v>
      </c>
      <c r="AG37" s="122">
        <f xml:space="preserve"> 200 + 50</f>
        <v>250</v>
      </c>
      <c r="AH37" s="122">
        <f xml:space="preserve"> 200 + 50</f>
        <v>250</v>
      </c>
      <c r="AI37" s="123"/>
      <c r="AJ37" s="100"/>
      <c r="AK37" s="114"/>
      <c r="AL37" s="122">
        <f xml:space="preserve"> 170 + 50</f>
        <v>220</v>
      </c>
      <c r="AM37" s="122">
        <f xml:space="preserve"> 170 + 50</f>
        <v>220</v>
      </c>
      <c r="AN37" s="122">
        <f xml:space="preserve"> 170 + 50</f>
        <v>220</v>
      </c>
      <c r="AO37" s="123">
        <f xml:space="preserve"> 170 + 50</f>
        <v>220</v>
      </c>
      <c r="AP37" s="100"/>
      <c r="AQ37" s="114">
        <v>220</v>
      </c>
      <c r="AR37" s="122">
        <v>220</v>
      </c>
      <c r="AS37" s="122"/>
      <c r="AT37" s="122">
        <v>220</v>
      </c>
      <c r="AU37" s="123">
        <v>220</v>
      </c>
      <c r="AV37" s="100"/>
      <c r="AW37" s="114">
        <v>252</v>
      </c>
      <c r="AX37" s="122"/>
      <c r="AY37" s="122"/>
      <c r="AZ37" s="122"/>
      <c r="BA37" s="123"/>
      <c r="BB37" s="100"/>
      <c r="BC37" s="98"/>
    </row>
    <row r="38" spans="1:55" s="94" customFormat="1" x14ac:dyDescent="0.3">
      <c r="A38" s="107"/>
      <c r="B38" s="147"/>
      <c r="C38" s="135"/>
      <c r="D38" s="98"/>
      <c r="E38" s="96" t="s">
        <v>5</v>
      </c>
      <c r="F38" s="91" t="s">
        <v>45</v>
      </c>
      <c r="G38" s="122">
        <f t="shared" ref="G38" si="24">0.068*G36</f>
        <v>127.70400000000001</v>
      </c>
      <c r="H38" s="122">
        <f t="shared" ref="H38:K38" si="25">0.068*H36</f>
        <v>127.70400000000001</v>
      </c>
      <c r="I38" s="122"/>
      <c r="J38" s="122"/>
      <c r="K38" s="123">
        <f t="shared" si="25"/>
        <v>127.70400000000001</v>
      </c>
      <c r="L38" s="100"/>
      <c r="M38" s="114">
        <f>0.068*M36</f>
        <v>127.70400000000001</v>
      </c>
      <c r="N38" s="122">
        <f>0.068*N36</f>
        <v>127.70400000000001</v>
      </c>
      <c r="O38" s="122">
        <f>0.068*O36</f>
        <v>127.70400000000001</v>
      </c>
      <c r="P38" s="122"/>
      <c r="Q38" s="123">
        <f>0.068*Q36</f>
        <v>127.70400000000001</v>
      </c>
      <c r="R38" s="100"/>
      <c r="S38" s="114">
        <f>0.068*S36</f>
        <v>127.70400000000001</v>
      </c>
      <c r="T38" s="122">
        <f xml:space="preserve"> 0.068*T36</f>
        <v>127.70400000000001</v>
      </c>
      <c r="U38" s="122">
        <f t="shared" ref="U38:V38" si="26" xml:space="preserve"> 0.068*U36</f>
        <v>127.70400000000001</v>
      </c>
      <c r="V38" s="122">
        <f t="shared" si="26"/>
        <v>127.70400000000001</v>
      </c>
      <c r="W38" s="123"/>
      <c r="X38" s="100"/>
      <c r="Y38" s="114"/>
      <c r="Z38" s="122">
        <f xml:space="preserve"> 0.068*Z36</f>
        <v>127.70400000000001</v>
      </c>
      <c r="AA38" s="122">
        <f xml:space="preserve"> 0.068*AA36</f>
        <v>127.70400000000001</v>
      </c>
      <c r="AB38" s="122">
        <f xml:space="preserve"> 0.068*AB36</f>
        <v>127.70400000000001</v>
      </c>
      <c r="AC38" s="123">
        <f xml:space="preserve"> 0.068*AC36</f>
        <v>127.70400000000001</v>
      </c>
      <c r="AD38" s="100"/>
      <c r="AE38" s="114"/>
      <c r="AF38" s="122">
        <f xml:space="preserve"> 0.068*AF36</f>
        <v>127.70400000000001</v>
      </c>
      <c r="AG38" s="122">
        <f t="shared" ref="AG38:AH38" si="27" xml:space="preserve"> 0.068*AG36</f>
        <v>127.70400000000001</v>
      </c>
      <c r="AH38" s="122">
        <f t="shared" si="27"/>
        <v>127.70400000000001</v>
      </c>
      <c r="AI38" s="123"/>
      <c r="AJ38" s="100"/>
      <c r="AK38" s="114"/>
      <c r="AL38" s="122">
        <f xml:space="preserve"> 0.068*AL36</f>
        <v>127.70400000000001</v>
      </c>
      <c r="AM38" s="122">
        <f xml:space="preserve"> 0.068*AM36</f>
        <v>127.70400000000001</v>
      </c>
      <c r="AN38" s="122">
        <f t="shared" ref="AN38:AO38" si="28" xml:space="preserve"> 0.068*AN36</f>
        <v>127.70400000000001</v>
      </c>
      <c r="AO38" s="123">
        <f t="shared" si="28"/>
        <v>127.70400000000001</v>
      </c>
      <c r="AP38" s="100"/>
      <c r="AQ38" s="114">
        <f>0.068*AQ36</f>
        <v>127.70400000000001</v>
      </c>
      <c r="AR38" s="122">
        <f xml:space="preserve"> 0.068*AR36</f>
        <v>127.70400000000001</v>
      </c>
      <c r="AS38" s="122"/>
      <c r="AT38" s="122">
        <f xml:space="preserve"> 0.068*AT36</f>
        <v>127.70400000000001</v>
      </c>
      <c r="AU38" s="123">
        <f xml:space="preserve"> 0.068*AU36</f>
        <v>127.70400000000001</v>
      </c>
      <c r="AV38" s="100"/>
      <c r="AW38" s="114">
        <f>6.8%*AW36</f>
        <v>127.70400000000001</v>
      </c>
      <c r="AX38" s="122"/>
      <c r="AY38" s="122"/>
      <c r="AZ38" s="122"/>
      <c r="BA38" s="123"/>
      <c r="BB38" s="100"/>
      <c r="BC38" s="98"/>
    </row>
    <row r="39" spans="1:55" s="94" customFormat="1" x14ac:dyDescent="0.3">
      <c r="A39" s="107"/>
      <c r="B39" s="147"/>
      <c r="C39" s="135"/>
      <c r="D39" s="98"/>
      <c r="E39" s="96" t="s">
        <v>35</v>
      </c>
      <c r="F39" s="91" t="s">
        <v>45</v>
      </c>
      <c r="G39" s="122">
        <v>78</v>
      </c>
      <c r="H39" s="122">
        <v>78</v>
      </c>
      <c r="I39" s="122"/>
      <c r="J39" s="122"/>
      <c r="K39" s="123">
        <v>78</v>
      </c>
      <c r="L39" s="100"/>
      <c r="M39" s="114">
        <v>78</v>
      </c>
      <c r="N39" s="122">
        <v>78</v>
      </c>
      <c r="O39" s="122">
        <v>78</v>
      </c>
      <c r="P39" s="122"/>
      <c r="Q39" s="123">
        <v>78</v>
      </c>
      <c r="R39" s="100"/>
      <c r="S39" s="114">
        <v>78</v>
      </c>
      <c r="T39" s="122">
        <v>78</v>
      </c>
      <c r="U39" s="122">
        <v>78</v>
      </c>
      <c r="V39" s="122">
        <v>78</v>
      </c>
      <c r="W39" s="123"/>
      <c r="X39" s="100"/>
      <c r="Y39" s="114"/>
      <c r="Z39" s="122">
        <v>78</v>
      </c>
      <c r="AA39" s="122">
        <v>78</v>
      </c>
      <c r="AB39" s="122">
        <v>78</v>
      </c>
      <c r="AC39" s="123">
        <v>78</v>
      </c>
      <c r="AD39" s="100"/>
      <c r="AE39" s="114"/>
      <c r="AF39" s="122">
        <v>78</v>
      </c>
      <c r="AG39" s="122">
        <v>78</v>
      </c>
      <c r="AH39" s="122">
        <v>78</v>
      </c>
      <c r="AI39" s="123"/>
      <c r="AJ39" s="100"/>
      <c r="AK39" s="114"/>
      <c r="AL39" s="122">
        <v>78</v>
      </c>
      <c r="AM39" s="122">
        <v>78</v>
      </c>
      <c r="AN39" s="122">
        <v>78</v>
      </c>
      <c r="AO39" s="123">
        <v>78</v>
      </c>
      <c r="AP39" s="100"/>
      <c r="AQ39" s="114">
        <v>78</v>
      </c>
      <c r="AR39" s="122">
        <v>78</v>
      </c>
      <c r="AS39" s="122"/>
      <c r="AT39" s="122">
        <v>78</v>
      </c>
      <c r="AU39" s="123">
        <v>78</v>
      </c>
      <c r="AV39" s="100"/>
      <c r="AW39" s="114">
        <v>78</v>
      </c>
      <c r="AX39" s="122"/>
      <c r="AY39" s="122"/>
      <c r="AZ39" s="122"/>
      <c r="BA39" s="123"/>
      <c r="BB39" s="100"/>
      <c r="BC39" s="98"/>
    </row>
    <row r="40" spans="1:55" s="94" customFormat="1" x14ac:dyDescent="0.3">
      <c r="A40" s="107"/>
      <c r="B40" s="147"/>
      <c r="C40" s="135"/>
      <c r="D40" s="98"/>
      <c r="E40" s="96" t="s">
        <v>36</v>
      </c>
      <c r="F40" s="91" t="s">
        <v>45</v>
      </c>
      <c r="G40" s="319">
        <v>105</v>
      </c>
      <c r="H40" s="319">
        <v>105</v>
      </c>
      <c r="I40" s="122"/>
      <c r="J40" s="122"/>
      <c r="K40" s="123">
        <v>105</v>
      </c>
      <c r="L40" s="100"/>
      <c r="M40" s="114">
        <v>105</v>
      </c>
      <c r="N40" s="122">
        <v>105</v>
      </c>
      <c r="O40" s="122">
        <v>105</v>
      </c>
      <c r="P40" s="122"/>
      <c r="Q40" s="123">
        <v>105</v>
      </c>
      <c r="R40" s="100"/>
      <c r="S40" s="114">
        <v>105</v>
      </c>
      <c r="T40" s="122">
        <v>105</v>
      </c>
      <c r="U40" s="122">
        <v>105</v>
      </c>
      <c r="V40" s="122">
        <v>105</v>
      </c>
      <c r="W40" s="123"/>
      <c r="X40" s="100"/>
      <c r="Y40" s="114"/>
      <c r="Z40" s="122">
        <v>105</v>
      </c>
      <c r="AA40" s="122">
        <v>105</v>
      </c>
      <c r="AB40" s="122">
        <v>105</v>
      </c>
      <c r="AC40" s="123">
        <v>105</v>
      </c>
      <c r="AD40" s="100"/>
      <c r="AE40" s="114"/>
      <c r="AF40" s="122">
        <v>105</v>
      </c>
      <c r="AG40" s="122">
        <v>105</v>
      </c>
      <c r="AH40" s="122">
        <v>105</v>
      </c>
      <c r="AI40" s="123"/>
      <c r="AJ40" s="100"/>
      <c r="AK40" s="114"/>
      <c r="AL40" s="122">
        <v>105</v>
      </c>
      <c r="AM40" s="122">
        <v>105</v>
      </c>
      <c r="AN40" s="122">
        <v>105</v>
      </c>
      <c r="AO40" s="123">
        <v>105</v>
      </c>
      <c r="AP40" s="100"/>
      <c r="AQ40" s="114">
        <v>105</v>
      </c>
      <c r="AR40" s="122">
        <v>105</v>
      </c>
      <c r="AS40" s="122"/>
      <c r="AT40" s="122">
        <v>105</v>
      </c>
      <c r="AU40" s="123">
        <v>105</v>
      </c>
      <c r="AV40" s="100"/>
      <c r="AW40" s="114">
        <v>105</v>
      </c>
      <c r="AX40" s="122"/>
      <c r="AY40" s="122"/>
      <c r="AZ40" s="122"/>
      <c r="BA40" s="123"/>
      <c r="BB40" s="100"/>
      <c r="BC40" s="98"/>
    </row>
    <row r="41" spans="1:55" s="94" customFormat="1" x14ac:dyDescent="0.3">
      <c r="A41" s="107"/>
      <c r="B41" s="147"/>
      <c r="C41" s="135"/>
      <c r="D41" s="98"/>
      <c r="E41" s="96" t="s">
        <v>65</v>
      </c>
      <c r="F41" s="91" t="s">
        <v>45</v>
      </c>
      <c r="G41" s="122">
        <v>45</v>
      </c>
      <c r="H41" s="122">
        <v>45</v>
      </c>
      <c r="I41" s="122"/>
      <c r="J41" s="122"/>
      <c r="K41" s="123">
        <v>45</v>
      </c>
      <c r="L41" s="100"/>
      <c r="M41" s="114">
        <v>45</v>
      </c>
      <c r="N41" s="122">
        <v>45</v>
      </c>
      <c r="O41" s="122">
        <v>45</v>
      </c>
      <c r="P41" s="122"/>
      <c r="Q41" s="123">
        <v>45</v>
      </c>
      <c r="R41" s="100"/>
      <c r="S41" s="114">
        <v>45</v>
      </c>
      <c r="T41" s="122">
        <v>45</v>
      </c>
      <c r="U41" s="122">
        <v>45</v>
      </c>
      <c r="V41" s="122">
        <v>45</v>
      </c>
      <c r="W41" s="123"/>
      <c r="X41" s="100"/>
      <c r="Y41" s="114"/>
      <c r="Z41" s="122">
        <v>45</v>
      </c>
      <c r="AA41" s="122">
        <v>45</v>
      </c>
      <c r="AB41" s="122">
        <v>45</v>
      </c>
      <c r="AC41" s="123">
        <v>45</v>
      </c>
      <c r="AD41" s="100"/>
      <c r="AE41" s="114"/>
      <c r="AF41" s="122">
        <v>45</v>
      </c>
      <c r="AG41" s="122">
        <v>45</v>
      </c>
      <c r="AH41" s="122">
        <v>45</v>
      </c>
      <c r="AI41" s="123"/>
      <c r="AJ41" s="100"/>
      <c r="AK41" s="114"/>
      <c r="AL41" s="122">
        <v>45</v>
      </c>
      <c r="AM41" s="122">
        <v>45</v>
      </c>
      <c r="AN41" s="122">
        <v>45</v>
      </c>
      <c r="AO41" s="123">
        <v>45</v>
      </c>
      <c r="AP41" s="100"/>
      <c r="AQ41" s="114">
        <v>45</v>
      </c>
      <c r="AR41" s="122">
        <v>45</v>
      </c>
      <c r="AS41" s="122"/>
      <c r="AT41" s="122">
        <v>45</v>
      </c>
      <c r="AU41" s="123">
        <v>45</v>
      </c>
      <c r="AV41" s="100"/>
      <c r="AW41" s="114">
        <v>45</v>
      </c>
      <c r="AX41" s="122"/>
      <c r="AY41" s="122"/>
      <c r="AZ41" s="122"/>
      <c r="BA41" s="123"/>
      <c r="BB41" s="100"/>
      <c r="BC41" s="98"/>
    </row>
    <row r="42" spans="1:55" s="94" customFormat="1" x14ac:dyDescent="0.3">
      <c r="A42" s="107"/>
      <c r="B42" s="147"/>
      <c r="C42" s="135"/>
      <c r="D42" s="98"/>
      <c r="E42" s="150" t="s">
        <v>72</v>
      </c>
      <c r="F42" s="150" t="s">
        <v>45</v>
      </c>
      <c r="G42" s="151">
        <f xml:space="preserve"> G36 - SUM( G37:G41 )</f>
        <v>1271.296</v>
      </c>
      <c r="H42" s="152">
        <f xml:space="preserve"> H36 - SUM( H37:H41 )</f>
        <v>1271.296</v>
      </c>
      <c r="I42" s="152">
        <f xml:space="preserve"> I36 - SUM( I37:I41 )</f>
        <v>1878</v>
      </c>
      <c r="J42" s="152">
        <f xml:space="preserve"> J36 - SUM( J37:J41 )</f>
        <v>1878</v>
      </c>
      <c r="K42" s="153">
        <f xml:space="preserve"> K36 - SUM( K37:K41 )</f>
        <v>1271.296</v>
      </c>
      <c r="L42" s="100"/>
      <c r="M42" s="151">
        <f xml:space="preserve"> M36 - SUM( M37:M41 )</f>
        <v>1271.296</v>
      </c>
      <c r="N42" s="152">
        <f xml:space="preserve"> N36 - SUM( N37:N41 )</f>
        <v>1271.296</v>
      </c>
      <c r="O42" s="152">
        <f xml:space="preserve"> O36 - SUM( O37:O41 )</f>
        <v>1271.296</v>
      </c>
      <c r="P42" s="152">
        <f xml:space="preserve"> P36 - SUM( P37:P41 )</f>
        <v>1878</v>
      </c>
      <c r="Q42" s="153">
        <f xml:space="preserve"> Q36 - SUM( Q37:Q41 )</f>
        <v>1271.296</v>
      </c>
      <c r="R42" s="100"/>
      <c r="S42" s="151">
        <f xml:space="preserve"> S36 - SUM( S37:S41 )</f>
        <v>1271.296</v>
      </c>
      <c r="T42" s="152">
        <f xml:space="preserve"> T36 - SUM( T37:T41 )</f>
        <v>1271.296</v>
      </c>
      <c r="U42" s="152">
        <f xml:space="preserve"> U36 - SUM( U37:U41 )</f>
        <v>1271.296</v>
      </c>
      <c r="V42" s="152">
        <f xml:space="preserve"> V36 - SUM( V37:V41 )</f>
        <v>1271.296</v>
      </c>
      <c r="W42" s="153">
        <f xml:space="preserve"> W36 - SUM( W37:W41 )</f>
        <v>1878</v>
      </c>
      <c r="X42" s="100"/>
      <c r="Y42" s="151">
        <f xml:space="preserve"> Y36 - SUM( Y37:Y41 )</f>
        <v>1878</v>
      </c>
      <c r="Z42" s="152">
        <f xml:space="preserve"> Z36 - SUM( Z37:Z41 )</f>
        <v>1271.296</v>
      </c>
      <c r="AA42" s="152">
        <f xml:space="preserve"> AA36 - SUM( AA37:AA41 )</f>
        <v>1271.296</v>
      </c>
      <c r="AB42" s="152">
        <f xml:space="preserve"> AB36 - SUM( AB37:AB41 )</f>
        <v>1271.296</v>
      </c>
      <c r="AC42" s="153">
        <f xml:space="preserve"> AC36 - SUM( AC37:AC41 )</f>
        <v>1271.296</v>
      </c>
      <c r="AD42" s="100"/>
      <c r="AE42" s="151">
        <f xml:space="preserve"> AE36 - SUM( AE37:AE41 )</f>
        <v>1878</v>
      </c>
      <c r="AF42" s="152">
        <f xml:space="preserve"> AF36 - SUM( AF37:AF41 )</f>
        <v>1272.296</v>
      </c>
      <c r="AG42" s="152">
        <f xml:space="preserve"> AG36 - SUM( AG37:AG41 )</f>
        <v>1272.296</v>
      </c>
      <c r="AH42" s="152">
        <f xml:space="preserve"> AH36 - SUM( AH37:AH41 )</f>
        <v>1272.296</v>
      </c>
      <c r="AI42" s="153">
        <f xml:space="preserve"> AI36 - SUM( AI37:AI41 )</f>
        <v>1878</v>
      </c>
      <c r="AJ42" s="100"/>
      <c r="AK42" s="151">
        <f xml:space="preserve"> AK36 - SUM( AK37:AK41 )</f>
        <v>1878</v>
      </c>
      <c r="AL42" s="152">
        <f xml:space="preserve"> AL36 - SUM( AL37:AL41 )</f>
        <v>1302.296</v>
      </c>
      <c r="AM42" s="152">
        <f xml:space="preserve"> AM36 - SUM( AM37:AM41 )</f>
        <v>1302.296</v>
      </c>
      <c r="AN42" s="152">
        <f xml:space="preserve"> AN36 - SUM( AN37:AN41 )</f>
        <v>1302.296</v>
      </c>
      <c r="AO42" s="153">
        <f xml:space="preserve"> AO36 - SUM( AO37:AO41 )</f>
        <v>1302.296</v>
      </c>
      <c r="AP42" s="100"/>
      <c r="AQ42" s="151">
        <f xml:space="preserve"> AQ36 - SUM( AQ37:AQ41 )</f>
        <v>1302.296</v>
      </c>
      <c r="AR42" s="152">
        <f xml:space="preserve"> AR36 - SUM( AR37:AR41 )</f>
        <v>1302.296</v>
      </c>
      <c r="AS42" s="152">
        <f xml:space="preserve"> AS36 - SUM( AS37:AS41 )</f>
        <v>1878</v>
      </c>
      <c r="AT42" s="152">
        <f xml:space="preserve"> AT36 - SUM( AT37:AT41 )</f>
        <v>1302.296</v>
      </c>
      <c r="AU42" s="153">
        <f xml:space="preserve"> AU36 - SUM( AU37:AU41 )</f>
        <v>1302.296</v>
      </c>
      <c r="AV42" s="100"/>
      <c r="AW42" s="151">
        <f xml:space="preserve"> AW36 - SUM( AW37:AW41 )</f>
        <v>1270.296</v>
      </c>
      <c r="AX42" s="152">
        <f xml:space="preserve"> AX36 - SUM( AX37:AX41 )</f>
        <v>1878</v>
      </c>
      <c r="AY42" s="152">
        <f xml:space="preserve"> AY36 - SUM( AY37:AY41 )</f>
        <v>1878</v>
      </c>
      <c r="AZ42" s="152">
        <f xml:space="preserve"> AZ36 - SUM( AZ37:AZ41 )</f>
        <v>1878</v>
      </c>
      <c r="BA42" s="153">
        <f xml:space="preserve"> BA36 - SUM( BA37:BA41 )</f>
        <v>1878</v>
      </c>
      <c r="BB42" s="100"/>
      <c r="BC42" s="98"/>
    </row>
    <row r="43" spans="1:55" s="94" customFormat="1" ht="6" customHeight="1" x14ac:dyDescent="0.3">
      <c r="A43" s="107"/>
      <c r="B43" s="147"/>
      <c r="C43" s="135"/>
      <c r="D43" s="98"/>
      <c r="E43" s="90"/>
      <c r="F43" s="127"/>
      <c r="G43" s="113"/>
      <c r="H43" s="120"/>
      <c r="I43" s="120"/>
      <c r="J43" s="120"/>
      <c r="K43" s="121"/>
      <c r="L43" s="103"/>
      <c r="M43" s="113"/>
      <c r="N43" s="120"/>
      <c r="O43" s="120"/>
      <c r="P43" s="120"/>
      <c r="Q43" s="121"/>
      <c r="R43" s="103"/>
      <c r="S43" s="113"/>
      <c r="T43" s="120"/>
      <c r="U43" s="120"/>
      <c r="V43" s="120"/>
      <c r="W43" s="121"/>
      <c r="X43" s="103"/>
      <c r="Y43" s="113"/>
      <c r="Z43" s="120"/>
      <c r="AA43" s="120"/>
      <c r="AB43" s="120"/>
      <c r="AC43" s="121"/>
      <c r="AD43" s="103"/>
      <c r="AE43" s="113"/>
      <c r="AF43" s="120"/>
      <c r="AG43" s="120"/>
      <c r="AH43" s="120"/>
      <c r="AI43" s="121"/>
      <c r="AJ43" s="103"/>
      <c r="AK43" s="113"/>
      <c r="AL43" s="120"/>
      <c r="AM43" s="120"/>
      <c r="AN43" s="120"/>
      <c r="AO43" s="121"/>
      <c r="AP43" s="103"/>
      <c r="AQ43" s="113"/>
      <c r="AR43" s="120"/>
      <c r="AS43" s="120"/>
      <c r="AT43" s="120"/>
      <c r="AU43" s="121"/>
      <c r="AV43" s="103"/>
      <c r="AW43" s="113"/>
      <c r="AX43" s="120"/>
      <c r="AY43" s="120"/>
      <c r="AZ43" s="120"/>
      <c r="BA43" s="121"/>
      <c r="BB43" s="103"/>
      <c r="BC43" s="98"/>
    </row>
    <row r="44" spans="1:55" s="94" customFormat="1" x14ac:dyDescent="0.3">
      <c r="A44" s="107"/>
      <c r="B44" s="147"/>
      <c r="C44" s="135"/>
      <c r="D44" s="98"/>
      <c r="E44" s="156" t="s">
        <v>31</v>
      </c>
      <c r="F44" s="156" t="s">
        <v>30</v>
      </c>
      <c r="G44" s="157">
        <f xml:space="preserve"> G33 / G42</f>
        <v>55.766530486535949</v>
      </c>
      <c r="H44" s="158">
        <f xml:space="preserve"> H33 / H42</f>
        <v>61.073256634250434</v>
      </c>
      <c r="I44" s="158">
        <f xml:space="preserve"> I33 / I42</f>
        <v>0</v>
      </c>
      <c r="J44" s="158">
        <f xml:space="preserve"> J33 / J42</f>
        <v>0</v>
      </c>
      <c r="K44" s="159">
        <f xml:space="preserve"> K33 / K42</f>
        <v>84.834168866577571</v>
      </c>
      <c r="L44" s="155"/>
      <c r="M44" s="157">
        <f xml:space="preserve"> M33 / M42</f>
        <v>55.766530486535949</v>
      </c>
      <c r="N44" s="158">
        <f xml:space="preserve"> N33 / N42</f>
        <v>61.073256634250434</v>
      </c>
      <c r="O44" s="158">
        <f xml:space="preserve"> O33 / O42</f>
        <v>67.53681235741827</v>
      </c>
      <c r="P44" s="158">
        <f xml:space="preserve"> P33 / P42</f>
        <v>0</v>
      </c>
      <c r="Q44" s="159">
        <f xml:space="preserve"> Q33 / Q42</f>
        <v>84.834168866577571</v>
      </c>
      <c r="R44" s="155"/>
      <c r="S44" s="157">
        <f xml:space="preserve"> S33 / S42</f>
        <v>46.422672789665754</v>
      </c>
      <c r="T44" s="158">
        <f xml:space="preserve"> T33 / T42</f>
        <v>48.70520478510845</v>
      </c>
      <c r="U44" s="158">
        <f xml:space="preserve"> U33 / U42</f>
        <v>53.522018628432413</v>
      </c>
      <c r="V44" s="158">
        <f xml:space="preserve"> V33 / V42</f>
        <v>91.905479463560965</v>
      </c>
      <c r="W44" s="159">
        <f xml:space="preserve"> W33 / W42</f>
        <v>0</v>
      </c>
      <c r="X44" s="155"/>
      <c r="Y44" s="157">
        <f xml:space="preserve"> Y33 / Y42</f>
        <v>0</v>
      </c>
      <c r="Z44" s="158">
        <f xml:space="preserve"> Z33 / Z42</f>
        <v>48.70520478510845</v>
      </c>
      <c r="AA44" s="158">
        <f xml:space="preserve"> AA33 / AA42</f>
        <v>53.522018628432413</v>
      </c>
      <c r="AB44" s="158">
        <f xml:space="preserve"> AB33 / AB42</f>
        <v>60.822764349149907</v>
      </c>
      <c r="AC44" s="159">
        <f xml:space="preserve"> AC33 / AC42</f>
        <v>91.905479463560965</v>
      </c>
      <c r="AD44" s="155"/>
      <c r="AE44" s="157">
        <f xml:space="preserve"> AE33 / AE42</f>
        <v>0</v>
      </c>
      <c r="AF44" s="158">
        <f xml:space="preserve"> AF33 / AF42</f>
        <v>62.372708598329453</v>
      </c>
      <c r="AG44" s="158">
        <f xml:space="preserve"> AG33 / AG42</f>
        <v>67.957797395087667</v>
      </c>
      <c r="AH44" s="158">
        <f xml:space="preserve"> AH33 / AH42</f>
        <v>85.568705400886699</v>
      </c>
      <c r="AI44" s="159">
        <f xml:space="preserve"> AI33 / AI42</f>
        <v>0</v>
      </c>
      <c r="AJ44" s="155"/>
      <c r="AK44" s="157">
        <f xml:space="preserve"> AK33 / AK42</f>
        <v>0</v>
      </c>
      <c r="AL44" s="158">
        <f xml:space="preserve"> AL33 / AL42</f>
        <v>54.030268622180394</v>
      </c>
      <c r="AM44" s="158">
        <f xml:space="preserve"> AM33 / AM42</f>
        <v>57.572966930740542</v>
      </c>
      <c r="AN44" s="158">
        <f xml:space="preserve"> AN33 / AN42</f>
        <v>61.593517569292544</v>
      </c>
      <c r="AO44" s="159">
        <f xml:space="preserve"> AO33 / AO42</f>
        <v>77.642764790397678</v>
      </c>
      <c r="AP44" s="155"/>
      <c r="AQ44" s="157">
        <f xml:space="preserve"> AQ33 / AQ42</f>
        <v>54.030268622180394</v>
      </c>
      <c r="AR44" s="158">
        <f xml:space="preserve"> AR33 / AR42</f>
        <v>57.572966930740542</v>
      </c>
      <c r="AS44" s="158">
        <f xml:space="preserve"> AS33 / AS42</f>
        <v>0</v>
      </c>
      <c r="AT44" s="158">
        <f xml:space="preserve"> AT33 / AT42</f>
        <v>61.593517569292544</v>
      </c>
      <c r="AU44" s="159">
        <f xml:space="preserve"> AU33 / AU42</f>
        <v>77.642764790397678</v>
      </c>
      <c r="AV44" s="155"/>
      <c r="AW44" s="157">
        <f xml:space="preserve"> AW33 / AW42</f>
        <v>49.903347189125064</v>
      </c>
      <c r="AX44" s="158">
        <f xml:space="preserve"> AX33 / AX42</f>
        <v>0</v>
      </c>
      <c r="AY44" s="158">
        <f xml:space="preserve"> AY33 / AY42</f>
        <v>0</v>
      </c>
      <c r="AZ44" s="158">
        <f xml:space="preserve"> AZ33 / AZ42</f>
        <v>0</v>
      </c>
      <c r="BA44" s="159">
        <f xml:space="preserve"> BA33 / BA42</f>
        <v>0</v>
      </c>
      <c r="BB44" s="155"/>
      <c r="BC44" s="98"/>
    </row>
    <row r="45" spans="1:55" s="94" customFormat="1" x14ac:dyDescent="0.3">
      <c r="A45" s="107"/>
      <c r="B45" s="147"/>
      <c r="C45" s="135"/>
      <c r="D45" s="98"/>
      <c r="E45" s="142"/>
      <c r="F45" s="142"/>
      <c r="G45" s="154"/>
      <c r="H45" s="143"/>
      <c r="I45" s="143"/>
      <c r="J45" s="143"/>
      <c r="K45" s="144"/>
      <c r="L45" s="155"/>
      <c r="M45" s="154"/>
      <c r="N45" s="143"/>
      <c r="O45" s="143"/>
      <c r="P45" s="143"/>
      <c r="Q45" s="144"/>
      <c r="R45" s="155"/>
      <c r="S45" s="154"/>
      <c r="T45" s="143"/>
      <c r="U45" s="143"/>
      <c r="V45" s="143"/>
      <c r="W45" s="144"/>
      <c r="X45" s="155"/>
      <c r="Y45" s="154"/>
      <c r="Z45" s="143"/>
      <c r="AA45" s="143"/>
      <c r="AB45" s="143"/>
      <c r="AC45" s="144"/>
      <c r="AD45" s="155"/>
      <c r="AE45" s="154"/>
      <c r="AF45" s="143"/>
      <c r="AG45" s="143"/>
      <c r="AH45" s="143"/>
      <c r="AI45" s="144"/>
      <c r="AJ45" s="155"/>
      <c r="AK45" s="154"/>
      <c r="AL45" s="143"/>
      <c r="AM45" s="143"/>
      <c r="AN45" s="143"/>
      <c r="AO45" s="144"/>
      <c r="AP45" s="155"/>
      <c r="AQ45" s="154"/>
      <c r="AR45" s="143"/>
      <c r="AS45" s="143"/>
      <c r="AT45" s="143"/>
      <c r="AU45" s="144"/>
      <c r="AV45" s="155"/>
      <c r="AW45" s="154"/>
      <c r="AX45" s="143"/>
      <c r="AY45" s="143"/>
      <c r="AZ45" s="143"/>
      <c r="BA45" s="144"/>
      <c r="BB45" s="155"/>
      <c r="BC45" s="98"/>
    </row>
    <row r="46" spans="1:55" s="94" customFormat="1" x14ac:dyDescent="0.3">
      <c r="A46" s="107"/>
      <c r="B46" s="147"/>
      <c r="C46" s="135"/>
      <c r="D46" s="98"/>
      <c r="E46" s="160" t="s">
        <v>44</v>
      </c>
      <c r="F46" s="160" t="s">
        <v>30</v>
      </c>
      <c r="G46" s="163"/>
      <c r="H46" s="164"/>
      <c r="I46" s="460">
        <f xml:space="preserve"> SUMPRODUCT(G12:K12, G44:K44)</f>
        <v>57.596157453173568</v>
      </c>
      <c r="J46" s="318"/>
      <c r="K46" s="219"/>
      <c r="L46" s="220"/>
      <c r="M46" s="163"/>
      <c r="N46" s="164"/>
      <c r="O46" s="460">
        <f xml:space="preserve"> SUMPRODUCT(M12:Q12, M44:Q44)</f>
        <v>62.770307259066279</v>
      </c>
      <c r="P46" s="218"/>
      <c r="Q46" s="219"/>
      <c r="R46" s="220"/>
      <c r="S46" s="221"/>
      <c r="T46" s="218"/>
      <c r="U46" s="460">
        <f xml:space="preserve"> SUMPRODUCT(S12:W12, S44:W44)</f>
        <v>49.999031193407554</v>
      </c>
      <c r="V46" s="218"/>
      <c r="W46" s="219"/>
      <c r="X46" s="220"/>
      <c r="Y46" s="221"/>
      <c r="Z46" s="218"/>
      <c r="AA46" s="460">
        <f xml:space="preserve"> SUMPRODUCT(Y12:AC12, Y44:AC44)</f>
        <v>54.402639612262398</v>
      </c>
      <c r="AB46" s="218"/>
      <c r="AC46" s="219"/>
      <c r="AD46" s="220"/>
      <c r="AE46" s="221"/>
      <c r="AF46" s="218"/>
      <c r="AG46" s="460">
        <f xml:space="preserve"> SUMPRODUCT(AE12:AI12, AE44:AI44)</f>
        <v>67.081296019916834</v>
      </c>
      <c r="AH46" s="218"/>
      <c r="AI46" s="219"/>
      <c r="AJ46" s="220"/>
      <c r="AK46" s="221"/>
      <c r="AL46" s="218"/>
      <c r="AM46" s="460">
        <f xml:space="preserve"> SUMPRODUCT(AK12:AO12, AK44:AO44)</f>
        <v>55.856653182742292</v>
      </c>
      <c r="AN46" s="164"/>
      <c r="AO46" s="165"/>
      <c r="AP46" s="166"/>
      <c r="AQ46" s="221"/>
      <c r="AR46" s="218"/>
      <c r="AS46" s="460">
        <f xml:space="preserve"> SUMPRODUCT(AQ12:AU12, AQ44:AU44)</f>
        <v>59.43725012437077</v>
      </c>
      <c r="AT46" s="164"/>
      <c r="AU46" s="165"/>
      <c r="AV46" s="166"/>
      <c r="AW46" s="163"/>
      <c r="AX46" s="164"/>
      <c r="AY46" s="460">
        <f xml:space="preserve"> SUMPRODUCT(AW12:BA12, AW44:BA44)</f>
        <v>49.903347189125064</v>
      </c>
      <c r="AZ46" s="164"/>
      <c r="BA46" s="165"/>
      <c r="BB46" s="166"/>
      <c r="BC46" s="98"/>
    </row>
    <row r="47" spans="1:55" x14ac:dyDescent="0.3">
      <c r="G47" s="58"/>
      <c r="H47" s="58"/>
      <c r="I47" s="305"/>
      <c r="J47" s="58"/>
      <c r="K47" s="58"/>
      <c r="M47" s="58"/>
      <c r="N47" s="58"/>
      <c r="O47" s="305"/>
      <c r="P47" s="58"/>
      <c r="Q47" s="58"/>
    </row>
    <row r="48" spans="1:55" x14ac:dyDescent="0.3">
      <c r="A48" s="173" t="s">
        <v>63</v>
      </c>
      <c r="B48" s="173" t="s">
        <v>63</v>
      </c>
      <c r="C48" s="173" t="s">
        <v>63</v>
      </c>
      <c r="D48" s="173" t="s">
        <v>63</v>
      </c>
      <c r="E48" s="173" t="s">
        <v>63</v>
      </c>
      <c r="F48" s="173" t="s">
        <v>63</v>
      </c>
      <c r="G48" s="173" t="s">
        <v>63</v>
      </c>
      <c r="H48" s="173" t="s">
        <v>63</v>
      </c>
      <c r="I48" s="173" t="s">
        <v>63</v>
      </c>
      <c r="J48" s="173" t="s">
        <v>63</v>
      </c>
      <c r="K48" s="173" t="s">
        <v>63</v>
      </c>
      <c r="L48" s="173" t="s">
        <v>63</v>
      </c>
      <c r="M48" s="173" t="s">
        <v>63</v>
      </c>
      <c r="N48" s="173" t="s">
        <v>63</v>
      </c>
      <c r="O48" s="173"/>
      <c r="P48" s="173" t="s">
        <v>63</v>
      </c>
      <c r="Q48" s="173" t="s">
        <v>63</v>
      </c>
      <c r="R48" s="173" t="s">
        <v>63</v>
      </c>
      <c r="S48" s="173" t="s">
        <v>63</v>
      </c>
      <c r="T48" s="173" t="s">
        <v>63</v>
      </c>
      <c r="U48" s="173" t="s">
        <v>63</v>
      </c>
      <c r="V48" s="173" t="s">
        <v>63</v>
      </c>
      <c r="W48" s="173" t="s">
        <v>63</v>
      </c>
      <c r="X48" s="173" t="s">
        <v>63</v>
      </c>
      <c r="Y48" s="173" t="s">
        <v>63</v>
      </c>
      <c r="Z48" s="173" t="s">
        <v>63</v>
      </c>
      <c r="AA48" s="173" t="s">
        <v>63</v>
      </c>
      <c r="AB48" s="173" t="s">
        <v>63</v>
      </c>
      <c r="AC48" s="173" t="s">
        <v>63</v>
      </c>
      <c r="AD48" s="173" t="s">
        <v>63</v>
      </c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 t="s">
        <v>63</v>
      </c>
    </row>
  </sheetData>
  <mergeCells count="16">
    <mergeCell ref="AW8:BA8"/>
    <mergeCell ref="G9:K9"/>
    <mergeCell ref="S9:W9"/>
    <mergeCell ref="AE9:AI9"/>
    <mergeCell ref="AK9:AO9"/>
    <mergeCell ref="AW9:BA9"/>
    <mergeCell ref="M9:Q9"/>
    <mergeCell ref="Y9:AC9"/>
    <mergeCell ref="AQ8:AU8"/>
    <mergeCell ref="AQ9:AU9"/>
    <mergeCell ref="G8:K8"/>
    <mergeCell ref="S8:W8"/>
    <mergeCell ref="AE8:AI8"/>
    <mergeCell ref="AK8:AO8"/>
    <mergeCell ref="M8:Q8"/>
    <mergeCell ref="Y8:AC8"/>
  </mergeCells>
  <conditionalFormatting sqref="G8:K8">
    <cfRule type="cellIs" dxfId="135" priority="101" operator="equal">
      <formula>#REF!</formula>
    </cfRule>
    <cfRule type="cellIs" dxfId="134" priority="102" operator="equal">
      <formula>#REF!</formula>
    </cfRule>
    <cfRule type="cellIs" dxfId="133" priority="103" operator="equal">
      <formula>#REF!</formula>
    </cfRule>
    <cfRule type="cellIs" dxfId="132" priority="104" stopIfTrue="1" operator="equal">
      <formula>#REF!</formula>
    </cfRule>
    <cfRule type="cellIs" dxfId="131" priority="105" stopIfTrue="1" operator="equal">
      <formula>#REF!</formula>
    </cfRule>
  </conditionalFormatting>
  <conditionalFormatting sqref="S8:W8">
    <cfRule type="cellIs" dxfId="130" priority="31" operator="equal">
      <formula>#REF!</formula>
    </cfRule>
    <cfRule type="cellIs" dxfId="129" priority="32" operator="equal">
      <formula>#REF!</formula>
    </cfRule>
    <cfRule type="cellIs" dxfId="128" priority="33" operator="equal">
      <formula>#REF!</formula>
    </cfRule>
    <cfRule type="cellIs" dxfId="127" priority="34" stopIfTrue="1" operator="equal">
      <formula>#REF!</formula>
    </cfRule>
    <cfRule type="cellIs" dxfId="126" priority="35" stopIfTrue="1" operator="equal">
      <formula>#REF!</formula>
    </cfRule>
  </conditionalFormatting>
  <conditionalFormatting sqref="AE8:AI8">
    <cfRule type="cellIs" dxfId="125" priority="26" operator="equal">
      <formula>#REF!</formula>
    </cfRule>
    <cfRule type="cellIs" dxfId="124" priority="27" operator="equal">
      <formula>#REF!</formula>
    </cfRule>
    <cfRule type="cellIs" dxfId="123" priority="28" operator="equal">
      <formula>#REF!</formula>
    </cfRule>
    <cfRule type="cellIs" dxfId="122" priority="29" stopIfTrue="1" operator="equal">
      <formula>#REF!</formula>
    </cfRule>
    <cfRule type="cellIs" dxfId="121" priority="30" stopIfTrue="1" operator="equal">
      <formula>#REF!</formula>
    </cfRule>
  </conditionalFormatting>
  <conditionalFormatting sqref="AK8:AO8">
    <cfRule type="cellIs" dxfId="120" priority="21" operator="equal">
      <formula>#REF!</formula>
    </cfRule>
    <cfRule type="cellIs" dxfId="119" priority="22" operator="equal">
      <formula>#REF!</formula>
    </cfRule>
    <cfRule type="cellIs" dxfId="118" priority="23" operator="equal">
      <formula>#REF!</formula>
    </cfRule>
    <cfRule type="cellIs" dxfId="117" priority="24" stopIfTrue="1" operator="equal">
      <formula>#REF!</formula>
    </cfRule>
    <cfRule type="cellIs" dxfId="116" priority="25" stopIfTrue="1" operator="equal">
      <formula>#REF!</formula>
    </cfRule>
  </conditionalFormatting>
  <conditionalFormatting sqref="AW8:BA8">
    <cfRule type="cellIs" dxfId="115" priority="16" operator="equal">
      <formula>#REF!</formula>
    </cfRule>
    <cfRule type="cellIs" dxfId="114" priority="17" operator="equal">
      <formula>#REF!</formula>
    </cfRule>
    <cfRule type="cellIs" dxfId="113" priority="18" operator="equal">
      <formula>#REF!</formula>
    </cfRule>
    <cfRule type="cellIs" dxfId="112" priority="19" stopIfTrue="1" operator="equal">
      <formula>#REF!</formula>
    </cfRule>
    <cfRule type="cellIs" dxfId="111" priority="20" stopIfTrue="1" operator="equal">
      <formula>#REF!</formula>
    </cfRule>
  </conditionalFormatting>
  <conditionalFormatting sqref="M8:Q8">
    <cfRule type="cellIs" dxfId="110" priority="11" operator="equal">
      <formula>#REF!</formula>
    </cfRule>
    <cfRule type="cellIs" dxfId="109" priority="12" operator="equal">
      <formula>#REF!</formula>
    </cfRule>
    <cfRule type="cellIs" dxfId="108" priority="13" operator="equal">
      <formula>#REF!</formula>
    </cfRule>
    <cfRule type="cellIs" dxfId="107" priority="14" stopIfTrue="1" operator="equal">
      <formula>#REF!</formula>
    </cfRule>
    <cfRule type="cellIs" dxfId="106" priority="15" stopIfTrue="1" operator="equal">
      <formula>#REF!</formula>
    </cfRule>
  </conditionalFormatting>
  <conditionalFormatting sqref="Y8:AC8">
    <cfRule type="cellIs" dxfId="105" priority="6" operator="equal">
      <formula>#REF!</formula>
    </cfRule>
    <cfRule type="cellIs" dxfId="104" priority="7" operator="equal">
      <formula>#REF!</formula>
    </cfRule>
    <cfRule type="cellIs" dxfId="103" priority="8" operator="equal">
      <formula>#REF!</formula>
    </cfRule>
    <cfRule type="cellIs" dxfId="102" priority="9" stopIfTrue="1" operator="equal">
      <formula>#REF!</formula>
    </cfRule>
    <cfRule type="cellIs" dxfId="101" priority="10" stopIfTrue="1" operator="equal">
      <formula>#REF!</formula>
    </cfRule>
  </conditionalFormatting>
  <conditionalFormatting sqref="AQ8:AU8">
    <cfRule type="cellIs" dxfId="100" priority="1" operator="equal">
      <formula>#REF!</formula>
    </cfRule>
    <cfRule type="cellIs" dxfId="99" priority="2" operator="equal">
      <formula>#REF!</formula>
    </cfRule>
    <cfRule type="cellIs" dxfId="98" priority="3" operator="equal">
      <formula>#REF!</formula>
    </cfRule>
    <cfRule type="cellIs" dxfId="97" priority="4" stopIfTrue="1" operator="equal">
      <formula>#REF!</formula>
    </cfRule>
    <cfRule type="cellIs" dxfId="96" priority="5" stopIfTrue="1" operator="equal">
      <formula>#REF!</formula>
    </cfRule>
  </conditionalFormatting>
  <dataValidations count="1">
    <dataValidation type="list" allowBlank="1" showInputMessage="1" showErrorMessage="1" sqref="G14 S14 AE14 AK14 AW14 M14 Y14 AQ14" xr:uid="{56620686-D873-48B7-8190-0AE966A59858}">
      <formula1>"% jaarsalaris EXCL. VU, % jaarsalaris INCL. VU"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14ADA-2014-4F7F-B95C-CC906214E3D0}">
  <sheetPr>
    <tabColor theme="9" tint="0.39997558519241921"/>
  </sheetPr>
  <dimension ref="A1:CA48"/>
  <sheetViews>
    <sheetView showGridLines="0" zoomScale="85" zoomScaleNormal="85" workbookViewId="0">
      <pane xSplit="6" ySplit="4" topLeftCell="G5" activePane="bottomRight" state="frozen"/>
      <selection activeCell="Y42" sqref="Y42"/>
      <selection pane="topRight" activeCell="Y42" sqref="Y42"/>
      <selection pane="bottomLeft" activeCell="Y42" sqref="Y42"/>
      <selection pane="bottomRight" activeCell="F37" sqref="F37"/>
    </sheetView>
  </sheetViews>
  <sheetFormatPr defaultColWidth="0" defaultRowHeight="14.4" x14ac:dyDescent="0.3"/>
  <cols>
    <col min="1" max="1" width="1.109375" style="92" customWidth="1"/>
    <col min="2" max="2" width="1.109375" style="109" customWidth="1"/>
    <col min="3" max="3" width="1.109375" style="135" customWidth="1"/>
    <col min="4" max="4" width="1.109375" style="98" customWidth="1"/>
    <col min="5" max="5" width="55.6640625" style="93" customWidth="1"/>
    <col min="6" max="6" width="20.6640625" style="93" customWidth="1"/>
    <col min="7" max="11" width="10.6640625" style="93" customWidth="1"/>
    <col min="12" max="12" width="1.6640625" style="95" customWidth="1"/>
    <col min="13" max="17" width="10.6640625" style="93" customWidth="1"/>
    <col min="18" max="18" width="1.6640625" style="95" customWidth="1"/>
    <col min="19" max="23" width="10.88671875" style="95" customWidth="1"/>
    <col min="24" max="24" width="1.6640625" style="95" customWidth="1"/>
    <col min="25" max="29" width="10.88671875" style="95" customWidth="1"/>
    <col min="30" max="30" width="1.6640625" style="95" customWidth="1"/>
    <col min="31" max="31" width="1.6640625" style="98" customWidth="1"/>
    <col min="32" max="79" width="0" style="93" hidden="1" customWidth="1"/>
    <col min="80" max="16384" width="9.109375" style="93" hidden="1"/>
  </cols>
  <sheetData>
    <row r="1" spans="1:31" ht="25.8" x14ac:dyDescent="0.5">
      <c r="A1" s="106" t="str">
        <f ca="1">RIGHT(CELL("filename",$A$1),LEN(CELL("filename",$A$1))-SEARCH("]",CELL("filename",$A$1)))</f>
        <v>Ind. beg. Wonen</v>
      </c>
    </row>
    <row r="3" spans="1:31" x14ac:dyDescent="0.3">
      <c r="E3" s="183"/>
      <c r="F3" s="183"/>
    </row>
    <row r="4" spans="1:31" s="107" customFormat="1" x14ac:dyDescent="0.3">
      <c r="B4" s="172"/>
      <c r="C4" s="169" t="s">
        <v>6</v>
      </c>
      <c r="D4" s="169"/>
      <c r="E4" s="142"/>
      <c r="F4" s="142" t="s">
        <v>11</v>
      </c>
      <c r="G4" s="586" t="s">
        <v>221</v>
      </c>
      <c r="H4" s="587"/>
      <c r="I4" s="587"/>
      <c r="J4" s="587"/>
      <c r="K4" s="588"/>
      <c r="L4" s="95"/>
      <c r="M4" s="586" t="s">
        <v>221</v>
      </c>
      <c r="N4" s="587"/>
      <c r="O4" s="587"/>
      <c r="P4" s="587"/>
      <c r="Q4" s="588"/>
      <c r="R4" s="95"/>
      <c r="S4" s="586" t="s">
        <v>221</v>
      </c>
      <c r="T4" s="587"/>
      <c r="U4" s="587"/>
      <c r="V4" s="587"/>
      <c r="W4" s="588"/>
      <c r="X4" s="95"/>
      <c r="Y4" s="586" t="s">
        <v>221</v>
      </c>
      <c r="Z4" s="587"/>
      <c r="AA4" s="587"/>
      <c r="AB4" s="587"/>
      <c r="AC4" s="588"/>
      <c r="AD4" s="95"/>
      <c r="AE4" s="135"/>
    </row>
    <row r="5" spans="1:31" s="99" customFormat="1" x14ac:dyDescent="0.3">
      <c r="A5" s="108"/>
      <c r="B5" s="148"/>
      <c r="C5" s="149"/>
      <c r="D5" s="101"/>
      <c r="E5" s="96"/>
      <c r="F5" s="145"/>
      <c r="G5" s="115"/>
      <c r="H5" s="146"/>
      <c r="I5" s="146"/>
      <c r="J5" s="146"/>
      <c r="K5" s="125"/>
      <c r="M5" s="115"/>
      <c r="N5" s="146"/>
      <c r="O5" s="146"/>
      <c r="P5" s="146"/>
      <c r="Q5" s="125"/>
      <c r="S5" s="115"/>
      <c r="T5" s="146"/>
      <c r="U5" s="146"/>
      <c r="V5" s="146"/>
      <c r="W5" s="125"/>
      <c r="Y5" s="115"/>
      <c r="Z5" s="146"/>
      <c r="AA5" s="146"/>
      <c r="AB5" s="146"/>
      <c r="AC5" s="125"/>
      <c r="AE5" s="101"/>
    </row>
    <row r="6" spans="1:31" s="99" customFormat="1" x14ac:dyDescent="0.3">
      <c r="A6" s="108"/>
      <c r="B6" s="148"/>
      <c r="C6" s="149"/>
      <c r="D6" s="110" t="s">
        <v>39</v>
      </c>
      <c r="E6" s="96"/>
      <c r="F6" s="145"/>
      <c r="G6" s="124"/>
      <c r="H6" s="146"/>
      <c r="I6" s="146"/>
      <c r="J6" s="146"/>
      <c r="K6" s="125"/>
      <c r="M6" s="124"/>
      <c r="N6" s="146"/>
      <c r="O6" s="146"/>
      <c r="P6" s="146"/>
      <c r="Q6" s="125"/>
      <c r="S6" s="124"/>
      <c r="T6" s="146"/>
      <c r="U6" s="146"/>
      <c r="V6" s="146"/>
      <c r="W6" s="125"/>
      <c r="Y6" s="124"/>
      <c r="Z6" s="146"/>
      <c r="AA6" s="146"/>
      <c r="AB6" s="146"/>
      <c r="AC6" s="125"/>
      <c r="AE6" s="101"/>
    </row>
    <row r="7" spans="1:31" s="91" customFormat="1" x14ac:dyDescent="0.3">
      <c r="A7" s="89"/>
      <c r="B7" s="134"/>
      <c r="C7" s="167"/>
      <c r="D7" s="168"/>
      <c r="E7" s="90" t="s">
        <v>69</v>
      </c>
      <c r="F7" s="90" t="s">
        <v>12</v>
      </c>
      <c r="G7" s="179" t="s">
        <v>49</v>
      </c>
      <c r="H7" s="170"/>
      <c r="I7" s="170"/>
      <c r="J7" s="170"/>
      <c r="K7" s="171"/>
      <c r="L7" s="99"/>
      <c r="M7" s="179" t="s">
        <v>49</v>
      </c>
      <c r="N7" s="170"/>
      <c r="O7" s="170"/>
      <c r="P7" s="170"/>
      <c r="Q7" s="171"/>
      <c r="R7" s="99"/>
      <c r="S7" s="179" t="s">
        <v>49</v>
      </c>
      <c r="T7" s="170"/>
      <c r="U7" s="170"/>
      <c r="V7" s="170"/>
      <c r="W7" s="171"/>
      <c r="X7" s="99"/>
      <c r="Y7" s="179" t="s">
        <v>49</v>
      </c>
      <c r="Z7" s="170"/>
      <c r="AA7" s="170"/>
      <c r="AB7" s="170"/>
      <c r="AC7" s="171"/>
      <c r="AD7" s="99"/>
      <c r="AE7" s="168"/>
    </row>
    <row r="8" spans="1:31" s="91" customFormat="1" x14ac:dyDescent="0.3">
      <c r="A8" s="89"/>
      <c r="B8" s="134"/>
      <c r="C8" s="167"/>
      <c r="D8" s="168"/>
      <c r="E8" s="90" t="s">
        <v>66</v>
      </c>
      <c r="F8" s="90" t="s">
        <v>70</v>
      </c>
      <c r="G8" s="579" t="s">
        <v>218</v>
      </c>
      <c r="H8" s="580"/>
      <c r="I8" s="580"/>
      <c r="J8" s="580"/>
      <c r="K8" s="581"/>
      <c r="L8" s="99"/>
      <c r="M8" s="579" t="s">
        <v>218</v>
      </c>
      <c r="N8" s="580"/>
      <c r="O8" s="580"/>
      <c r="P8" s="580"/>
      <c r="Q8" s="581"/>
      <c r="R8" s="99"/>
      <c r="S8" s="579" t="s">
        <v>218</v>
      </c>
      <c r="T8" s="580"/>
      <c r="U8" s="580"/>
      <c r="V8" s="580"/>
      <c r="W8" s="581"/>
      <c r="X8" s="99"/>
      <c r="Y8" s="579" t="s">
        <v>218</v>
      </c>
      <c r="Z8" s="580"/>
      <c r="AA8" s="580"/>
      <c r="AB8" s="580"/>
      <c r="AC8" s="581"/>
      <c r="AD8" s="99"/>
      <c r="AE8" s="168"/>
    </row>
    <row r="9" spans="1:31" s="91" customFormat="1" ht="14.4" customHeight="1" x14ac:dyDescent="0.3">
      <c r="A9" s="89"/>
      <c r="B9" s="134"/>
      <c r="C9" s="167"/>
      <c r="D9" s="168"/>
      <c r="E9" s="91" t="s">
        <v>40</v>
      </c>
      <c r="F9" s="90" t="s">
        <v>12</v>
      </c>
      <c r="G9" s="582" t="s">
        <v>163</v>
      </c>
      <c r="H9" s="583"/>
      <c r="I9" s="583"/>
      <c r="J9" s="583"/>
      <c r="K9" s="584"/>
      <c r="L9" s="99"/>
      <c r="M9" s="582" t="s">
        <v>164</v>
      </c>
      <c r="N9" s="583"/>
      <c r="O9" s="583"/>
      <c r="P9" s="583"/>
      <c r="Q9" s="584"/>
      <c r="R9" s="99"/>
      <c r="S9" s="582" t="s">
        <v>165</v>
      </c>
      <c r="T9" s="583"/>
      <c r="U9" s="583"/>
      <c r="V9" s="583"/>
      <c r="W9" s="584"/>
      <c r="X9" s="99"/>
      <c r="Y9" s="582" t="s">
        <v>134</v>
      </c>
      <c r="Z9" s="583"/>
      <c r="AA9" s="583"/>
      <c r="AB9" s="583"/>
      <c r="AC9" s="584"/>
      <c r="AD9" s="99"/>
      <c r="AE9" s="168"/>
    </row>
    <row r="10" spans="1:31" s="94" customFormat="1" x14ac:dyDescent="0.3">
      <c r="A10" s="107"/>
      <c r="B10" s="147"/>
      <c r="C10" s="135"/>
      <c r="D10" s="98"/>
      <c r="E10" s="91" t="s">
        <v>7</v>
      </c>
      <c r="F10" s="127" t="s">
        <v>12</v>
      </c>
      <c r="G10" s="111" t="s">
        <v>92</v>
      </c>
      <c r="H10" s="116" t="s">
        <v>92</v>
      </c>
      <c r="I10" s="116" t="s">
        <v>92</v>
      </c>
      <c r="J10" s="116" t="s">
        <v>92</v>
      </c>
      <c r="K10" s="117" t="s">
        <v>92</v>
      </c>
      <c r="L10" s="99"/>
      <c r="M10" s="111" t="s">
        <v>93</v>
      </c>
      <c r="N10" s="116" t="s">
        <v>93</v>
      </c>
      <c r="O10" s="116" t="s">
        <v>93</v>
      </c>
      <c r="P10" s="116" t="s">
        <v>93</v>
      </c>
      <c r="Q10" s="117"/>
      <c r="R10" s="99"/>
      <c r="S10" s="111" t="s">
        <v>95</v>
      </c>
      <c r="T10" s="116" t="s">
        <v>95</v>
      </c>
      <c r="U10" s="116" t="s">
        <v>95</v>
      </c>
      <c r="V10" s="116" t="s">
        <v>95</v>
      </c>
      <c r="W10" s="117" t="s">
        <v>95</v>
      </c>
      <c r="X10" s="99"/>
      <c r="Y10" s="111" t="s">
        <v>94</v>
      </c>
      <c r="Z10" s="116" t="s">
        <v>94</v>
      </c>
      <c r="AA10" s="116" t="s">
        <v>94</v>
      </c>
      <c r="AB10" s="116" t="s">
        <v>94</v>
      </c>
      <c r="AC10" s="117"/>
      <c r="AD10" s="99"/>
      <c r="AE10" s="98"/>
    </row>
    <row r="11" spans="1:31" s="94" customFormat="1" x14ac:dyDescent="0.3">
      <c r="A11" s="107"/>
      <c r="B11" s="147"/>
      <c r="C11" s="135"/>
      <c r="D11" s="98"/>
      <c r="E11" s="96" t="s">
        <v>8</v>
      </c>
      <c r="F11" s="127" t="s">
        <v>13</v>
      </c>
      <c r="G11" s="111">
        <v>40</v>
      </c>
      <c r="H11" s="116">
        <v>45</v>
      </c>
      <c r="I11" s="116">
        <v>50</v>
      </c>
      <c r="J11" s="116">
        <v>55</v>
      </c>
      <c r="K11" s="117">
        <v>60</v>
      </c>
      <c r="L11" s="99"/>
      <c r="M11" s="111">
        <v>35</v>
      </c>
      <c r="N11" s="116">
        <v>40</v>
      </c>
      <c r="O11" s="116">
        <v>45</v>
      </c>
      <c r="P11" s="116">
        <v>60</v>
      </c>
      <c r="Q11" s="117"/>
      <c r="R11" s="99"/>
      <c r="S11" s="111">
        <v>6</v>
      </c>
      <c r="T11" s="116">
        <v>7</v>
      </c>
      <c r="U11" s="116">
        <v>8</v>
      </c>
      <c r="V11" s="116">
        <v>9</v>
      </c>
      <c r="W11" s="117">
        <v>10</v>
      </c>
      <c r="X11" s="99"/>
      <c r="Y11" s="111">
        <v>7</v>
      </c>
      <c r="Z11" s="116">
        <v>8</v>
      </c>
      <c r="AA11" s="116">
        <v>9</v>
      </c>
      <c r="AB11" s="116">
        <v>11</v>
      </c>
      <c r="AC11" s="117"/>
      <c r="AD11" s="99"/>
      <c r="AE11" s="98"/>
    </row>
    <row r="12" spans="1:31" s="94" customFormat="1" x14ac:dyDescent="0.3">
      <c r="A12" s="107"/>
      <c r="B12" s="147"/>
      <c r="C12" s="135"/>
      <c r="D12" s="98"/>
      <c r="E12" s="96" t="s">
        <v>219</v>
      </c>
      <c r="F12" s="127" t="s">
        <v>14</v>
      </c>
      <c r="G12" s="462">
        <v>0.85</v>
      </c>
      <c r="H12" s="463">
        <v>0.14000000000000001</v>
      </c>
      <c r="I12" s="463"/>
      <c r="J12" s="463"/>
      <c r="K12" s="464">
        <v>0.01</v>
      </c>
      <c r="L12" s="102"/>
      <c r="M12" s="462">
        <v>0.24752475247524752</v>
      </c>
      <c r="N12" s="463">
        <v>0.59405940594059403</v>
      </c>
      <c r="O12" s="463">
        <v>0.14851485148514851</v>
      </c>
      <c r="P12" s="463">
        <v>9.9009900990099011E-3</v>
      </c>
      <c r="Q12" s="464"/>
      <c r="R12" s="102"/>
      <c r="S12" s="462">
        <v>0.85</v>
      </c>
      <c r="T12" s="463">
        <v>0.14000000000000001</v>
      </c>
      <c r="U12" s="463"/>
      <c r="V12" s="463"/>
      <c r="W12" s="464">
        <v>0.01</v>
      </c>
      <c r="X12" s="102"/>
      <c r="Y12" s="462">
        <v>0.49</v>
      </c>
      <c r="Z12" s="463">
        <v>0.4</v>
      </c>
      <c r="AA12" s="463">
        <v>0.1</v>
      </c>
      <c r="AB12" s="463">
        <v>0.01</v>
      </c>
      <c r="AC12" s="464"/>
      <c r="AD12" s="102"/>
      <c r="AE12" s="98"/>
    </row>
    <row r="13" spans="1:31" s="99" customFormat="1" x14ac:dyDescent="0.3">
      <c r="A13" s="108"/>
      <c r="B13" s="148"/>
      <c r="C13" s="149"/>
      <c r="D13" s="101"/>
      <c r="E13" s="230"/>
      <c r="F13" s="145"/>
      <c r="G13" s="226"/>
      <c r="H13" s="227"/>
      <c r="I13" s="461"/>
      <c r="J13" s="227"/>
      <c r="K13" s="228"/>
      <c r="M13" s="112"/>
      <c r="N13" s="229"/>
      <c r="O13" s="461"/>
      <c r="P13" s="146"/>
      <c r="Q13" s="125"/>
      <c r="S13" s="112"/>
      <c r="T13" s="146"/>
      <c r="U13" s="461"/>
      <c r="V13" s="146"/>
      <c r="W13" s="125"/>
      <c r="Y13" s="115"/>
      <c r="Z13" s="146"/>
      <c r="AA13" s="461"/>
      <c r="AB13" s="146"/>
      <c r="AC13" s="125"/>
      <c r="AE13" s="101"/>
    </row>
    <row r="14" spans="1:31" s="99" customFormat="1" x14ac:dyDescent="0.3">
      <c r="A14" s="108"/>
      <c r="B14" s="148"/>
      <c r="C14" s="149"/>
      <c r="D14" s="110" t="s">
        <v>29</v>
      </c>
      <c r="E14" s="96"/>
      <c r="F14" s="145"/>
      <c r="G14" s="216" t="s">
        <v>89</v>
      </c>
      <c r="H14" s="222"/>
      <c r="I14" s="146"/>
      <c r="J14" s="146"/>
      <c r="K14" s="125"/>
      <c r="M14" s="216" t="s">
        <v>89</v>
      </c>
      <c r="N14" s="222"/>
      <c r="O14" s="146"/>
      <c r="P14" s="146"/>
      <c r="Q14" s="125"/>
      <c r="S14" s="216" t="s">
        <v>101</v>
      </c>
      <c r="T14" s="222"/>
      <c r="U14" s="146"/>
      <c r="V14" s="146"/>
      <c r="W14" s="125"/>
      <c r="Y14" s="216" t="s">
        <v>101</v>
      </c>
      <c r="Z14" s="222"/>
      <c r="AA14" s="146"/>
      <c r="AB14" s="146"/>
      <c r="AC14" s="125"/>
      <c r="AE14" s="101"/>
    </row>
    <row r="15" spans="1:31" s="94" customFormat="1" x14ac:dyDescent="0.3">
      <c r="A15" s="107"/>
      <c r="B15" s="147"/>
      <c r="C15" s="135"/>
      <c r="D15" s="98"/>
      <c r="E15" s="97" t="s">
        <v>79</v>
      </c>
      <c r="F15" s="127" t="s">
        <v>34</v>
      </c>
      <c r="G15" s="210">
        <f xml:space="preserve"> 'Bron - cao''s 2020'!F$14</f>
        <v>3037</v>
      </c>
      <c r="H15" s="211">
        <f xml:space="preserve"> 'Bron - cao''s 2020'!$F$15</f>
        <v>3326</v>
      </c>
      <c r="I15" s="211"/>
      <c r="J15" s="211"/>
      <c r="K15" s="212">
        <f xml:space="preserve"> 'Bron - cao''s 2020'!$F$18</f>
        <v>4620</v>
      </c>
      <c r="L15" s="99"/>
      <c r="M15" s="210">
        <f xml:space="preserve"> 'Bron - cao''s 2020'!I$13</f>
        <v>2766</v>
      </c>
      <c r="N15" s="211">
        <f xml:space="preserve"> 'Bron - cao''s 2020'!I$14</f>
        <v>2902</v>
      </c>
      <c r="O15" s="211">
        <f xml:space="preserve"> 'Bron - cao''s 2020'!I$15</f>
        <v>3189</v>
      </c>
      <c r="P15" s="211">
        <f xml:space="preserve"> 'Bron - cao''s 2020'!I$18</f>
        <v>4652</v>
      </c>
      <c r="Q15" s="212"/>
      <c r="R15" s="99"/>
      <c r="S15" s="210">
        <f xml:space="preserve"> 'Bron - cao''s 2020'!I$32</f>
        <v>3279</v>
      </c>
      <c r="T15" s="217">
        <f xml:space="preserve"> 'Bron - cao''s 2020'!$I$33</f>
        <v>3494</v>
      </c>
      <c r="U15" s="217"/>
      <c r="V15" s="217"/>
      <c r="W15" s="311">
        <f xml:space="preserve"> 'Bron - cao''s 2020'!I$36</f>
        <v>4712</v>
      </c>
      <c r="X15" s="99"/>
      <c r="Y15" s="210">
        <f xml:space="preserve"> 'Bron - cao''s 2020'!F$33</f>
        <v>3285.52</v>
      </c>
      <c r="Z15" s="217">
        <f xml:space="preserve"> 'Bron - cao''s 2020'!$F$34</f>
        <v>3568.98</v>
      </c>
      <c r="AA15" s="217">
        <f xml:space="preserve"> 'Bron - cao''s 2020'!$F$35</f>
        <v>3888.56</v>
      </c>
      <c r="AB15" s="217">
        <f xml:space="preserve"> 'Bron - cao''s 2020'!$F$37</f>
        <v>4896.26</v>
      </c>
      <c r="AC15" s="175"/>
      <c r="AD15" s="99"/>
      <c r="AE15" s="98"/>
    </row>
    <row r="16" spans="1:31" s="468" customFormat="1" x14ac:dyDescent="0.3">
      <c r="A16" s="466"/>
      <c r="B16" s="467"/>
      <c r="C16" s="466"/>
      <c r="E16" s="469" t="s">
        <v>16</v>
      </c>
      <c r="F16" s="470" t="s">
        <v>15</v>
      </c>
      <c r="G16" s="34">
        <v>0.92</v>
      </c>
      <c r="H16" s="34">
        <v>0.92</v>
      </c>
      <c r="I16" s="34"/>
      <c r="J16" s="34"/>
      <c r="K16" s="471">
        <v>0.92</v>
      </c>
      <c r="L16" s="469"/>
      <c r="M16" s="472">
        <v>0.92</v>
      </c>
      <c r="N16" s="34">
        <v>0.92</v>
      </c>
      <c r="O16" s="34">
        <v>0.92</v>
      </c>
      <c r="P16" s="34">
        <v>0.92</v>
      </c>
      <c r="Q16" s="471"/>
      <c r="R16" s="469"/>
      <c r="S16" s="472">
        <v>0.92</v>
      </c>
      <c r="T16" s="34">
        <v>0.92</v>
      </c>
      <c r="U16" s="34"/>
      <c r="V16" s="34"/>
      <c r="W16" s="471">
        <v>0.92</v>
      </c>
      <c r="X16" s="469"/>
      <c r="Y16" s="472">
        <v>0.92</v>
      </c>
      <c r="Z16" s="34">
        <v>0.92</v>
      </c>
      <c r="AA16" s="34">
        <v>0.92</v>
      </c>
      <c r="AB16" s="34">
        <v>0.92</v>
      </c>
      <c r="AC16" s="471"/>
      <c r="AD16" s="469"/>
    </row>
    <row r="17" spans="1:31" s="468" customFormat="1" x14ac:dyDescent="0.3">
      <c r="A17" s="466"/>
      <c r="B17" s="467"/>
      <c r="C17" s="466"/>
      <c r="E17" s="469" t="s">
        <v>17</v>
      </c>
      <c r="F17" s="470" t="s">
        <v>18</v>
      </c>
      <c r="G17" s="34">
        <v>0.04</v>
      </c>
      <c r="H17" s="34">
        <v>0.04</v>
      </c>
      <c r="I17" s="34"/>
      <c r="J17" s="34"/>
      <c r="K17" s="471">
        <v>0.04</v>
      </c>
      <c r="L17" s="469"/>
      <c r="M17" s="472">
        <v>0.04</v>
      </c>
      <c r="N17" s="34">
        <v>0.04</v>
      </c>
      <c r="O17" s="34">
        <v>0.04</v>
      </c>
      <c r="P17" s="34">
        <v>0.04</v>
      </c>
      <c r="Q17" s="471"/>
      <c r="R17" s="469"/>
      <c r="S17" s="472">
        <v>0.04</v>
      </c>
      <c r="T17" s="34">
        <v>0.04</v>
      </c>
      <c r="U17" s="34"/>
      <c r="V17" s="34"/>
      <c r="W17" s="471">
        <v>0.04</v>
      </c>
      <c r="X17" s="469"/>
      <c r="Y17" s="472">
        <v>0.04</v>
      </c>
      <c r="Z17" s="34">
        <v>0.04</v>
      </c>
      <c r="AA17" s="34">
        <v>0.04</v>
      </c>
      <c r="AB17" s="34">
        <v>0.04</v>
      </c>
      <c r="AC17" s="471"/>
      <c r="AD17" s="469"/>
    </row>
    <row r="18" spans="1:31" s="94" customFormat="1" x14ac:dyDescent="0.3">
      <c r="A18" s="107"/>
      <c r="B18" s="147"/>
      <c r="C18" s="135"/>
      <c r="D18" s="98"/>
      <c r="E18" s="96" t="s">
        <v>88</v>
      </c>
      <c r="F18" s="127" t="s">
        <v>18</v>
      </c>
      <c r="G18" s="112">
        <v>0.08</v>
      </c>
      <c r="H18" s="118">
        <v>0.08</v>
      </c>
      <c r="I18" s="118">
        <v>0.08</v>
      </c>
      <c r="J18" s="118">
        <v>0.08</v>
      </c>
      <c r="K18" s="119">
        <v>0.08</v>
      </c>
      <c r="L18" s="102"/>
      <c r="M18" s="112">
        <v>0.08</v>
      </c>
      <c r="N18" s="118">
        <v>0.08</v>
      </c>
      <c r="O18" s="118">
        <v>0.08</v>
      </c>
      <c r="P18" s="118">
        <v>0.08</v>
      </c>
      <c r="Q18" s="119">
        <v>0.08</v>
      </c>
      <c r="R18" s="102"/>
      <c r="S18" s="112">
        <v>0.08</v>
      </c>
      <c r="T18" s="118">
        <v>0.08</v>
      </c>
      <c r="U18" s="118">
        <v>0.08</v>
      </c>
      <c r="V18" s="118">
        <v>0.08</v>
      </c>
      <c r="W18" s="119">
        <v>0.08</v>
      </c>
      <c r="X18" s="102"/>
      <c r="Y18" s="112">
        <v>0.08</v>
      </c>
      <c r="Z18" s="118">
        <v>0.08</v>
      </c>
      <c r="AA18" s="118">
        <v>0.08</v>
      </c>
      <c r="AB18" s="118">
        <v>0.08</v>
      </c>
      <c r="AC18" s="119">
        <v>0.08</v>
      </c>
      <c r="AD18" s="102"/>
      <c r="AE18" s="98"/>
    </row>
    <row r="19" spans="1:31" s="94" customFormat="1" x14ac:dyDescent="0.3">
      <c r="A19" s="107"/>
      <c r="B19" s="147"/>
      <c r="C19" s="135"/>
      <c r="D19" s="98"/>
      <c r="E19" s="96" t="s">
        <v>0</v>
      </c>
      <c r="F19" s="127" t="s">
        <v>102</v>
      </c>
      <c r="G19" s="197">
        <v>8.3299999999999999E-2</v>
      </c>
      <c r="H19" s="198">
        <v>8.3299999999999999E-2</v>
      </c>
      <c r="I19" s="198">
        <v>8.3299999999999999E-2</v>
      </c>
      <c r="J19" s="198">
        <v>8.3299999999999999E-2</v>
      </c>
      <c r="K19" s="199">
        <v>8.3299999999999999E-2</v>
      </c>
      <c r="L19" s="103"/>
      <c r="M19" s="197">
        <v>8.3299999999999999E-2</v>
      </c>
      <c r="N19" s="198">
        <v>8.3299999999999999E-2</v>
      </c>
      <c r="O19" s="198">
        <v>8.3299999999999999E-2</v>
      </c>
      <c r="P19" s="198">
        <v>8.3299999999999999E-2</v>
      </c>
      <c r="Q19" s="199">
        <v>8.3299999999999999E-2</v>
      </c>
      <c r="R19" s="103"/>
      <c r="S19" s="197">
        <v>8.3299999999999999E-2</v>
      </c>
      <c r="T19" s="198">
        <v>8.3299999999999999E-2</v>
      </c>
      <c r="U19" s="198">
        <v>8.3299999999999999E-2</v>
      </c>
      <c r="V19" s="198">
        <v>8.3299999999999999E-2</v>
      </c>
      <c r="W19" s="199">
        <v>8.3299999999999999E-2</v>
      </c>
      <c r="X19" s="103"/>
      <c r="Y19" s="197">
        <v>8.3299999999999999E-2</v>
      </c>
      <c r="Z19" s="198">
        <v>8.3299999999999999E-2</v>
      </c>
      <c r="AA19" s="198">
        <v>8.3299999999999999E-2</v>
      </c>
      <c r="AB19" s="198">
        <v>8.3299999999999999E-2</v>
      </c>
      <c r="AC19" s="199">
        <v>8.3299999999999999E-2</v>
      </c>
      <c r="AD19" s="103"/>
      <c r="AE19" s="98"/>
    </row>
    <row r="20" spans="1:31" s="94" customFormat="1" x14ac:dyDescent="0.3">
      <c r="A20" s="107"/>
      <c r="B20" s="147"/>
      <c r="C20" s="135"/>
      <c r="D20" s="98"/>
      <c r="E20" s="105" t="s">
        <v>19</v>
      </c>
      <c r="F20" s="128" t="s">
        <v>34</v>
      </c>
      <c r="G20" s="129">
        <f xml:space="preserve"> IF($G14= "% jaarsalaris INCL. VU", G15 * 12 * G16 * ( 1 + G17 ) * ( 1 + G18 ) * ( 1 + G19 ),  G15 * 12 * G16 * ( 1 + G17 ) * ( 1 + G18 ) + G15 * 12 * G16 * ( 1 + G17 )* ( G19 ) )</f>
        <v>40563.828015360006</v>
      </c>
      <c r="H20" s="130">
        <f xml:space="preserve"> IF($G14= "% jaarsalaris INCL. VU", H15 * 12 * H16 * ( 1 + H17 ) * ( 1 + H18 ) * ( 1 + H19 ),  H15 * 12 * H16 * ( 1 + H17 ) * ( 1 + H18 ) + H15 * 12 * H16 * ( 1 + H17 )* ( H19 ) )</f>
        <v>44423.869601280006</v>
      </c>
      <c r="I20" s="130">
        <f xml:space="preserve"> IF($G14= "% jaarsalaris INCL. VU", I15 * 12 * I16 * ( 1 + I17 ) * ( 1 + I18 ) * ( 1 + I19 ),  I15 * 12 * I16 * ( 1 + I17 ) * ( 1 + I18 ) + I15 * 12 * I16 * ( 1 + I17 )* ( I19 ) )</f>
        <v>0</v>
      </c>
      <c r="J20" s="130">
        <f xml:space="preserve"> IF($G14= "% jaarsalaris INCL. VU", J15 * 12 * J16 * ( 1 + J17 ) * ( 1 + J18 ) * ( 1 + J19 ),  J15 * 12 * J16 * ( 1 + J17 ) * ( 1 + J18 ) + J15 * 12 * J16 * ( 1 + J17 )* ( J19 ) )</f>
        <v>0</v>
      </c>
      <c r="K20" s="131">
        <f xml:space="preserve"> IF($G14= "% jaarsalaris INCL. VU", K15 * 12 * K16 * ( 1 + K17 ) * ( 1 + K18 ) * ( 1 + K19 ),  K15 * 12 * K16 * ( 1 + K17 ) * ( 1 + K18 ) + K15 * 12 * K16 * ( 1 + K17 )* ( K19 ) )</f>
        <v>61707.239193600013</v>
      </c>
      <c r="L20" s="103"/>
      <c r="M20" s="129">
        <f xml:space="preserve"> IF($M14= "% jaarsalaris INCL. VU", M15 * 12 * M16 * ( 1 + M17 ) * ( 1 + M18 ) * ( 1 + M19 ),  M15 * 12 * M16 * ( 1 + M17 ) * ( 1 + M18 ) + M15 * 12 * M16 * ( 1 + M17 )* ( M19 ) )</f>
        <v>36944.204244480003</v>
      </c>
      <c r="N20" s="130">
        <f t="shared" ref="N20:Q20" si="0" xml:space="preserve"> IF($M14= "% jaarsalaris INCL. VU", N15 * 12 * N16 * ( 1 + N17 ) * ( 1 + N18 ) * ( 1 + N19 ),  N15 * 12 * N16 * ( 1 + N17 ) * ( 1 + N18 ) + N15 * 12 * N16 * ( 1 + N17 )* ( N19 ) )</f>
        <v>38760.69440256001</v>
      </c>
      <c r="O20" s="130">
        <f t="shared" si="0"/>
        <v>42594.022897920011</v>
      </c>
      <c r="P20" s="130">
        <f t="shared" si="0"/>
        <v>62134.648642560009</v>
      </c>
      <c r="Q20" s="131">
        <f t="shared" si="0"/>
        <v>0</v>
      </c>
      <c r="R20" s="103"/>
      <c r="S20" s="129">
        <f xml:space="preserve"> IF($S14= "% jaarsalaris INCL. VU", S15 * 12 * S16 * ( 1 + S17 ) * ( 1 + S18 ) * ( 1 + S19 ),  S15 * 12 * S16 * ( 1 + S17 ) * ( 1 + S18 ) + S15 * 12 * S16 * ( 1 + S17 )* ( S19 ) )</f>
        <v>44046.999354009597</v>
      </c>
      <c r="T20" s="130">
        <f xml:space="preserve"> IF($S14= "% jaarsalaris INCL. VU", T15 * 12 * T16 * ( 1 + T17 ) * ( 1 + T18 ) * ( 1 + T19 ),  T15 * 12 * T16 * ( 1 + T17 ) * ( 1 + T18 ) + T15 * 12 * T16 * ( 1 + T17 )* ( T19 ) )</f>
        <v>46935.106966425599</v>
      </c>
      <c r="U20" s="130">
        <f xml:space="preserve"> IF($S14= "% jaarsalaris INCL. VU", U15 * 12 * U16 * ( 1 + U17 ) * ( 1 + U18 ) * ( 1 + U19 ),  U15 * 12 * U16 * ( 1 + U17 ) * ( 1 + U18 ) + U15 * 12 * U16 * ( 1 + U17 )* ( U19 ) )</f>
        <v>0</v>
      </c>
      <c r="V20" s="130">
        <f xml:space="preserve"> IF($S14= "% jaarsalaris INCL. VU", V15 * 12 * V16 * ( 1 + V17 ) * ( 1 + V18 ) * ( 1 + V19 ),  V15 * 12 * V16 * ( 1 + V17 ) * ( 1 + V18 ) + V15 * 12 * V16 * ( 1 + V17 )* ( V19 ) )</f>
        <v>0</v>
      </c>
      <c r="W20" s="131">
        <f xml:space="preserve"> IF($S14= "% jaarsalaris INCL. VU", W15 * 12 * W16 * ( 1 + W17 ) * ( 1 + W18 ) * ( 1 + W19 ),  W15 * 12 * W16 * ( 1 + W17 ) * ( 1 + W18 ) + W15 * 12 * W16 * ( 1 + W17 )* ( W19 ) )</f>
        <v>63296.57241722881</v>
      </c>
      <c r="X20" s="103"/>
      <c r="Y20" s="129">
        <f xml:space="preserve"> IF($S14= "% jaarsalaris INCL. VU", Y15 * 12 * Y16 * ( 1 + Y17 ) * ( 1 + Y18 ) * ( 1 + Y19 ),  Y15 * 12 * Y16 * ( 1 + Y17 ) * ( 1 + Y18 ) + Y15 * 12 * Y16 * ( 1 + Y17 )* ( Y19 ) )</f>
        <v>44134.582896488442</v>
      </c>
      <c r="Z20" s="130">
        <f t="shared" ref="Z20:AC20" si="1" xml:space="preserve"> IF($S14= "% jaarsalaris INCL. VU", Z15 * 12 * Z16 * ( 1 + Z17 ) * ( 1 + Z18 ) * ( 1 + Z19 ),  Z15 * 12 * Z16 * ( 1 + Z17 ) * ( 1 + Z18 ) + Z15 * 12 * Z16 * ( 1 + Z17 )* ( Z19 ) )</f>
        <v>47942.317704932364</v>
      </c>
      <c r="AA20" s="130">
        <f t="shared" si="1"/>
        <v>52235.254592262143</v>
      </c>
      <c r="AB20" s="130">
        <f t="shared" si="1"/>
        <v>65771.747806362633</v>
      </c>
      <c r="AC20" s="131">
        <f t="shared" si="1"/>
        <v>0</v>
      </c>
      <c r="AD20" s="103"/>
      <c r="AE20" s="98"/>
    </row>
    <row r="21" spans="1:31" s="94" customFormat="1" ht="6" customHeight="1" x14ac:dyDescent="0.3">
      <c r="A21" s="107"/>
      <c r="B21" s="147"/>
      <c r="C21" s="135"/>
      <c r="D21" s="98"/>
      <c r="E21" s="90"/>
      <c r="F21" s="127"/>
      <c r="G21" s="113"/>
      <c r="H21" s="120"/>
      <c r="I21" s="120"/>
      <c r="J21" s="120"/>
      <c r="K21" s="121"/>
      <c r="L21" s="103"/>
      <c r="M21" s="113"/>
      <c r="N21" s="120"/>
      <c r="O21" s="120"/>
      <c r="P21" s="120"/>
      <c r="Q21" s="121"/>
      <c r="R21" s="103"/>
      <c r="S21" s="113"/>
      <c r="T21" s="120"/>
      <c r="U21" s="120"/>
      <c r="V21" s="120"/>
      <c r="W21" s="121"/>
      <c r="X21" s="103"/>
      <c r="Y21" s="113"/>
      <c r="Z21" s="120"/>
      <c r="AA21" s="120"/>
      <c r="AB21" s="120"/>
      <c r="AC21" s="121"/>
      <c r="AD21" s="103"/>
      <c r="AE21" s="98"/>
    </row>
    <row r="22" spans="1:31" s="468" customFormat="1" x14ac:dyDescent="0.3">
      <c r="A22" s="466"/>
      <c r="B22" s="467"/>
      <c r="C22" s="466"/>
      <c r="E22" s="469" t="s">
        <v>24</v>
      </c>
      <c r="F22" s="470" t="s">
        <v>20</v>
      </c>
      <c r="G22" s="34">
        <v>0.25</v>
      </c>
      <c r="H22" s="34">
        <v>0.25</v>
      </c>
      <c r="I22" s="34"/>
      <c r="J22" s="34"/>
      <c r="K22" s="471">
        <v>0.25</v>
      </c>
      <c r="L22" s="469"/>
      <c r="M22" s="472">
        <v>0.25</v>
      </c>
      <c r="N22" s="34">
        <v>0.25</v>
      </c>
      <c r="O22" s="34">
        <v>0.25</v>
      </c>
      <c r="P22" s="34">
        <v>0.25</v>
      </c>
      <c r="Q22" s="471"/>
      <c r="R22" s="469"/>
      <c r="S22" s="472">
        <v>0.25</v>
      </c>
      <c r="T22" s="34">
        <v>0.25</v>
      </c>
      <c r="U22" s="34"/>
      <c r="V22" s="34"/>
      <c r="W22" s="471">
        <v>0.25</v>
      </c>
      <c r="X22" s="469"/>
      <c r="Y22" s="472">
        <v>0.25</v>
      </c>
      <c r="Z22" s="34">
        <v>0.25</v>
      </c>
      <c r="AA22" s="34">
        <v>0.25</v>
      </c>
      <c r="AB22" s="34">
        <v>0.25</v>
      </c>
      <c r="AC22" s="471"/>
      <c r="AD22" s="469"/>
    </row>
    <row r="23" spans="1:31" s="468" customFormat="1" x14ac:dyDescent="0.3">
      <c r="A23" s="466"/>
      <c r="B23" s="467"/>
      <c r="C23" s="466"/>
      <c r="E23" s="469" t="s">
        <v>1</v>
      </c>
      <c r="F23" s="470" t="s">
        <v>20</v>
      </c>
      <c r="G23" s="34">
        <v>0.03</v>
      </c>
      <c r="H23" s="34">
        <v>0.03</v>
      </c>
      <c r="I23" s="34"/>
      <c r="J23" s="34"/>
      <c r="K23" s="471">
        <v>0.03</v>
      </c>
      <c r="L23" s="469"/>
      <c r="M23" s="472">
        <v>0.03</v>
      </c>
      <c r="N23" s="34">
        <v>0.03</v>
      </c>
      <c r="O23" s="34">
        <v>0.03</v>
      </c>
      <c r="P23" s="34">
        <v>0.03</v>
      </c>
      <c r="Q23" s="471"/>
      <c r="R23" s="469"/>
      <c r="S23" s="472">
        <v>0.03</v>
      </c>
      <c r="T23" s="34">
        <v>0.03</v>
      </c>
      <c r="U23" s="34"/>
      <c r="V23" s="34"/>
      <c r="W23" s="471">
        <v>0.03</v>
      </c>
      <c r="X23" s="469"/>
      <c r="Y23" s="472">
        <v>0.03</v>
      </c>
      <c r="Z23" s="34">
        <v>0.03</v>
      </c>
      <c r="AA23" s="34">
        <v>0.03</v>
      </c>
      <c r="AB23" s="34">
        <v>0.03</v>
      </c>
      <c r="AC23" s="471"/>
      <c r="AD23" s="469"/>
    </row>
    <row r="24" spans="1:31" s="94" customFormat="1" x14ac:dyDescent="0.3">
      <c r="A24" s="107"/>
      <c r="B24" s="147"/>
      <c r="C24" s="135"/>
      <c r="D24" s="98"/>
      <c r="E24" s="128" t="s">
        <v>21</v>
      </c>
      <c r="F24" s="128" t="s">
        <v>34</v>
      </c>
      <c r="G24" s="129">
        <f xml:space="preserve"> G20 + ( G20 * G22 ) + ( G20 * G23 )</f>
        <v>51921.699859660803</v>
      </c>
      <c r="H24" s="130">
        <f t="shared" ref="H24:K24" si="2" xml:space="preserve"> H20 + ( H20 * H22 ) + ( H20 * H23 )</f>
        <v>56862.553089638415</v>
      </c>
      <c r="I24" s="130">
        <f t="shared" si="2"/>
        <v>0</v>
      </c>
      <c r="J24" s="130">
        <f t="shared" si="2"/>
        <v>0</v>
      </c>
      <c r="K24" s="131">
        <f t="shared" si="2"/>
        <v>78985.266167808004</v>
      </c>
      <c r="L24" s="104"/>
      <c r="M24" s="129">
        <f xml:space="preserve"> M20 + ( M20 * M22 ) + ( M20 * M23 )</f>
        <v>47288.581432934407</v>
      </c>
      <c r="N24" s="130">
        <f t="shared" ref="N24:Q24" si="3" xml:space="preserve"> N20 + ( N20 * N22 ) + ( N20 * N23 )</f>
        <v>49613.688835276815</v>
      </c>
      <c r="O24" s="130">
        <f t="shared" si="3"/>
        <v>54520.349309337616</v>
      </c>
      <c r="P24" s="130">
        <f t="shared" si="3"/>
        <v>79532.350262476815</v>
      </c>
      <c r="Q24" s="131">
        <f t="shared" si="3"/>
        <v>0</v>
      </c>
      <c r="R24" s="104"/>
      <c r="S24" s="129">
        <f xml:space="preserve"> S20 + ( S20 * S22 ) + ( S20 * S23 )</f>
        <v>56380.159173132284</v>
      </c>
      <c r="T24" s="130">
        <f t="shared" ref="T24:W24" si="4" xml:space="preserve"> T20 + ( T20 * T22 ) + ( T20 * T23 )</f>
        <v>60076.936917024766</v>
      </c>
      <c r="U24" s="130">
        <f t="shared" si="4"/>
        <v>0</v>
      </c>
      <c r="V24" s="130">
        <f t="shared" si="4"/>
        <v>0</v>
      </c>
      <c r="W24" s="131">
        <f t="shared" si="4"/>
        <v>81019.612694052877</v>
      </c>
      <c r="X24" s="104"/>
      <c r="Y24" s="129">
        <f xml:space="preserve"> Y20 + ( Y20 * Y22 ) + ( Y20 * Y23 )</f>
        <v>56492.266107505202</v>
      </c>
      <c r="Z24" s="130">
        <f t="shared" ref="Z24:AC24" si="5" xml:space="preserve"> Z20 + ( Z20 * Z22 ) + ( Z20 * Z23 )</f>
        <v>61366.166662313422</v>
      </c>
      <c r="AA24" s="130">
        <f t="shared" si="5"/>
        <v>66861.12587809554</v>
      </c>
      <c r="AB24" s="130">
        <f t="shared" si="5"/>
        <v>84187.837192144172</v>
      </c>
      <c r="AC24" s="131">
        <f t="shared" si="5"/>
        <v>0</v>
      </c>
      <c r="AD24" s="104"/>
    </row>
    <row r="25" spans="1:31" s="94" customFormat="1" ht="6" customHeight="1" x14ac:dyDescent="0.3">
      <c r="A25" s="107"/>
      <c r="B25" s="147"/>
      <c r="C25" s="135"/>
      <c r="D25" s="98"/>
      <c r="E25" s="97"/>
      <c r="F25" s="127"/>
      <c r="G25" s="113"/>
      <c r="H25" s="120"/>
      <c r="I25" s="120"/>
      <c r="J25" s="120"/>
      <c r="K25" s="121"/>
      <c r="L25" s="103"/>
      <c r="M25" s="113"/>
      <c r="N25" s="120"/>
      <c r="O25" s="120"/>
      <c r="P25" s="120"/>
      <c r="Q25" s="121"/>
      <c r="R25" s="103"/>
      <c r="S25" s="113"/>
      <c r="T25" s="120"/>
      <c r="U25" s="120"/>
      <c r="V25" s="120"/>
      <c r="W25" s="121"/>
      <c r="X25" s="103"/>
      <c r="Y25" s="113"/>
      <c r="Z25" s="120"/>
      <c r="AA25" s="120"/>
      <c r="AB25" s="120"/>
      <c r="AC25" s="121"/>
      <c r="AD25" s="103"/>
      <c r="AE25" s="98"/>
    </row>
    <row r="26" spans="1:31" s="468" customFormat="1" x14ac:dyDescent="0.3">
      <c r="A26" s="466"/>
      <c r="B26" s="467"/>
      <c r="C26" s="466"/>
      <c r="E26" s="473" t="s">
        <v>80</v>
      </c>
      <c r="F26" s="473" t="s">
        <v>22</v>
      </c>
      <c r="G26" s="34">
        <v>0.01</v>
      </c>
      <c r="H26" s="34">
        <v>0.01</v>
      </c>
      <c r="I26" s="34"/>
      <c r="J26" s="34"/>
      <c r="K26" s="471">
        <v>0.01</v>
      </c>
      <c r="L26" s="469"/>
      <c r="M26" s="472">
        <v>0.01</v>
      </c>
      <c r="N26" s="34">
        <v>0.01</v>
      </c>
      <c r="O26" s="34">
        <v>0.01</v>
      </c>
      <c r="P26" s="34">
        <v>0.01</v>
      </c>
      <c r="Q26" s="471"/>
      <c r="R26" s="469"/>
      <c r="S26" s="472">
        <v>0.01</v>
      </c>
      <c r="T26" s="34">
        <v>0.01</v>
      </c>
      <c r="U26" s="34"/>
      <c r="V26" s="34"/>
      <c r="W26" s="471">
        <v>0.01</v>
      </c>
      <c r="X26" s="469"/>
      <c r="Y26" s="472">
        <v>0.01</v>
      </c>
      <c r="Z26" s="34">
        <v>0.01</v>
      </c>
      <c r="AA26" s="34">
        <v>0.01</v>
      </c>
      <c r="AB26" s="34">
        <v>0.01</v>
      </c>
      <c r="AC26" s="471"/>
      <c r="AD26" s="469"/>
    </row>
    <row r="27" spans="1:31" s="94" customFormat="1" x14ac:dyDescent="0.3">
      <c r="A27" s="107"/>
      <c r="B27" s="147"/>
      <c r="C27" s="135"/>
      <c r="D27" s="98"/>
      <c r="E27" s="128" t="s">
        <v>26</v>
      </c>
      <c r="F27" s="128" t="s">
        <v>34</v>
      </c>
      <c r="G27" s="129">
        <f xml:space="preserve"> G24 * ( 1 + G26 )</f>
        <v>52440.916858257413</v>
      </c>
      <c r="H27" s="130">
        <f t="shared" ref="H27:K27" si="6" xml:space="preserve"> H24 * ( 1 + H26 )</f>
        <v>57431.178620534803</v>
      </c>
      <c r="I27" s="130">
        <f t="shared" si="6"/>
        <v>0</v>
      </c>
      <c r="J27" s="130">
        <f t="shared" si="6"/>
        <v>0</v>
      </c>
      <c r="K27" s="131">
        <f t="shared" si="6"/>
        <v>79775.118829486091</v>
      </c>
      <c r="L27" s="104"/>
      <c r="M27" s="129">
        <f xml:space="preserve"> M24 * ( 1 + M26 )</f>
        <v>47761.467247263754</v>
      </c>
      <c r="N27" s="130">
        <f t="shared" ref="N27:Q27" si="7" xml:space="preserve"> N24 * ( 1 + N26 )</f>
        <v>50109.825723629583</v>
      </c>
      <c r="O27" s="130">
        <f t="shared" si="7"/>
        <v>55065.55280243099</v>
      </c>
      <c r="P27" s="130">
        <f t="shared" si="7"/>
        <v>80327.673765101586</v>
      </c>
      <c r="Q27" s="131">
        <f t="shared" si="7"/>
        <v>0</v>
      </c>
      <c r="R27" s="104"/>
      <c r="S27" s="129">
        <f xml:space="preserve"> S24 * ( 1 + S26 )</f>
        <v>56943.960764863608</v>
      </c>
      <c r="T27" s="130">
        <f t="shared" ref="T27:W27" si="8" xml:space="preserve"> T24 * ( 1 + T26 )</f>
        <v>60677.706286195018</v>
      </c>
      <c r="U27" s="130">
        <f t="shared" si="8"/>
        <v>0</v>
      </c>
      <c r="V27" s="130">
        <f t="shared" si="8"/>
        <v>0</v>
      </c>
      <c r="W27" s="131">
        <f t="shared" si="8"/>
        <v>81829.808820993407</v>
      </c>
      <c r="X27" s="104"/>
      <c r="Y27" s="129">
        <f xml:space="preserve"> Y24 * ( 1 + Y26 )</f>
        <v>57057.188768580258</v>
      </c>
      <c r="Z27" s="130">
        <f t="shared" ref="Z27:AC27" si="9" xml:space="preserve"> Z24 * ( 1 + Z26 )</f>
        <v>61979.828328936557</v>
      </c>
      <c r="AA27" s="130">
        <f t="shared" si="9"/>
        <v>67529.737136876502</v>
      </c>
      <c r="AB27" s="130">
        <f t="shared" si="9"/>
        <v>85029.715564065613</v>
      </c>
      <c r="AC27" s="131">
        <f t="shared" si="9"/>
        <v>0</v>
      </c>
      <c r="AD27" s="104"/>
    </row>
    <row r="28" spans="1:31" s="94" customFormat="1" ht="6" customHeight="1" x14ac:dyDescent="0.3">
      <c r="A28" s="107"/>
      <c r="B28" s="147"/>
      <c r="C28" s="135"/>
      <c r="D28" s="98"/>
      <c r="E28" s="97"/>
      <c r="F28" s="127"/>
      <c r="G28" s="113"/>
      <c r="H28" s="120"/>
      <c r="I28" s="120"/>
      <c r="J28" s="120"/>
      <c r="K28" s="121"/>
      <c r="L28" s="103"/>
      <c r="M28" s="113"/>
      <c r="N28" s="120"/>
      <c r="O28" s="120"/>
      <c r="P28" s="120"/>
      <c r="Q28" s="121"/>
      <c r="R28" s="103"/>
      <c r="S28" s="113"/>
      <c r="T28" s="120"/>
      <c r="U28" s="120"/>
      <c r="V28" s="120"/>
      <c r="W28" s="121"/>
      <c r="X28" s="103"/>
      <c r="Y28" s="113"/>
      <c r="Z28" s="120"/>
      <c r="AA28" s="120"/>
      <c r="AB28" s="120"/>
      <c r="AC28" s="121"/>
      <c r="AD28" s="103"/>
      <c r="AE28" s="98"/>
    </row>
    <row r="29" spans="1:31" s="191" customFormat="1" x14ac:dyDescent="0.3">
      <c r="A29" s="189"/>
      <c r="B29" s="190"/>
      <c r="C29" s="189"/>
      <c r="E29" s="195" t="s">
        <v>27</v>
      </c>
      <c r="F29" s="196" t="s">
        <v>25</v>
      </c>
      <c r="G29" s="192">
        <f xml:space="preserve"> (29% / ( 1 - 29% ))</f>
        <v>0.40845070422535212</v>
      </c>
      <c r="H29" s="193">
        <f xml:space="preserve"> (29% / ( 1 - 29% ))</f>
        <v>0.40845070422535212</v>
      </c>
      <c r="I29" s="193"/>
      <c r="J29" s="193"/>
      <c r="K29" s="194">
        <f xml:space="preserve"> (29% / ( 1 - 29% ))</f>
        <v>0.40845070422535212</v>
      </c>
      <c r="L29" s="195"/>
      <c r="M29" s="192">
        <f xml:space="preserve"> (20.2% / ( 1 - 20.2% ))</f>
        <v>0.25313283208020049</v>
      </c>
      <c r="N29" s="193">
        <f xml:space="preserve"> (20.2% / ( 1 - 20.2% ))</f>
        <v>0.25313283208020049</v>
      </c>
      <c r="O29" s="193">
        <f xml:space="preserve"> (20.2% / ( 1 - 20.2% ))</f>
        <v>0.25313283208020049</v>
      </c>
      <c r="P29" s="193">
        <f xml:space="preserve"> (20.2% / ( 1 - 20.2% ))</f>
        <v>0.25313283208020049</v>
      </c>
      <c r="Q29" s="194"/>
      <c r="R29" s="195"/>
      <c r="S29" s="192">
        <f xml:space="preserve"> (20.2% / ( 1 - 20.2% ))</f>
        <v>0.25313283208020049</v>
      </c>
      <c r="T29" s="193">
        <f xml:space="preserve"> (20.2% / ( 1 - 20.2% ))</f>
        <v>0.25313283208020049</v>
      </c>
      <c r="U29" s="193"/>
      <c r="V29" s="193"/>
      <c r="W29" s="194">
        <f xml:space="preserve"> (20.2% / ( 1 - 20.2% ))</f>
        <v>0.25313283208020049</v>
      </c>
      <c r="X29" s="195"/>
      <c r="Y29" s="192">
        <f xml:space="preserve"> (24.7% / ( 1 - 24.7%))</f>
        <v>0.32802124833997343</v>
      </c>
      <c r="Z29" s="193">
        <f xml:space="preserve"> (24.7% / ( 1 - 24.7%))</f>
        <v>0.32802124833997343</v>
      </c>
      <c r="AA29" s="193">
        <f xml:space="preserve"> (24.7% / ( 1 - 24.7%))</f>
        <v>0.32802124833997343</v>
      </c>
      <c r="AB29" s="193">
        <f xml:space="preserve"> (24.7% / ( 1 - 24.7%))</f>
        <v>0.32802124833997343</v>
      </c>
      <c r="AC29" s="194"/>
      <c r="AD29" s="195"/>
    </row>
    <row r="30" spans="1:31" s="94" customFormat="1" x14ac:dyDescent="0.3">
      <c r="A30" s="107"/>
      <c r="B30" s="147"/>
      <c r="C30" s="135"/>
      <c r="D30" s="98"/>
      <c r="E30" s="128" t="s">
        <v>32</v>
      </c>
      <c r="F30" s="128" t="s">
        <v>34</v>
      </c>
      <c r="G30" s="129">
        <f xml:space="preserve"> G27 * ( 1 + G29 )</f>
        <v>73860.446279235781</v>
      </c>
      <c r="H30" s="130">
        <f t="shared" ref="H30:K30" si="10" xml:space="preserve"> H27 * ( 1 + H29 )</f>
        <v>80888.983972584218</v>
      </c>
      <c r="I30" s="130">
        <f t="shared" si="10"/>
        <v>0</v>
      </c>
      <c r="J30" s="130">
        <f t="shared" si="10"/>
        <v>0</v>
      </c>
      <c r="K30" s="131">
        <f t="shared" si="10"/>
        <v>112359.32229505082</v>
      </c>
      <c r="L30" s="104"/>
      <c r="M30" s="129">
        <f xml:space="preserve"> M27 * ( 1 + M29 )</f>
        <v>59851.462715869362</v>
      </c>
      <c r="N30" s="130">
        <f t="shared" ref="N30:Q30" si="11" xml:space="preserve"> N27 * ( 1 + N29 )</f>
        <v>62794.267824097216</v>
      </c>
      <c r="O30" s="130">
        <f t="shared" si="11"/>
        <v>69004.452133372164</v>
      </c>
      <c r="P30" s="130">
        <f t="shared" si="11"/>
        <v>100661.24531967616</v>
      </c>
      <c r="Q30" s="131">
        <f t="shared" si="11"/>
        <v>0</v>
      </c>
      <c r="R30" s="104"/>
      <c r="S30" s="129">
        <f xml:space="preserve"> S27 * ( 1 + S29 )</f>
        <v>71358.346823137355</v>
      </c>
      <c r="T30" s="130">
        <f t="shared" ref="T30:W30" si="12" xml:space="preserve"> T27 * ( 1 + T29 )</f>
        <v>76037.225922550148</v>
      </c>
      <c r="U30" s="130">
        <f t="shared" si="12"/>
        <v>0</v>
      </c>
      <c r="V30" s="130">
        <f t="shared" si="12"/>
        <v>0</v>
      </c>
      <c r="W30" s="131">
        <f t="shared" si="12"/>
        <v>102543.62007643284</v>
      </c>
      <c r="X30" s="104"/>
      <c r="Y30" s="129">
        <f xml:space="preserve"> Y27 * ( 1 + Y29 )</f>
        <v>75773.159055219468</v>
      </c>
      <c r="Z30" s="130">
        <f t="shared" ref="Z30:AC30" si="13" xml:space="preserve"> Z27 * ( 1 + Z29 )</f>
        <v>82310.528989291575</v>
      </c>
      <c r="AA30" s="130">
        <f t="shared" si="13"/>
        <v>89680.925812584988</v>
      </c>
      <c r="AB30" s="130">
        <f t="shared" si="13"/>
        <v>112921.26900938328</v>
      </c>
      <c r="AC30" s="131">
        <f t="shared" si="13"/>
        <v>0</v>
      </c>
      <c r="AD30" s="104"/>
    </row>
    <row r="31" spans="1:31" s="94" customFormat="1" ht="6" customHeight="1" x14ac:dyDescent="0.3">
      <c r="A31" s="107"/>
      <c r="B31" s="147"/>
      <c r="C31" s="135"/>
      <c r="D31" s="98"/>
      <c r="E31" s="97"/>
      <c r="F31" s="127"/>
      <c r="G31" s="113"/>
      <c r="H31" s="120"/>
      <c r="I31" s="120"/>
      <c r="J31" s="120"/>
      <c r="K31" s="121"/>
      <c r="L31" s="103"/>
      <c r="M31" s="113"/>
      <c r="N31" s="120"/>
      <c r="O31" s="120"/>
      <c r="P31" s="120"/>
      <c r="Q31" s="121"/>
      <c r="R31" s="103"/>
      <c r="S31" s="113"/>
      <c r="T31" s="120"/>
      <c r="U31" s="120"/>
      <c r="V31" s="120"/>
      <c r="W31" s="121"/>
      <c r="X31" s="103"/>
      <c r="Y31" s="113"/>
      <c r="Z31" s="120"/>
      <c r="AA31" s="120"/>
      <c r="AB31" s="120"/>
      <c r="AC31" s="121"/>
      <c r="AD31" s="103"/>
      <c r="AE31" s="98"/>
    </row>
    <row r="32" spans="1:31" s="468" customFormat="1" x14ac:dyDescent="0.3">
      <c r="A32" s="466"/>
      <c r="B32" s="467"/>
      <c r="C32" s="466"/>
      <c r="E32" s="469" t="s">
        <v>2</v>
      </c>
      <c r="F32" s="470" t="s">
        <v>33</v>
      </c>
      <c r="G32" s="34">
        <v>0.01</v>
      </c>
      <c r="H32" s="34">
        <v>0.01</v>
      </c>
      <c r="I32" s="34"/>
      <c r="J32" s="34"/>
      <c r="K32" s="471">
        <v>0.01</v>
      </c>
      <c r="L32" s="469"/>
      <c r="M32" s="472">
        <v>0.01</v>
      </c>
      <c r="N32" s="34">
        <v>0.01</v>
      </c>
      <c r="O32" s="34">
        <v>0.01</v>
      </c>
      <c r="P32" s="34">
        <v>0.01</v>
      </c>
      <c r="Q32" s="471"/>
      <c r="R32" s="469"/>
      <c r="S32" s="472">
        <v>0.01</v>
      </c>
      <c r="T32" s="34">
        <v>0.01</v>
      </c>
      <c r="U32" s="34"/>
      <c r="V32" s="34"/>
      <c r="W32" s="471">
        <v>0.01</v>
      </c>
      <c r="X32" s="469"/>
      <c r="Y32" s="472">
        <v>0.01</v>
      </c>
      <c r="Z32" s="34">
        <v>0.01</v>
      </c>
      <c r="AA32" s="34">
        <v>0.01</v>
      </c>
      <c r="AB32" s="34">
        <v>0.01</v>
      </c>
      <c r="AC32" s="471"/>
      <c r="AD32" s="469"/>
    </row>
    <row r="33" spans="1:31" s="107" customFormat="1" x14ac:dyDescent="0.3">
      <c r="B33" s="147"/>
      <c r="C33" s="135"/>
      <c r="D33" s="135"/>
      <c r="E33" s="137" t="s">
        <v>28</v>
      </c>
      <c r="F33" s="137" t="s">
        <v>34</v>
      </c>
      <c r="G33" s="138">
        <f xml:space="preserve"> G30 * ( 1 + G32 )</f>
        <v>74599.050742028136</v>
      </c>
      <c r="H33" s="139">
        <f t="shared" ref="H33:K33" si="14" xml:space="preserve"> H30 * ( 1 + H32 )</f>
        <v>81697.873812310063</v>
      </c>
      <c r="I33" s="139">
        <f t="shared" si="14"/>
        <v>0</v>
      </c>
      <c r="J33" s="139">
        <f t="shared" si="14"/>
        <v>0</v>
      </c>
      <c r="K33" s="140">
        <f t="shared" si="14"/>
        <v>113482.91551800133</v>
      </c>
      <c r="L33" s="141"/>
      <c r="M33" s="138">
        <f xml:space="preserve"> M30 * ( 1 + M32 )</f>
        <v>60449.977343028055</v>
      </c>
      <c r="N33" s="139">
        <f t="shared" ref="N33:Q33" si="15" xml:space="preserve"> N30 * ( 1 + N32 )</f>
        <v>63422.210502338188</v>
      </c>
      <c r="O33" s="139">
        <f t="shared" si="15"/>
        <v>69694.496654705887</v>
      </c>
      <c r="P33" s="139">
        <f t="shared" si="15"/>
        <v>101667.85777287293</v>
      </c>
      <c r="Q33" s="140">
        <f t="shared" si="15"/>
        <v>0</v>
      </c>
      <c r="R33" s="141"/>
      <c r="S33" s="138">
        <f xml:space="preserve"> S30 * ( 1 + S32 )</f>
        <v>72071.930291368728</v>
      </c>
      <c r="T33" s="139">
        <f t="shared" ref="T33:W33" si="16" xml:space="preserve"> T30 * ( 1 + T32 )</f>
        <v>76797.598181775655</v>
      </c>
      <c r="U33" s="139">
        <f t="shared" si="16"/>
        <v>0</v>
      </c>
      <c r="V33" s="139">
        <f t="shared" si="16"/>
        <v>0</v>
      </c>
      <c r="W33" s="140">
        <f t="shared" si="16"/>
        <v>103569.05627719717</v>
      </c>
      <c r="X33" s="141"/>
      <c r="Y33" s="138">
        <f xml:space="preserve"> Y30 * ( 1 + Y32 )</f>
        <v>76530.890645771666</v>
      </c>
      <c r="Z33" s="139">
        <f t="shared" ref="Z33:AC33" si="17" xml:space="preserve"> Z30 * ( 1 + Z32 )</f>
        <v>83133.634279184495</v>
      </c>
      <c r="AA33" s="139">
        <f t="shared" si="17"/>
        <v>90577.735070710842</v>
      </c>
      <c r="AB33" s="139">
        <f t="shared" si="17"/>
        <v>114050.48169947711</v>
      </c>
      <c r="AC33" s="140">
        <f t="shared" si="17"/>
        <v>0</v>
      </c>
      <c r="AD33" s="141"/>
    </row>
    <row r="34" spans="1:31" s="99" customFormat="1" x14ac:dyDescent="0.3">
      <c r="A34" s="108"/>
      <c r="B34" s="148"/>
      <c r="C34" s="149"/>
      <c r="D34" s="101"/>
      <c r="E34" s="96"/>
      <c r="F34" s="145"/>
      <c r="G34" s="115"/>
      <c r="H34" s="146"/>
      <c r="I34" s="146"/>
      <c r="J34" s="146"/>
      <c r="K34" s="125"/>
      <c r="M34" s="115"/>
      <c r="N34" s="146"/>
      <c r="O34" s="146"/>
      <c r="P34" s="146"/>
      <c r="Q34" s="125"/>
      <c r="S34" s="115"/>
      <c r="T34" s="146"/>
      <c r="U34" s="146"/>
      <c r="V34" s="146"/>
      <c r="W34" s="125"/>
      <c r="Y34" s="115"/>
      <c r="Z34" s="146"/>
      <c r="AA34" s="146"/>
      <c r="AB34" s="146"/>
      <c r="AC34" s="125"/>
      <c r="AE34" s="101"/>
    </row>
    <row r="35" spans="1:31" s="99" customFormat="1" x14ac:dyDescent="0.3">
      <c r="A35" s="108"/>
      <c r="B35" s="148"/>
      <c r="C35" s="149"/>
      <c r="D35" s="110" t="s">
        <v>51</v>
      </c>
      <c r="E35" s="96"/>
      <c r="F35" s="145"/>
      <c r="G35" s="115"/>
      <c r="H35" s="146"/>
      <c r="I35" s="303"/>
      <c r="J35" s="302"/>
      <c r="K35" s="125"/>
      <c r="M35" s="115"/>
      <c r="N35" s="146"/>
      <c r="O35" s="146"/>
      <c r="P35" s="146"/>
      <c r="Q35" s="125"/>
      <c r="S35" s="115"/>
      <c r="T35" s="146"/>
      <c r="U35" s="146"/>
      <c r="V35" s="146"/>
      <c r="W35" s="125"/>
      <c r="Y35" s="115"/>
      <c r="Z35" s="146"/>
      <c r="AA35" s="146"/>
      <c r="AB35" s="146"/>
      <c r="AC35" s="125"/>
      <c r="AE35" s="101"/>
    </row>
    <row r="36" spans="1:31" s="94" customFormat="1" x14ac:dyDescent="0.3">
      <c r="A36" s="107"/>
      <c r="B36" s="147"/>
      <c r="C36" s="135"/>
      <c r="D36" s="98"/>
      <c r="E36" s="96" t="s">
        <v>3</v>
      </c>
      <c r="F36" s="91" t="s">
        <v>45</v>
      </c>
      <c r="G36" s="124">
        <v>1878</v>
      </c>
      <c r="H36" s="132">
        <v>1878</v>
      </c>
      <c r="I36" s="132">
        <v>1878</v>
      </c>
      <c r="J36" s="132">
        <v>1878</v>
      </c>
      <c r="K36" s="133">
        <v>1878</v>
      </c>
      <c r="L36" s="100"/>
      <c r="M36" s="124">
        <v>1878</v>
      </c>
      <c r="N36" s="132">
        <v>1878</v>
      </c>
      <c r="O36" s="132">
        <v>1878</v>
      </c>
      <c r="P36" s="132">
        <v>1878</v>
      </c>
      <c r="Q36" s="133">
        <v>1878</v>
      </c>
      <c r="R36" s="100"/>
      <c r="S36" s="124">
        <v>1878</v>
      </c>
      <c r="T36" s="132">
        <v>1878</v>
      </c>
      <c r="U36" s="132">
        <v>1878</v>
      </c>
      <c r="V36" s="132">
        <v>1878</v>
      </c>
      <c r="W36" s="133">
        <v>1878</v>
      </c>
      <c r="X36" s="100"/>
      <c r="Y36" s="124">
        <v>1878</v>
      </c>
      <c r="Z36" s="132">
        <v>1878</v>
      </c>
      <c r="AA36" s="132">
        <v>1878</v>
      </c>
      <c r="AB36" s="132">
        <v>1878</v>
      </c>
      <c r="AC36" s="133">
        <v>1878</v>
      </c>
      <c r="AD36" s="100"/>
      <c r="AE36" s="98"/>
    </row>
    <row r="37" spans="1:31" s="94" customFormat="1" x14ac:dyDescent="0.3">
      <c r="A37" s="107"/>
      <c r="B37" s="147"/>
      <c r="C37" s="135"/>
      <c r="D37" s="98"/>
      <c r="E37" s="96" t="s">
        <v>4</v>
      </c>
      <c r="F37" s="91" t="s">
        <v>45</v>
      </c>
      <c r="G37" s="122">
        <f xml:space="preserve"> 166 + 50 + 35</f>
        <v>251</v>
      </c>
      <c r="H37" s="122">
        <f xml:space="preserve"> 166 + 50 + 35</f>
        <v>251</v>
      </c>
      <c r="I37" s="122"/>
      <c r="J37" s="122"/>
      <c r="K37" s="123">
        <f xml:space="preserve"> 166 + 50 + 35</f>
        <v>251</v>
      </c>
      <c r="L37" s="100"/>
      <c r="M37" s="114">
        <f xml:space="preserve"> 201 + 50</f>
        <v>251</v>
      </c>
      <c r="N37" s="122">
        <f xml:space="preserve"> 201 + 50</f>
        <v>251</v>
      </c>
      <c r="O37" s="122">
        <f xml:space="preserve"> 201 + 50</f>
        <v>251</v>
      </c>
      <c r="P37" s="122">
        <f xml:space="preserve"> 201 + 50</f>
        <v>251</v>
      </c>
      <c r="Q37" s="123"/>
      <c r="R37" s="100"/>
      <c r="S37" s="114">
        <f xml:space="preserve"> 170 + 50</f>
        <v>220</v>
      </c>
      <c r="T37" s="122">
        <f xml:space="preserve"> 170 + 50</f>
        <v>220</v>
      </c>
      <c r="U37" s="122"/>
      <c r="V37" s="122"/>
      <c r="W37" s="123">
        <f xml:space="preserve"> 170 + 50</f>
        <v>220</v>
      </c>
      <c r="X37" s="100"/>
      <c r="Y37" s="114">
        <v>250</v>
      </c>
      <c r="Z37" s="122">
        <f xml:space="preserve"> 200 + 50</f>
        <v>250</v>
      </c>
      <c r="AA37" s="122">
        <f xml:space="preserve"> 200 + 50</f>
        <v>250</v>
      </c>
      <c r="AB37" s="122">
        <f xml:space="preserve"> 200 + 50</f>
        <v>250</v>
      </c>
      <c r="AC37" s="123"/>
      <c r="AD37" s="100"/>
      <c r="AE37" s="98"/>
    </row>
    <row r="38" spans="1:31" s="94" customFormat="1" x14ac:dyDescent="0.3">
      <c r="A38" s="107"/>
      <c r="B38" s="147"/>
      <c r="C38" s="135"/>
      <c r="D38" s="98"/>
      <c r="E38" s="96" t="s">
        <v>5</v>
      </c>
      <c r="F38" s="91" t="s">
        <v>45</v>
      </c>
      <c r="G38" s="122">
        <f t="shared" ref="G38" si="18">0.068*G36</f>
        <v>127.70400000000001</v>
      </c>
      <c r="H38" s="122">
        <f t="shared" ref="H38:K38" si="19">0.068*H36</f>
        <v>127.70400000000001</v>
      </c>
      <c r="I38" s="122"/>
      <c r="J38" s="122"/>
      <c r="K38" s="123">
        <f t="shared" si="19"/>
        <v>127.70400000000001</v>
      </c>
      <c r="L38" s="100"/>
      <c r="M38" s="114">
        <f>0.068*M36</f>
        <v>127.70400000000001</v>
      </c>
      <c r="N38" s="122">
        <f xml:space="preserve"> 0.068*N36</f>
        <v>127.70400000000001</v>
      </c>
      <c r="O38" s="122">
        <f t="shared" ref="O38:P38" si="20" xml:space="preserve"> 0.068*O36</f>
        <v>127.70400000000001</v>
      </c>
      <c r="P38" s="122">
        <f t="shared" si="20"/>
        <v>127.70400000000001</v>
      </c>
      <c r="Q38" s="123"/>
      <c r="R38" s="100"/>
      <c r="S38" s="114">
        <f xml:space="preserve"> 0.068*S36</f>
        <v>127.70400000000001</v>
      </c>
      <c r="T38" s="122">
        <f xml:space="preserve"> 0.068*T36</f>
        <v>127.70400000000001</v>
      </c>
      <c r="U38" s="122"/>
      <c r="V38" s="122"/>
      <c r="W38" s="123">
        <f t="shared" ref="W38" si="21" xml:space="preserve"> 0.068*W36</f>
        <v>127.70400000000001</v>
      </c>
      <c r="X38" s="100"/>
      <c r="Y38" s="114">
        <v>128</v>
      </c>
      <c r="Z38" s="122">
        <f xml:space="preserve"> 0.068*Z36</f>
        <v>127.70400000000001</v>
      </c>
      <c r="AA38" s="122">
        <f t="shared" ref="AA38:AB38" si="22" xml:space="preserve"> 0.068*AA36</f>
        <v>127.70400000000001</v>
      </c>
      <c r="AB38" s="122">
        <f t="shared" si="22"/>
        <v>127.70400000000001</v>
      </c>
      <c r="AC38" s="123"/>
      <c r="AD38" s="100"/>
      <c r="AE38" s="98"/>
    </row>
    <row r="39" spans="1:31" s="94" customFormat="1" x14ac:dyDescent="0.3">
      <c r="A39" s="107"/>
      <c r="B39" s="147"/>
      <c r="C39" s="135"/>
      <c r="D39" s="98"/>
      <c r="E39" s="96" t="s">
        <v>35</v>
      </c>
      <c r="F39" s="91" t="s">
        <v>45</v>
      </c>
      <c r="G39" s="122">
        <v>78</v>
      </c>
      <c r="H39" s="122">
        <v>78</v>
      </c>
      <c r="I39" s="122"/>
      <c r="J39" s="122"/>
      <c r="K39" s="123">
        <v>78</v>
      </c>
      <c r="L39" s="100"/>
      <c r="M39" s="114">
        <v>78</v>
      </c>
      <c r="N39" s="122">
        <v>78</v>
      </c>
      <c r="O39" s="122">
        <v>78</v>
      </c>
      <c r="P39" s="122">
        <v>78</v>
      </c>
      <c r="Q39" s="123"/>
      <c r="R39" s="100"/>
      <c r="S39" s="114">
        <v>78</v>
      </c>
      <c r="T39" s="122">
        <v>78</v>
      </c>
      <c r="U39" s="122"/>
      <c r="V39" s="122"/>
      <c r="W39" s="123">
        <v>78</v>
      </c>
      <c r="X39" s="100"/>
      <c r="Y39" s="114">
        <v>78</v>
      </c>
      <c r="Z39" s="122">
        <v>78</v>
      </c>
      <c r="AA39" s="122">
        <v>78</v>
      </c>
      <c r="AB39" s="122">
        <v>78</v>
      </c>
      <c r="AC39" s="123"/>
      <c r="AD39" s="100"/>
      <c r="AE39" s="98"/>
    </row>
    <row r="40" spans="1:31" s="94" customFormat="1" x14ac:dyDescent="0.3">
      <c r="A40" s="107"/>
      <c r="B40" s="147"/>
      <c r="C40" s="135"/>
      <c r="D40" s="98"/>
      <c r="E40" s="96" t="s">
        <v>36</v>
      </c>
      <c r="F40" s="91" t="s">
        <v>45</v>
      </c>
      <c r="G40" s="319">
        <v>63</v>
      </c>
      <c r="H40" s="319">
        <v>63</v>
      </c>
      <c r="I40" s="122"/>
      <c r="J40" s="122"/>
      <c r="K40" s="123">
        <v>63</v>
      </c>
      <c r="L40" s="100"/>
      <c r="M40" s="114">
        <v>63</v>
      </c>
      <c r="N40" s="122">
        <v>63</v>
      </c>
      <c r="O40" s="122">
        <v>63</v>
      </c>
      <c r="P40" s="122">
        <v>63</v>
      </c>
      <c r="Q40" s="123"/>
      <c r="R40" s="100"/>
      <c r="S40" s="114">
        <v>63</v>
      </c>
      <c r="T40" s="122">
        <v>63</v>
      </c>
      <c r="U40" s="122"/>
      <c r="V40" s="122"/>
      <c r="W40" s="123">
        <v>63</v>
      </c>
      <c r="X40" s="100"/>
      <c r="Y40" s="114">
        <v>63</v>
      </c>
      <c r="Z40" s="122">
        <v>63</v>
      </c>
      <c r="AA40" s="122">
        <v>63</v>
      </c>
      <c r="AB40" s="122">
        <v>63</v>
      </c>
      <c r="AC40" s="123"/>
      <c r="AD40" s="100"/>
      <c r="AE40" s="98"/>
    </row>
    <row r="41" spans="1:31" s="94" customFormat="1" x14ac:dyDescent="0.3">
      <c r="A41" s="107"/>
      <c r="B41" s="147"/>
      <c r="C41" s="135"/>
      <c r="D41" s="98"/>
      <c r="E41" s="96" t="s">
        <v>65</v>
      </c>
      <c r="F41" s="91" t="s">
        <v>45</v>
      </c>
      <c r="G41" s="122">
        <v>45</v>
      </c>
      <c r="H41" s="122">
        <v>45</v>
      </c>
      <c r="I41" s="122"/>
      <c r="J41" s="122"/>
      <c r="K41" s="123">
        <v>45</v>
      </c>
      <c r="L41" s="100"/>
      <c r="M41" s="114">
        <v>45</v>
      </c>
      <c r="N41" s="122">
        <v>45</v>
      </c>
      <c r="O41" s="122">
        <v>45</v>
      </c>
      <c r="P41" s="122">
        <v>45</v>
      </c>
      <c r="Q41" s="123"/>
      <c r="R41" s="100"/>
      <c r="S41" s="114">
        <v>45</v>
      </c>
      <c r="T41" s="122">
        <v>45</v>
      </c>
      <c r="U41" s="122"/>
      <c r="V41" s="122"/>
      <c r="W41" s="123">
        <v>45</v>
      </c>
      <c r="X41" s="100"/>
      <c r="Y41" s="114">
        <v>45</v>
      </c>
      <c r="Z41" s="122">
        <v>45</v>
      </c>
      <c r="AA41" s="122">
        <v>45</v>
      </c>
      <c r="AB41" s="122">
        <v>45</v>
      </c>
      <c r="AC41" s="123"/>
      <c r="AD41" s="100"/>
      <c r="AE41" s="98"/>
    </row>
    <row r="42" spans="1:31" s="94" customFormat="1" x14ac:dyDescent="0.3">
      <c r="A42" s="107"/>
      <c r="B42" s="147"/>
      <c r="C42" s="135"/>
      <c r="D42" s="98"/>
      <c r="E42" s="150" t="s">
        <v>72</v>
      </c>
      <c r="F42" s="150" t="s">
        <v>45</v>
      </c>
      <c r="G42" s="151">
        <f xml:space="preserve"> G36 - SUM( G37:G41 )</f>
        <v>1313.296</v>
      </c>
      <c r="H42" s="152">
        <f xml:space="preserve"> H36 - SUM( H37:H41 )</f>
        <v>1313.296</v>
      </c>
      <c r="I42" s="152">
        <f xml:space="preserve"> I36 - SUM( I37:I41 )</f>
        <v>1878</v>
      </c>
      <c r="J42" s="152">
        <f xml:space="preserve"> J36 - SUM( J37:J41 )</f>
        <v>1878</v>
      </c>
      <c r="K42" s="153">
        <f xml:space="preserve"> K36 - SUM( K37:K41 )</f>
        <v>1313.296</v>
      </c>
      <c r="L42" s="100"/>
      <c r="M42" s="151">
        <f xml:space="preserve"> M36 - SUM( M37:M41 )</f>
        <v>1313.296</v>
      </c>
      <c r="N42" s="152">
        <f xml:space="preserve"> N36 - SUM( N37:N41 )</f>
        <v>1313.296</v>
      </c>
      <c r="O42" s="152">
        <f xml:space="preserve"> O36 - SUM( O37:O41 )</f>
        <v>1313.296</v>
      </c>
      <c r="P42" s="152">
        <f xml:space="preserve"> P36 - SUM( P37:P41 )</f>
        <v>1313.296</v>
      </c>
      <c r="Q42" s="153">
        <f xml:space="preserve"> Q36 - SUM( Q37:Q41 )</f>
        <v>1878</v>
      </c>
      <c r="R42" s="100"/>
      <c r="S42" s="151">
        <f xml:space="preserve"> S36 - SUM( S37:S41 )</f>
        <v>1344.296</v>
      </c>
      <c r="T42" s="152">
        <f xml:space="preserve"> T36 - SUM( T37:T41 )</f>
        <v>1344.296</v>
      </c>
      <c r="U42" s="152">
        <f xml:space="preserve"> U36 - SUM( U37:U41 )</f>
        <v>1878</v>
      </c>
      <c r="V42" s="152">
        <f xml:space="preserve"> V36 - SUM( V37:V41 )</f>
        <v>1878</v>
      </c>
      <c r="W42" s="153">
        <f xml:space="preserve"> W36 - SUM( W37:W41 )</f>
        <v>1344.296</v>
      </c>
      <c r="X42" s="100"/>
      <c r="Y42" s="151">
        <f xml:space="preserve"> Y36 - SUM( Y37:Y41 )</f>
        <v>1314</v>
      </c>
      <c r="Z42" s="152">
        <f xml:space="preserve"> Z36 - SUM( Z37:Z41 )</f>
        <v>1314.296</v>
      </c>
      <c r="AA42" s="152">
        <f xml:space="preserve"> AA36 - SUM( AA37:AA41 )</f>
        <v>1314.296</v>
      </c>
      <c r="AB42" s="152">
        <f xml:space="preserve"> AB36 - SUM( AB37:AB41 )</f>
        <v>1314.296</v>
      </c>
      <c r="AC42" s="153">
        <f xml:space="preserve"> AC36 - SUM( AC37:AC41 )</f>
        <v>1878</v>
      </c>
      <c r="AD42" s="100"/>
      <c r="AE42" s="98"/>
    </row>
    <row r="43" spans="1:31" s="94" customFormat="1" ht="6" customHeight="1" x14ac:dyDescent="0.3">
      <c r="A43" s="107"/>
      <c r="B43" s="147"/>
      <c r="C43" s="135"/>
      <c r="D43" s="98"/>
      <c r="E43" s="90"/>
      <c r="F43" s="127"/>
      <c r="G43" s="113"/>
      <c r="H43" s="120"/>
      <c r="I43" s="120"/>
      <c r="J43" s="120"/>
      <c r="K43" s="121"/>
      <c r="L43" s="103"/>
      <c r="M43" s="113"/>
      <c r="N43" s="120"/>
      <c r="O43" s="120"/>
      <c r="P43" s="120"/>
      <c r="Q43" s="121"/>
      <c r="R43" s="103"/>
      <c r="S43" s="113"/>
      <c r="T43" s="120"/>
      <c r="U43" s="120"/>
      <c r="V43" s="120"/>
      <c r="W43" s="121"/>
      <c r="X43" s="103"/>
      <c r="Y43" s="113"/>
      <c r="Z43" s="120"/>
      <c r="AA43" s="120"/>
      <c r="AB43" s="120"/>
      <c r="AC43" s="121"/>
      <c r="AD43" s="103"/>
      <c r="AE43" s="98"/>
    </row>
    <row r="44" spans="1:31" s="94" customFormat="1" x14ac:dyDescent="0.3">
      <c r="A44" s="107"/>
      <c r="B44" s="147"/>
      <c r="C44" s="135"/>
      <c r="D44" s="98"/>
      <c r="E44" s="156" t="s">
        <v>31</v>
      </c>
      <c r="F44" s="156" t="s">
        <v>30</v>
      </c>
      <c r="G44" s="157">
        <f xml:space="preserve"> G33 / G42</f>
        <v>56.802922373956925</v>
      </c>
      <c r="H44" s="158">
        <f xml:space="preserve"> H33 / H42</f>
        <v>62.208271259723674</v>
      </c>
      <c r="I44" s="158">
        <f xml:space="preserve"> I33 / I42</f>
        <v>0</v>
      </c>
      <c r="J44" s="158">
        <f xml:space="preserve"> J33 / J42</f>
        <v>0</v>
      </c>
      <c r="K44" s="159">
        <f xml:space="preserve"> K33 / K42</f>
        <v>86.41076765481759</v>
      </c>
      <c r="L44" s="155"/>
      <c r="M44" s="157">
        <f xml:space="preserve"> M33 / M42</f>
        <v>46.029209974771909</v>
      </c>
      <c r="N44" s="158">
        <f xml:space="preserve"> N33 / N42</f>
        <v>48.292396003900251</v>
      </c>
      <c r="O44" s="158">
        <f xml:space="preserve"> O33 / O42</f>
        <v>53.068384168310786</v>
      </c>
      <c r="P44" s="158">
        <f xml:space="preserve"> P33 / P42</f>
        <v>77.414275055183992</v>
      </c>
      <c r="Q44" s="159">
        <f xml:space="preserve"> Q33 / Q42</f>
        <v>0</v>
      </c>
      <c r="R44" s="155"/>
      <c r="S44" s="157">
        <f xml:space="preserve"> S33 / S42</f>
        <v>53.613140477520375</v>
      </c>
      <c r="T44" s="158">
        <f xml:space="preserve"> T33 / T42</f>
        <v>57.128488206299544</v>
      </c>
      <c r="U44" s="158">
        <f xml:space="preserve"> U33 / U42</f>
        <v>0</v>
      </c>
      <c r="V44" s="158">
        <f xml:space="preserve"> V33 / V42</f>
        <v>0</v>
      </c>
      <c r="W44" s="159">
        <f xml:space="preserve"> W33 / W42</f>
        <v>77.04334185119734</v>
      </c>
      <c r="X44" s="155"/>
      <c r="Y44" s="157">
        <f xml:space="preserve"> Y33 / Y42</f>
        <v>58.242686945031707</v>
      </c>
      <c r="Z44" s="158">
        <f xml:space="preserve"> Z33 / Z42</f>
        <v>63.253357142671433</v>
      </c>
      <c r="AA44" s="158">
        <f xml:space="preserve"> AA33 / AA42</f>
        <v>68.917302548825262</v>
      </c>
      <c r="AB44" s="158">
        <f xml:space="preserve"> AB33 / AB42</f>
        <v>86.776861300252833</v>
      </c>
      <c r="AC44" s="159">
        <f xml:space="preserve"> AC33 / AC42</f>
        <v>0</v>
      </c>
      <c r="AD44" s="155"/>
      <c r="AE44" s="98"/>
    </row>
    <row r="45" spans="1:31" s="94" customFormat="1" x14ac:dyDescent="0.3">
      <c r="A45" s="107"/>
      <c r="B45" s="147"/>
      <c r="C45" s="135"/>
      <c r="D45" s="98"/>
      <c r="E45" s="142"/>
      <c r="F45" s="142"/>
      <c r="G45" s="154"/>
      <c r="H45" s="143"/>
      <c r="I45" s="143"/>
      <c r="J45" s="143"/>
      <c r="K45" s="144"/>
      <c r="L45" s="155"/>
      <c r="M45" s="154"/>
      <c r="N45" s="143"/>
      <c r="O45" s="143"/>
      <c r="P45" s="143"/>
      <c r="Q45" s="144"/>
      <c r="R45" s="155"/>
      <c r="S45" s="154"/>
      <c r="T45" s="143"/>
      <c r="U45" s="143"/>
      <c r="V45" s="143"/>
      <c r="W45" s="144"/>
      <c r="X45" s="155"/>
      <c r="Y45" s="154"/>
      <c r="Z45" s="143"/>
      <c r="AA45" s="143"/>
      <c r="AB45" s="143"/>
      <c r="AC45" s="144"/>
      <c r="AD45" s="155"/>
      <c r="AE45" s="98"/>
    </row>
    <row r="46" spans="1:31" s="94" customFormat="1" x14ac:dyDescent="0.3">
      <c r="A46" s="107"/>
      <c r="B46" s="147"/>
      <c r="C46" s="135"/>
      <c r="D46" s="98"/>
      <c r="E46" s="160" t="s">
        <v>44</v>
      </c>
      <c r="F46" s="160" t="s">
        <v>30</v>
      </c>
      <c r="G46" s="163"/>
      <c r="H46" s="164"/>
      <c r="I46" s="225">
        <f xml:space="preserve"> SUMPRODUCT(G12:K12, G44:K44)</f>
        <v>57.855749670772866</v>
      </c>
      <c r="J46" s="318"/>
      <c r="K46" s="219"/>
      <c r="L46" s="220"/>
      <c r="M46" s="221"/>
      <c r="N46" s="218"/>
      <c r="O46" s="225">
        <f xml:space="preserve"> SUMPRODUCT(M12:Q12, M44:Q44)</f>
        <v>48.729842051318393</v>
      </c>
      <c r="P46" s="218"/>
      <c r="Q46" s="219"/>
      <c r="R46" s="220"/>
      <c r="S46" s="221"/>
      <c r="T46" s="218"/>
      <c r="U46" s="225">
        <f xml:space="preserve"> SUMPRODUCT(S12:W12, S44:W44)</f>
        <v>54.33959117328623</v>
      </c>
      <c r="V46" s="164"/>
      <c r="W46" s="165"/>
      <c r="X46" s="220"/>
      <c r="Y46" s="221"/>
      <c r="Z46" s="218"/>
      <c r="AA46" s="225">
        <f xml:space="preserve"> SUMPRODUCT(Y12:AC12, Y44:AC44)</f>
        <v>61.599758328019163</v>
      </c>
      <c r="AB46" s="218"/>
      <c r="AC46" s="219"/>
      <c r="AD46" s="166"/>
      <c r="AE46" s="98"/>
    </row>
    <row r="47" spans="1:31" x14ac:dyDescent="0.3">
      <c r="G47" s="58"/>
      <c r="H47" s="58"/>
      <c r="I47" s="305"/>
      <c r="J47" s="58"/>
      <c r="K47" s="58"/>
    </row>
    <row r="48" spans="1:31" x14ac:dyDescent="0.3">
      <c r="A48" s="173" t="s">
        <v>63</v>
      </c>
      <c r="B48" s="173" t="s">
        <v>63</v>
      </c>
      <c r="C48" s="173" t="s">
        <v>63</v>
      </c>
      <c r="D48" s="173" t="s">
        <v>63</v>
      </c>
      <c r="E48" s="173" t="s">
        <v>63</v>
      </c>
      <c r="F48" s="173" t="s">
        <v>63</v>
      </c>
      <c r="G48" s="173" t="s">
        <v>63</v>
      </c>
      <c r="H48" s="173" t="s">
        <v>63</v>
      </c>
      <c r="I48" s="173" t="s">
        <v>63</v>
      </c>
      <c r="J48" s="173" t="s">
        <v>63</v>
      </c>
      <c r="K48" s="173" t="s">
        <v>63</v>
      </c>
      <c r="L48" s="173" t="s">
        <v>63</v>
      </c>
      <c r="M48" s="173" t="s">
        <v>63</v>
      </c>
      <c r="N48" s="173" t="s">
        <v>63</v>
      </c>
      <c r="O48" s="173" t="s">
        <v>63</v>
      </c>
      <c r="P48" s="173" t="s">
        <v>63</v>
      </c>
      <c r="Q48" s="173" t="s">
        <v>63</v>
      </c>
      <c r="R48" s="173" t="s">
        <v>63</v>
      </c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 t="s">
        <v>63</v>
      </c>
    </row>
  </sheetData>
  <mergeCells count="12">
    <mergeCell ref="Y8:AC8"/>
    <mergeCell ref="Y9:AC9"/>
    <mergeCell ref="S4:W4"/>
    <mergeCell ref="G9:K9"/>
    <mergeCell ref="M9:Q9"/>
    <mergeCell ref="S9:W9"/>
    <mergeCell ref="G8:K8"/>
    <mergeCell ref="M8:Q8"/>
    <mergeCell ref="S8:W8"/>
    <mergeCell ref="G4:K4"/>
    <mergeCell ref="M4:Q4"/>
    <mergeCell ref="Y4:AC4"/>
  </mergeCells>
  <conditionalFormatting sqref="G8:K8">
    <cfRule type="cellIs" dxfId="95" priority="16" operator="equal">
      <formula>#REF!</formula>
    </cfRule>
    <cfRule type="cellIs" dxfId="94" priority="17" operator="equal">
      <formula>#REF!</formula>
    </cfRule>
    <cfRule type="cellIs" dxfId="93" priority="18" operator="equal">
      <formula>#REF!</formula>
    </cfRule>
    <cfRule type="cellIs" dxfId="92" priority="19" stopIfTrue="1" operator="equal">
      <formula>#REF!</formula>
    </cfRule>
    <cfRule type="cellIs" dxfId="91" priority="20" stopIfTrue="1" operator="equal">
      <formula>#REF!</formula>
    </cfRule>
  </conditionalFormatting>
  <conditionalFormatting sqref="M8:Q8">
    <cfRule type="cellIs" dxfId="90" priority="11" operator="equal">
      <formula>#REF!</formula>
    </cfRule>
    <cfRule type="cellIs" dxfId="89" priority="12" operator="equal">
      <formula>#REF!</formula>
    </cfRule>
    <cfRule type="cellIs" dxfId="88" priority="13" operator="equal">
      <formula>#REF!</formula>
    </cfRule>
    <cfRule type="cellIs" dxfId="87" priority="14" stopIfTrue="1" operator="equal">
      <formula>#REF!</formula>
    </cfRule>
    <cfRule type="cellIs" dxfId="86" priority="15" stopIfTrue="1" operator="equal">
      <formula>#REF!</formula>
    </cfRule>
  </conditionalFormatting>
  <conditionalFormatting sqref="S8:W8">
    <cfRule type="cellIs" dxfId="85" priority="6" operator="equal">
      <formula>#REF!</formula>
    </cfRule>
    <cfRule type="cellIs" dxfId="84" priority="7" operator="equal">
      <formula>#REF!</formula>
    </cfRule>
    <cfRule type="cellIs" dxfId="83" priority="8" operator="equal">
      <formula>#REF!</formula>
    </cfRule>
    <cfRule type="cellIs" dxfId="82" priority="9" stopIfTrue="1" operator="equal">
      <formula>#REF!</formula>
    </cfRule>
    <cfRule type="cellIs" dxfId="81" priority="10" stopIfTrue="1" operator="equal">
      <formula>#REF!</formula>
    </cfRule>
  </conditionalFormatting>
  <conditionalFormatting sqref="Y8:AC8">
    <cfRule type="cellIs" dxfId="80" priority="1" operator="equal">
      <formula>#REF!</formula>
    </cfRule>
    <cfRule type="cellIs" dxfId="79" priority="2" operator="equal">
      <formula>#REF!</formula>
    </cfRule>
    <cfRule type="cellIs" dxfId="78" priority="3" operator="equal">
      <formula>#REF!</formula>
    </cfRule>
    <cfRule type="cellIs" dxfId="77" priority="4" stopIfTrue="1" operator="equal">
      <formula>#REF!</formula>
    </cfRule>
    <cfRule type="cellIs" dxfId="76" priority="5" stopIfTrue="1" operator="equal">
      <formula>#REF!</formula>
    </cfRule>
  </conditionalFormatting>
  <dataValidations count="1">
    <dataValidation type="list" allowBlank="1" showInputMessage="1" showErrorMessage="1" sqref="G14 M14 S14 Y14" xr:uid="{DFDA5429-0D9D-4FB2-A468-E4B7218795CF}">
      <formula1>"% jaarsalaris EXCL. VU, % jaarsalaris INCL. VU"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FBB9C-F689-4409-B308-244E6D905B75}">
  <sheetPr>
    <tabColor theme="9" tint="0.39997558519241921"/>
  </sheetPr>
  <dimension ref="A1:AM63"/>
  <sheetViews>
    <sheetView showGridLines="0" zoomScale="70" zoomScaleNormal="70" workbookViewId="0">
      <pane xSplit="6" ySplit="4" topLeftCell="G5" activePane="bottomRight" state="frozen"/>
      <selection pane="topRight" activeCell="G1" sqref="G1"/>
      <selection pane="bottomLeft" activeCell="A8" sqref="A8"/>
      <selection pane="bottomRight" activeCell="A48" sqref="A48"/>
    </sheetView>
  </sheetViews>
  <sheetFormatPr defaultColWidth="0" defaultRowHeight="14.4" x14ac:dyDescent="0.3"/>
  <cols>
    <col min="1" max="1" width="1.109375" style="92" customWidth="1"/>
    <col min="2" max="2" width="1.109375" style="109" customWidth="1"/>
    <col min="3" max="3" width="1.109375" style="135" customWidth="1"/>
    <col min="4" max="4" width="1.109375" style="98" customWidth="1"/>
    <col min="5" max="5" width="55.6640625" style="93" customWidth="1"/>
    <col min="6" max="6" width="20.6640625" style="93" customWidth="1"/>
    <col min="7" max="9" width="10.6640625" style="93" customWidth="1"/>
    <col min="10" max="10" width="1.6640625" style="95" customWidth="1"/>
    <col min="11" max="13" width="10.6640625" style="93" customWidth="1"/>
    <col min="14" max="14" width="1.6640625" style="95" customWidth="1"/>
    <col min="15" max="17" width="10.88671875" style="95" customWidth="1"/>
    <col min="18" max="18" width="1.6640625" style="95" customWidth="1"/>
    <col min="19" max="21" width="10.88671875" style="95" customWidth="1"/>
    <col min="22" max="22" width="1.6640625" style="95" customWidth="1"/>
    <col min="23" max="25" width="10.88671875" style="95" customWidth="1"/>
    <col min="26" max="26" width="1.6640625" style="95" customWidth="1"/>
    <col min="27" max="29" width="10.88671875" style="95" customWidth="1"/>
    <col min="30" max="30" width="1.6640625" style="95" customWidth="1"/>
    <col min="31" max="33" width="10.88671875" style="95" customWidth="1"/>
    <col min="34" max="34" width="1.6640625" style="95" customWidth="1"/>
    <col min="35" max="37" width="10.88671875" style="95" customWidth="1"/>
    <col min="38" max="38" width="1.6640625" style="95" customWidth="1"/>
    <col min="39" max="39" width="1.6640625" style="98" customWidth="1"/>
    <col min="40" max="16384" width="9.109375" style="95" hidden="1"/>
  </cols>
  <sheetData>
    <row r="1" spans="1:39" ht="25.8" x14ac:dyDescent="0.5">
      <c r="A1" s="106" t="str">
        <f ca="1">RIGHT(CELL("filename",$A$1),LEN(CELL("filename",$A$1))-SEARCH("]",CELL("filename",$A$1)))</f>
        <v>Daginvulling</v>
      </c>
      <c r="J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</row>
    <row r="2" spans="1:39" x14ac:dyDescent="0.3">
      <c r="J2" s="93"/>
      <c r="N2" s="93"/>
      <c r="W2" s="93"/>
      <c r="X2" s="93"/>
      <c r="Y2" s="93"/>
      <c r="Z2" s="93"/>
      <c r="AA2" s="93"/>
      <c r="AB2" s="93"/>
      <c r="AC2" s="93"/>
      <c r="AD2" s="93"/>
      <c r="AH2" s="93"/>
      <c r="AL2" s="93"/>
    </row>
    <row r="3" spans="1:39" x14ac:dyDescent="0.3">
      <c r="E3" s="183"/>
      <c r="F3" s="183"/>
      <c r="G3" s="95"/>
      <c r="J3" s="93"/>
      <c r="K3" s="95"/>
      <c r="N3" s="93"/>
      <c r="W3" s="93"/>
      <c r="Y3" s="93"/>
      <c r="Z3" s="93"/>
      <c r="AA3" s="93"/>
      <c r="AC3" s="93"/>
      <c r="AD3" s="93"/>
      <c r="AH3" s="93"/>
      <c r="AL3" s="93"/>
    </row>
    <row r="4" spans="1:39" s="108" customFormat="1" x14ac:dyDescent="0.3">
      <c r="A4" s="107"/>
      <c r="B4" s="172"/>
      <c r="C4" s="169" t="s">
        <v>6</v>
      </c>
      <c r="D4" s="169"/>
      <c r="E4" s="142"/>
      <c r="F4" s="142" t="s">
        <v>11</v>
      </c>
      <c r="G4" s="50" t="s">
        <v>96</v>
      </c>
      <c r="H4" s="51"/>
      <c r="I4" s="52"/>
      <c r="J4" s="53"/>
      <c r="K4" s="50" t="s">
        <v>68</v>
      </c>
      <c r="L4" s="51"/>
      <c r="M4" s="52"/>
      <c r="N4" s="53"/>
      <c r="O4" s="50" t="s">
        <v>96</v>
      </c>
      <c r="P4" s="51"/>
      <c r="Q4" s="51"/>
      <c r="R4" s="53"/>
      <c r="S4" s="50" t="s">
        <v>68</v>
      </c>
      <c r="T4" s="51"/>
      <c r="U4" s="51"/>
      <c r="V4" s="53"/>
      <c r="W4" s="50" t="s">
        <v>96</v>
      </c>
      <c r="X4" s="51"/>
      <c r="Y4" s="182"/>
      <c r="Z4" s="53"/>
      <c r="AA4" s="50" t="s">
        <v>68</v>
      </c>
      <c r="AB4" s="51"/>
      <c r="AC4" s="182"/>
      <c r="AD4" s="53"/>
      <c r="AE4" s="50" t="s">
        <v>96</v>
      </c>
      <c r="AF4" s="51"/>
      <c r="AG4" s="182"/>
      <c r="AH4" s="53"/>
      <c r="AI4" s="50" t="s">
        <v>68</v>
      </c>
      <c r="AJ4" s="51"/>
      <c r="AK4" s="182"/>
      <c r="AL4" s="53"/>
      <c r="AM4" s="135"/>
    </row>
    <row r="5" spans="1:39" s="99" customFormat="1" x14ac:dyDescent="0.3">
      <c r="A5" s="108"/>
      <c r="B5" s="148"/>
      <c r="C5" s="149"/>
      <c r="D5" s="101"/>
      <c r="E5" s="96"/>
      <c r="F5" s="145"/>
      <c r="G5" s="115"/>
      <c r="H5" s="13"/>
      <c r="I5" s="125"/>
      <c r="K5" s="115"/>
      <c r="L5" s="13"/>
      <c r="M5" s="125"/>
      <c r="O5" s="115"/>
      <c r="S5" s="115"/>
      <c r="W5" s="115"/>
      <c r="Y5" s="125"/>
      <c r="AA5" s="115"/>
      <c r="AC5" s="125"/>
      <c r="AE5" s="115"/>
      <c r="AG5" s="125"/>
      <c r="AI5" s="115"/>
      <c r="AK5" s="125"/>
      <c r="AM5" s="101"/>
    </row>
    <row r="6" spans="1:39" s="99" customFormat="1" x14ac:dyDescent="0.3">
      <c r="A6" s="108"/>
      <c r="B6" s="148"/>
      <c r="C6" s="149"/>
      <c r="D6" s="110" t="s">
        <v>39</v>
      </c>
      <c r="E6" s="96"/>
      <c r="F6" s="145"/>
      <c r="G6" s="115"/>
      <c r="H6" s="13"/>
      <c r="I6" s="125"/>
      <c r="K6" s="115"/>
      <c r="L6" s="13"/>
      <c r="M6" s="125"/>
      <c r="O6" s="115"/>
      <c r="P6" s="78"/>
      <c r="S6" s="115"/>
      <c r="T6" s="78"/>
      <c r="W6" s="115"/>
      <c r="Y6" s="125"/>
      <c r="AA6" s="115"/>
      <c r="AC6" s="125"/>
      <c r="AE6" s="115"/>
      <c r="AG6" s="125"/>
      <c r="AI6" s="115"/>
      <c r="AK6" s="125"/>
      <c r="AM6" s="101"/>
    </row>
    <row r="7" spans="1:39" s="96" customFormat="1" x14ac:dyDescent="0.3">
      <c r="A7" s="89"/>
      <c r="B7" s="134"/>
      <c r="C7" s="167"/>
      <c r="D7" s="168"/>
      <c r="E7" s="90" t="s">
        <v>69</v>
      </c>
      <c r="F7" s="90" t="s">
        <v>12</v>
      </c>
      <c r="G7" s="179" t="s">
        <v>49</v>
      </c>
      <c r="H7" s="48"/>
      <c r="I7" s="49"/>
      <c r="J7" s="155"/>
      <c r="K7" s="179" t="s">
        <v>49</v>
      </c>
      <c r="L7" s="48"/>
      <c r="M7" s="49"/>
      <c r="N7" s="155"/>
      <c r="O7" s="179" t="s">
        <v>49</v>
      </c>
      <c r="P7" s="48"/>
      <c r="Q7" s="48"/>
      <c r="R7" s="155"/>
      <c r="S7" s="179" t="s">
        <v>49</v>
      </c>
      <c r="T7" s="48"/>
      <c r="U7" s="48"/>
      <c r="V7" s="155"/>
      <c r="W7" s="179" t="s">
        <v>49</v>
      </c>
      <c r="X7" s="48"/>
      <c r="Y7" s="49"/>
      <c r="Z7" s="155"/>
      <c r="AA7" s="179" t="s">
        <v>49</v>
      </c>
      <c r="AB7" s="48"/>
      <c r="AC7" s="49"/>
      <c r="AD7" s="155"/>
      <c r="AE7" s="179" t="s">
        <v>49</v>
      </c>
      <c r="AF7" s="48"/>
      <c r="AG7" s="49"/>
      <c r="AH7" s="155"/>
      <c r="AI7" s="179" t="s">
        <v>49</v>
      </c>
      <c r="AJ7" s="48"/>
      <c r="AK7" s="49"/>
      <c r="AL7" s="155"/>
      <c r="AM7" s="168"/>
    </row>
    <row r="8" spans="1:39" s="96" customFormat="1" x14ac:dyDescent="0.3">
      <c r="A8" s="89"/>
      <c r="B8" s="134"/>
      <c r="C8" s="167"/>
      <c r="D8" s="168"/>
      <c r="E8" s="90" t="s">
        <v>66</v>
      </c>
      <c r="F8" s="90" t="s">
        <v>70</v>
      </c>
      <c r="G8" s="589" t="s">
        <v>90</v>
      </c>
      <c r="H8" s="590"/>
      <c r="I8" s="591"/>
      <c r="J8" s="56"/>
      <c r="K8" s="589" t="s">
        <v>90</v>
      </c>
      <c r="L8" s="590"/>
      <c r="M8" s="591"/>
      <c r="N8" s="56"/>
      <c r="O8" s="589" t="s">
        <v>90</v>
      </c>
      <c r="P8" s="590"/>
      <c r="Q8" s="591"/>
      <c r="R8" s="155"/>
      <c r="S8" s="589" t="s">
        <v>90</v>
      </c>
      <c r="T8" s="590"/>
      <c r="U8" s="590"/>
      <c r="V8" s="155"/>
      <c r="W8" s="589" t="s">
        <v>90</v>
      </c>
      <c r="X8" s="590"/>
      <c r="Y8" s="591"/>
      <c r="Z8" s="155"/>
      <c r="AA8" s="589" t="s">
        <v>90</v>
      </c>
      <c r="AB8" s="590"/>
      <c r="AC8" s="591"/>
      <c r="AD8" s="155"/>
      <c r="AE8" s="589" t="s">
        <v>90</v>
      </c>
      <c r="AF8" s="590"/>
      <c r="AG8" s="591"/>
      <c r="AH8" s="155"/>
      <c r="AI8" s="589" t="s">
        <v>90</v>
      </c>
      <c r="AJ8" s="590"/>
      <c r="AK8" s="591"/>
      <c r="AL8" s="155"/>
      <c r="AM8" s="168"/>
    </row>
    <row r="9" spans="1:39" s="96" customFormat="1" ht="14.4" customHeight="1" x14ac:dyDescent="0.3">
      <c r="A9" s="89"/>
      <c r="B9" s="134"/>
      <c r="C9" s="167"/>
      <c r="D9" s="168"/>
      <c r="E9" s="91" t="s">
        <v>40</v>
      </c>
      <c r="F9" s="90" t="s">
        <v>12</v>
      </c>
      <c r="G9" s="592" t="s">
        <v>116</v>
      </c>
      <c r="H9" s="593"/>
      <c r="I9" s="594"/>
      <c r="J9" s="155"/>
      <c r="K9" s="592" t="s">
        <v>141</v>
      </c>
      <c r="L9" s="593"/>
      <c r="M9" s="594"/>
      <c r="N9" s="155"/>
      <c r="O9" s="592" t="s">
        <v>127</v>
      </c>
      <c r="P9" s="593"/>
      <c r="Q9" s="594"/>
      <c r="R9" s="155"/>
      <c r="S9" s="592" t="s">
        <v>142</v>
      </c>
      <c r="T9" s="593"/>
      <c r="U9" s="593"/>
      <c r="V9" s="155"/>
      <c r="W9" s="592" t="s">
        <v>128</v>
      </c>
      <c r="X9" s="593"/>
      <c r="Y9" s="594"/>
      <c r="Z9" s="155"/>
      <c r="AA9" s="592" t="s">
        <v>115</v>
      </c>
      <c r="AB9" s="593"/>
      <c r="AC9" s="594"/>
      <c r="AD9" s="155"/>
      <c r="AE9" s="592" t="s">
        <v>117</v>
      </c>
      <c r="AF9" s="593"/>
      <c r="AG9" s="594"/>
      <c r="AH9" s="155"/>
      <c r="AI9" s="592" t="s">
        <v>143</v>
      </c>
      <c r="AJ9" s="593"/>
      <c r="AK9" s="594"/>
      <c r="AL9" s="155"/>
      <c r="AM9" s="168"/>
    </row>
    <row r="10" spans="1:39" s="99" customFormat="1" x14ac:dyDescent="0.3">
      <c r="A10" s="107"/>
      <c r="B10" s="147"/>
      <c r="C10" s="135"/>
      <c r="D10" s="98"/>
      <c r="E10" s="91" t="s">
        <v>7</v>
      </c>
      <c r="F10" s="127" t="s">
        <v>12</v>
      </c>
      <c r="G10" s="111" t="s">
        <v>92</v>
      </c>
      <c r="H10" s="116" t="s">
        <v>92</v>
      </c>
      <c r="I10" s="117"/>
      <c r="K10" s="111" t="s">
        <v>92</v>
      </c>
      <c r="L10" s="116" t="s">
        <v>92</v>
      </c>
      <c r="M10" s="117"/>
      <c r="O10" s="111" t="s">
        <v>93</v>
      </c>
      <c r="P10" s="116" t="s">
        <v>93</v>
      </c>
      <c r="Q10" s="117"/>
      <c r="R10" s="94"/>
      <c r="S10" s="111" t="s">
        <v>93</v>
      </c>
      <c r="T10" s="116" t="s">
        <v>93</v>
      </c>
      <c r="U10" s="117" t="s">
        <v>93</v>
      </c>
      <c r="V10" s="94"/>
      <c r="W10" s="312" t="s">
        <v>95</v>
      </c>
      <c r="X10" s="313" t="s">
        <v>95</v>
      </c>
      <c r="Y10" s="314"/>
      <c r="AA10" s="312" t="s">
        <v>95</v>
      </c>
      <c r="AB10" s="313" t="s">
        <v>95</v>
      </c>
      <c r="AC10" s="310"/>
      <c r="AE10" s="111" t="s">
        <v>97</v>
      </c>
      <c r="AF10" s="116" t="s">
        <v>97</v>
      </c>
      <c r="AG10" s="117" t="s">
        <v>97</v>
      </c>
      <c r="AI10" s="111" t="s">
        <v>97</v>
      </c>
      <c r="AJ10" s="116" t="s">
        <v>97</v>
      </c>
      <c r="AK10" s="117"/>
      <c r="AM10" s="98"/>
    </row>
    <row r="11" spans="1:39" s="99" customFormat="1" x14ac:dyDescent="0.3">
      <c r="A11" s="107"/>
      <c r="B11" s="147"/>
      <c r="C11" s="135"/>
      <c r="D11" s="98"/>
      <c r="E11" s="96" t="s">
        <v>8</v>
      </c>
      <c r="F11" s="127" t="s">
        <v>13</v>
      </c>
      <c r="G11" s="111">
        <v>40</v>
      </c>
      <c r="H11" s="116">
        <v>45</v>
      </c>
      <c r="I11" s="117"/>
      <c r="K11" s="111">
        <v>40</v>
      </c>
      <c r="L11" s="116">
        <v>45</v>
      </c>
      <c r="M11" s="117"/>
      <c r="O11" s="111">
        <v>35</v>
      </c>
      <c r="P11" s="116">
        <v>40</v>
      </c>
      <c r="Q11" s="117"/>
      <c r="R11" s="94"/>
      <c r="S11" s="111">
        <v>35</v>
      </c>
      <c r="T11" s="116">
        <v>40</v>
      </c>
      <c r="U11" s="117">
        <v>45</v>
      </c>
      <c r="V11" s="94"/>
      <c r="W11" s="308">
        <v>6</v>
      </c>
      <c r="X11" s="309">
        <v>7</v>
      </c>
      <c r="Y11" s="310"/>
      <c r="AA11" s="308">
        <v>6</v>
      </c>
      <c r="AB11" s="309">
        <v>7</v>
      </c>
      <c r="AC11" s="310"/>
      <c r="AE11" s="111">
        <v>25</v>
      </c>
      <c r="AF11" s="116">
        <v>30</v>
      </c>
      <c r="AG11" s="117">
        <v>35</v>
      </c>
      <c r="AI11" s="111">
        <v>30</v>
      </c>
      <c r="AJ11" s="116">
        <v>35</v>
      </c>
      <c r="AK11" s="117">
        <v>40</v>
      </c>
      <c r="AM11" s="98"/>
    </row>
    <row r="12" spans="1:39" s="99" customFormat="1" x14ac:dyDescent="0.3">
      <c r="A12" s="107"/>
      <c r="B12" s="147"/>
      <c r="C12" s="135"/>
      <c r="D12" s="98"/>
      <c r="E12" s="96" t="s">
        <v>219</v>
      </c>
      <c r="F12" s="127" t="s">
        <v>14</v>
      </c>
      <c r="G12" s="112">
        <v>0.8</v>
      </c>
      <c r="H12" s="118">
        <v>0.2</v>
      </c>
      <c r="I12" s="119">
        <v>0</v>
      </c>
      <c r="J12" s="102"/>
      <c r="K12" s="112">
        <v>0.67</v>
      </c>
      <c r="L12" s="118">
        <v>0.33</v>
      </c>
      <c r="M12" s="119"/>
      <c r="N12" s="102"/>
      <c r="O12" s="112">
        <v>0.4</v>
      </c>
      <c r="P12" s="118">
        <v>0.6</v>
      </c>
      <c r="Q12" s="201">
        <v>0</v>
      </c>
      <c r="R12" s="200"/>
      <c r="S12" s="112"/>
      <c r="T12" s="118">
        <v>0.67</v>
      </c>
      <c r="U12" s="201">
        <v>0.33</v>
      </c>
      <c r="V12" s="200"/>
      <c r="W12" s="112">
        <v>0.8</v>
      </c>
      <c r="X12" s="118">
        <v>0.2</v>
      </c>
      <c r="Y12" s="119">
        <v>0</v>
      </c>
      <c r="Z12" s="102"/>
      <c r="AA12" s="112">
        <v>0.67</v>
      </c>
      <c r="AB12" s="118">
        <v>0.33</v>
      </c>
      <c r="AC12" s="119"/>
      <c r="AD12" s="102"/>
      <c r="AE12" s="112">
        <v>0.25</v>
      </c>
      <c r="AF12" s="118">
        <v>0.5</v>
      </c>
      <c r="AG12" s="119">
        <v>0.25</v>
      </c>
      <c r="AH12" s="102"/>
      <c r="AI12" s="112">
        <v>0.25</v>
      </c>
      <c r="AJ12" s="118">
        <v>0.5</v>
      </c>
      <c r="AK12" s="119">
        <v>0.25</v>
      </c>
      <c r="AL12" s="102"/>
      <c r="AM12" s="98"/>
    </row>
    <row r="13" spans="1:39" s="99" customFormat="1" x14ac:dyDescent="0.3">
      <c r="A13" s="108"/>
      <c r="B13" s="148"/>
      <c r="C13" s="149"/>
      <c r="D13" s="101"/>
      <c r="E13" s="96"/>
      <c r="F13" s="145"/>
      <c r="G13" s="115"/>
      <c r="H13" s="146"/>
      <c r="I13" s="125"/>
      <c r="K13" s="115"/>
      <c r="L13" s="146"/>
      <c r="M13" s="125"/>
      <c r="O13" s="115"/>
      <c r="P13" s="13"/>
      <c r="Q13" s="14"/>
      <c r="R13" s="94"/>
      <c r="S13" s="115"/>
      <c r="T13" s="13"/>
      <c r="U13" s="14"/>
      <c r="V13" s="94"/>
      <c r="W13" s="115"/>
      <c r="X13" s="13"/>
      <c r="Y13" s="125"/>
      <c r="AA13" s="115"/>
      <c r="AB13" s="13"/>
      <c r="AC13" s="125"/>
      <c r="AE13" s="115"/>
      <c r="AF13" s="13"/>
      <c r="AG13" s="125"/>
      <c r="AI13" s="115"/>
      <c r="AJ13" s="13"/>
      <c r="AK13" s="125"/>
      <c r="AM13" s="101"/>
    </row>
    <row r="14" spans="1:39" s="99" customFormat="1" x14ac:dyDescent="0.3">
      <c r="A14" s="108"/>
      <c r="B14" s="148"/>
      <c r="C14" s="149"/>
      <c r="D14" s="110" t="s">
        <v>29</v>
      </c>
      <c r="E14" s="96"/>
      <c r="F14" s="145"/>
      <c r="G14" s="216" t="s">
        <v>89</v>
      </c>
      <c r="H14" s="222"/>
      <c r="I14" s="125"/>
      <c r="K14" s="216" t="s">
        <v>89</v>
      </c>
      <c r="L14" s="222"/>
      <c r="M14" s="125"/>
      <c r="O14" s="216" t="s">
        <v>89</v>
      </c>
      <c r="P14" s="222"/>
      <c r="Q14" s="14"/>
      <c r="R14" s="94"/>
      <c r="S14" s="216" t="s">
        <v>89</v>
      </c>
      <c r="T14" s="222"/>
      <c r="U14" s="14"/>
      <c r="V14" s="94"/>
      <c r="W14" s="216" t="s">
        <v>101</v>
      </c>
      <c r="X14" s="222"/>
      <c r="Y14" s="125"/>
      <c r="AA14" s="216" t="s">
        <v>101</v>
      </c>
      <c r="AB14" s="222"/>
      <c r="AC14" s="125"/>
      <c r="AE14" s="216" t="s">
        <v>89</v>
      </c>
      <c r="AF14" s="222"/>
      <c r="AG14" s="125"/>
      <c r="AI14" s="216" t="s">
        <v>89</v>
      </c>
      <c r="AJ14" s="222"/>
      <c r="AK14" s="125"/>
      <c r="AM14" s="101"/>
    </row>
    <row r="15" spans="1:39" s="99" customFormat="1" x14ac:dyDescent="0.3">
      <c r="A15" s="107"/>
      <c r="B15" s="147"/>
      <c r="C15" s="135"/>
      <c r="D15" s="98"/>
      <c r="E15" s="97" t="s">
        <v>79</v>
      </c>
      <c r="F15" s="127" t="s">
        <v>34</v>
      </c>
      <c r="G15" s="210">
        <f xml:space="preserve"> 'Bron - cao''s 2020'!F$14</f>
        <v>3037</v>
      </c>
      <c r="H15" s="211">
        <f xml:space="preserve"> 'Bron - cao''s 2020'!$F$15</f>
        <v>3326</v>
      </c>
      <c r="I15" s="175"/>
      <c r="K15" s="210">
        <f xml:space="preserve"> 'Bron - cao''s 2020'!F$14</f>
        <v>3037</v>
      </c>
      <c r="L15" s="211">
        <f xml:space="preserve"> 'Bron - cao''s 2020'!$F$15</f>
        <v>3326</v>
      </c>
      <c r="M15" s="175"/>
      <c r="O15" s="210">
        <f xml:space="preserve"> 'Bron - cao''s 2020'!$I$13</f>
        <v>2766</v>
      </c>
      <c r="P15" s="211">
        <f xml:space="preserve"> 'Bron - cao''s 2020'!$I$14</f>
        <v>2902</v>
      </c>
      <c r="Q15" s="175"/>
      <c r="R15" s="94"/>
      <c r="S15" s="210">
        <f xml:space="preserve"> 'Bron - cao''s 2020'!$I$13</f>
        <v>2766</v>
      </c>
      <c r="T15" s="211">
        <f xml:space="preserve"> 'Bron - cao''s 2020'!$I$14</f>
        <v>2902</v>
      </c>
      <c r="U15" s="211">
        <f xml:space="preserve"> 'Bron - cao''s 2020'!$I$15</f>
        <v>3189</v>
      </c>
      <c r="V15" s="94"/>
      <c r="W15" s="210">
        <f xml:space="preserve"> 'Bron - cao''s 2020'!I$32</f>
        <v>3279</v>
      </c>
      <c r="X15" s="217">
        <f xml:space="preserve"> 'Bron - cao''s 2020'!I$33</f>
        <v>3494</v>
      </c>
      <c r="Y15" s="175"/>
      <c r="AA15" s="210">
        <f xml:space="preserve"> 'Bron - cao''s 2020'!I$32</f>
        <v>3279</v>
      </c>
      <c r="AB15" s="217">
        <f xml:space="preserve"> 'Bron - cao''s 2020'!I$33</f>
        <v>3494</v>
      </c>
      <c r="AC15" s="175"/>
      <c r="AE15" s="210">
        <f xml:space="preserve"> 'Bron - cao''s 2020'!L$11</f>
        <v>2481.3000000000002</v>
      </c>
      <c r="AF15" s="211">
        <f xml:space="preserve"> 'Bron - cao''s 2020'!L$12</f>
        <v>2554.98</v>
      </c>
      <c r="AG15" s="311">
        <f xml:space="preserve"> 'Bron - cao''s 2020'!L$13</f>
        <v>2762.34</v>
      </c>
      <c r="AI15" s="210">
        <f xml:space="preserve"> 'Bron - cao''s 2020'!L$12</f>
        <v>2554.98</v>
      </c>
      <c r="AJ15" s="211">
        <f xml:space="preserve"> 'Bron - cao''s 2020'!L$13</f>
        <v>2762.34</v>
      </c>
      <c r="AK15" s="311">
        <f xml:space="preserve"> 'Bron - cao''s 2020'!L$14</f>
        <v>2971.05</v>
      </c>
      <c r="AM15" s="98"/>
    </row>
    <row r="16" spans="1:39" s="469" customFormat="1" x14ac:dyDescent="0.3">
      <c r="A16" s="466"/>
      <c r="B16" s="467"/>
      <c r="C16" s="466"/>
      <c r="D16" s="468"/>
      <c r="E16" s="469" t="s">
        <v>16</v>
      </c>
      <c r="F16" s="470" t="s">
        <v>15</v>
      </c>
      <c r="G16" s="472">
        <v>0.92</v>
      </c>
      <c r="H16" s="34">
        <v>0.92</v>
      </c>
      <c r="I16" s="471"/>
      <c r="K16" s="472">
        <v>0.92</v>
      </c>
      <c r="L16" s="34">
        <v>0.92</v>
      </c>
      <c r="M16" s="471"/>
      <c r="O16" s="472">
        <v>0.92</v>
      </c>
      <c r="P16" s="34">
        <v>0.92</v>
      </c>
      <c r="Q16" s="471"/>
      <c r="R16" s="474"/>
      <c r="S16" s="472">
        <v>0.92</v>
      </c>
      <c r="T16" s="34">
        <v>0.92</v>
      </c>
      <c r="U16" s="471">
        <v>0.92</v>
      </c>
      <c r="V16" s="474"/>
      <c r="W16" s="472">
        <v>0.92</v>
      </c>
      <c r="X16" s="34">
        <v>0.92</v>
      </c>
      <c r="Y16" s="471"/>
      <c r="AA16" s="472">
        <v>0.92</v>
      </c>
      <c r="AB16" s="34">
        <v>0.92</v>
      </c>
      <c r="AC16" s="471"/>
      <c r="AE16" s="472">
        <v>0.92</v>
      </c>
      <c r="AF16" s="34">
        <v>0.92</v>
      </c>
      <c r="AG16" s="471">
        <v>0.92</v>
      </c>
      <c r="AI16" s="472">
        <v>0.92</v>
      </c>
      <c r="AJ16" s="34">
        <v>0.92</v>
      </c>
      <c r="AK16" s="471">
        <v>0.92</v>
      </c>
      <c r="AM16" s="468"/>
    </row>
    <row r="17" spans="1:39" s="469" customFormat="1" x14ac:dyDescent="0.3">
      <c r="A17" s="466"/>
      <c r="B17" s="467"/>
      <c r="C17" s="466"/>
      <c r="D17" s="468"/>
      <c r="E17" s="468" t="s">
        <v>17</v>
      </c>
      <c r="F17" s="470" t="s">
        <v>18</v>
      </c>
      <c r="G17" s="472">
        <v>0.01</v>
      </c>
      <c r="H17" s="34">
        <v>0.01</v>
      </c>
      <c r="I17" s="471"/>
      <c r="K17" s="472">
        <v>0.01</v>
      </c>
      <c r="L17" s="34">
        <v>0.01</v>
      </c>
      <c r="M17" s="471"/>
      <c r="O17" s="472">
        <v>0.01</v>
      </c>
      <c r="P17" s="34">
        <v>0.01</v>
      </c>
      <c r="Q17" s="471"/>
      <c r="R17" s="474"/>
      <c r="S17" s="472">
        <v>0.01</v>
      </c>
      <c r="T17" s="34">
        <v>0.01</v>
      </c>
      <c r="U17" s="471">
        <v>0.01</v>
      </c>
      <c r="V17" s="474"/>
      <c r="W17" s="472">
        <v>0.01</v>
      </c>
      <c r="X17" s="34">
        <v>0.01</v>
      </c>
      <c r="Y17" s="471"/>
      <c r="AA17" s="472">
        <v>0.01</v>
      </c>
      <c r="AB17" s="34">
        <v>0.01</v>
      </c>
      <c r="AC17" s="471"/>
      <c r="AE17" s="472">
        <v>0.01</v>
      </c>
      <c r="AF17" s="34">
        <v>0.01</v>
      </c>
      <c r="AG17" s="471">
        <v>0.01</v>
      </c>
      <c r="AI17" s="472">
        <v>0.01</v>
      </c>
      <c r="AJ17" s="34">
        <v>0.01</v>
      </c>
      <c r="AK17" s="471">
        <v>0.01</v>
      </c>
      <c r="AM17" s="468"/>
    </row>
    <row r="18" spans="1:39" s="99" customFormat="1" x14ac:dyDescent="0.3">
      <c r="A18" s="107"/>
      <c r="B18" s="147"/>
      <c r="C18" s="135"/>
      <c r="D18" s="98"/>
      <c r="E18" s="91" t="s">
        <v>62</v>
      </c>
      <c r="F18" s="127" t="s">
        <v>18</v>
      </c>
      <c r="G18" s="112">
        <v>0.08</v>
      </c>
      <c r="H18" s="118">
        <v>0.08</v>
      </c>
      <c r="I18" s="119">
        <v>0.08</v>
      </c>
      <c r="J18" s="102"/>
      <c r="K18" s="112">
        <v>0.08</v>
      </c>
      <c r="L18" s="118">
        <v>0.08</v>
      </c>
      <c r="M18" s="119">
        <v>0.08</v>
      </c>
      <c r="N18" s="102"/>
      <c r="O18" s="112">
        <v>0.08</v>
      </c>
      <c r="P18" s="118">
        <v>0.08</v>
      </c>
      <c r="Q18" s="201">
        <v>0.08</v>
      </c>
      <c r="R18" s="200"/>
      <c r="S18" s="112">
        <v>0.08</v>
      </c>
      <c r="T18" s="118">
        <v>0.08</v>
      </c>
      <c r="U18" s="201">
        <v>0.08</v>
      </c>
      <c r="V18" s="200"/>
      <c r="W18" s="112">
        <v>0.08</v>
      </c>
      <c r="X18" s="118">
        <v>0.08</v>
      </c>
      <c r="Y18" s="119">
        <v>0.08</v>
      </c>
      <c r="Z18" s="102"/>
      <c r="AA18" s="112">
        <v>0.08</v>
      </c>
      <c r="AB18" s="118">
        <v>0.08</v>
      </c>
      <c r="AC18" s="119">
        <v>0.08</v>
      </c>
      <c r="AD18" s="102"/>
      <c r="AE18" s="112">
        <v>0.08</v>
      </c>
      <c r="AF18" s="118">
        <v>0.08</v>
      </c>
      <c r="AG18" s="119">
        <v>0.08</v>
      </c>
      <c r="AH18" s="102"/>
      <c r="AI18" s="112">
        <v>0.08</v>
      </c>
      <c r="AJ18" s="118">
        <v>0.08</v>
      </c>
      <c r="AK18" s="119">
        <v>0.08</v>
      </c>
      <c r="AL18" s="102"/>
      <c r="AM18" s="98"/>
    </row>
    <row r="19" spans="1:39" s="99" customFormat="1" x14ac:dyDescent="0.3">
      <c r="A19" s="107"/>
      <c r="B19" s="147"/>
      <c r="C19" s="135"/>
      <c r="D19" s="98"/>
      <c r="E19" s="96" t="s">
        <v>0</v>
      </c>
      <c r="F19" s="127" t="s">
        <v>102</v>
      </c>
      <c r="G19" s="197">
        <v>8.3299999999999999E-2</v>
      </c>
      <c r="H19" s="198">
        <v>8.3299999999999999E-2</v>
      </c>
      <c r="I19" s="199">
        <v>8.3299999999999999E-2</v>
      </c>
      <c r="J19" s="103"/>
      <c r="K19" s="197">
        <v>8.3299999999999999E-2</v>
      </c>
      <c r="L19" s="198">
        <v>8.3299999999999999E-2</v>
      </c>
      <c r="M19" s="199">
        <v>8.3299999999999999E-2</v>
      </c>
      <c r="N19" s="103"/>
      <c r="O19" s="197">
        <v>8.3299999999999999E-2</v>
      </c>
      <c r="P19" s="198">
        <v>8.3299999999999999E-2</v>
      </c>
      <c r="Q19" s="203">
        <v>8.3299999999999999E-2</v>
      </c>
      <c r="R19" s="202"/>
      <c r="S19" s="197">
        <v>8.3299999999999999E-2</v>
      </c>
      <c r="T19" s="198">
        <v>8.3299999999999999E-2</v>
      </c>
      <c r="U19" s="203">
        <v>8.3299999999999999E-2</v>
      </c>
      <c r="V19" s="202"/>
      <c r="W19" s="197">
        <v>8.3299999999999999E-2</v>
      </c>
      <c r="X19" s="198">
        <v>8.3299999999999999E-2</v>
      </c>
      <c r="Y19" s="199">
        <v>8.3299999999999999E-2</v>
      </c>
      <c r="Z19" s="103"/>
      <c r="AA19" s="197">
        <v>8.3299999999999999E-2</v>
      </c>
      <c r="AB19" s="198">
        <v>8.3299999999999999E-2</v>
      </c>
      <c r="AC19" s="199">
        <v>8.3299999999999999E-2</v>
      </c>
      <c r="AD19" s="103"/>
      <c r="AE19" s="197">
        <v>8.3299999999999999E-2</v>
      </c>
      <c r="AF19" s="198">
        <v>8.3299999999999999E-2</v>
      </c>
      <c r="AG19" s="199">
        <v>8.3299999999999999E-2</v>
      </c>
      <c r="AH19" s="103"/>
      <c r="AI19" s="197">
        <v>8.3299999999999999E-2</v>
      </c>
      <c r="AJ19" s="198">
        <v>8.3299999999999999E-2</v>
      </c>
      <c r="AK19" s="199">
        <v>8.3299999999999999E-2</v>
      </c>
      <c r="AL19" s="103"/>
      <c r="AM19" s="98"/>
    </row>
    <row r="20" spans="1:39" s="99" customFormat="1" x14ac:dyDescent="0.3">
      <c r="A20" s="107"/>
      <c r="B20" s="147"/>
      <c r="C20" s="135"/>
      <c r="D20" s="98"/>
      <c r="E20" s="105" t="s">
        <v>19</v>
      </c>
      <c r="F20" s="128" t="s">
        <v>34</v>
      </c>
      <c r="G20" s="129">
        <f xml:space="preserve"> IF($G14= "% jaarsalaris INCL. VU", G15 * 12 * G16 * ( 1 + G17 ) * ( 1 + G18 ) * ( 1 + G19 ),  G15 * 12 * G16 * ( 1 + G17 ) * ( 1 + G18 ) + G15 * 12 * G16 * ( 1 + G17 )* ( G19 ) )</f>
        <v>39393.717591840003</v>
      </c>
      <c r="H20" s="130">
        <f t="shared" ref="H20:I20" si="0" xml:space="preserve"> IF($G14= "% jaarsalaris INCL. VU", H15 * 12 * H16 * ( 1 + H17 ) * ( 1 + H18 ) * ( 1 + H19 ),  H15 * 12 * H16 * ( 1 + H17 ) * ( 1 + H18 ) + H15 * 12 * H16 * ( 1 + H17 )* ( H19 ) )</f>
        <v>43142.411824319999</v>
      </c>
      <c r="I20" s="131">
        <f t="shared" si="0"/>
        <v>0</v>
      </c>
      <c r="J20" s="103"/>
      <c r="K20" s="129">
        <f xml:space="preserve"> IF($K14= "% jaarsalaris INCL. VU", K15 * 12 * K16 * ( 1 + K17 ) * ( 1 + K18 ) * ( 1 + K19 ),  K15 * 12 * K16 * ( 1 + K17 ) * ( 1 + K18 ) + K15 * 12 * K16 * ( 1 + K17 )* ( K19 ) )</f>
        <v>39393.717591840003</v>
      </c>
      <c r="L20" s="130">
        <f xml:space="preserve"> IF($K14= "% jaarsalaris INCL. VU", L15 * 12 * L16 * ( 1 + L17 ) * ( 1 + L18 ) * ( 1 + L19 ),  L15 * 12 * L16 * ( 1 + L17 ) * ( 1 + L18 ) + L15 * 12 * L16 * ( 1 + L17 )* ( L19 ) )</f>
        <v>43142.411824319999</v>
      </c>
      <c r="M20" s="131">
        <f xml:space="preserve"> IF($K14= "% jaarsalaris INCL. VU", M15 * 12 * M16 * ( 1 + M17 ) * ( 1 + M18 ) * ( 1 + M19 ),  M15 * 12 * M16 * ( 1 + M17 ) * ( 1 + M18 ) + M15 * 12 * M16 * ( 1 + M17 )* ( M19 ) )</f>
        <v>0</v>
      </c>
      <c r="N20" s="103"/>
      <c r="O20" s="129">
        <f xml:space="preserve"> IF($O14= "% jaarsalaris INCL. VU", O15 * 12 * O16 * ( 1 + O17 ) * ( 1 + O18 ) * ( 1 + O19 ),  O15 * 12 * O16 * ( 1 + O17 ) * ( 1 + O18 ) + O15 * 12 * O16 * ( 1 + O17 )* ( O19 ) )</f>
        <v>35878.506045120004</v>
      </c>
      <c r="P20" s="130">
        <f t="shared" ref="P20" si="1" xml:space="preserve"> IF($O14= "% jaarsalaris INCL. VU", P15 * 12 * P16 * ( 1 + P17 ) * ( 1 + P18 ) * ( 1 + P19 ),  P15 * 12 * P16 * ( 1 + P17 ) * ( 1 + P18 ) + P15 * 12 * P16 * ( 1 + P17 )* ( P19 ) )</f>
        <v>37642.597448640001</v>
      </c>
      <c r="Q20" s="290">
        <f xml:space="preserve"> IF($O14= "% jaarsalaris INCL. VU", Q15 * 12 * Q16 * ( 1 + Q17 ) * ( 1 + Q18 ) * ( 1 + Q19 ),  Q15 * 12 * Q16 * ( 1 + Q17 ) * ( 1 + Q18 ) + Q15 * 12 * Q16 * ( 1 + Q17 )* ( Q19 ) )</f>
        <v>0</v>
      </c>
      <c r="R20" s="202"/>
      <c r="S20" s="129">
        <f xml:space="preserve"> IF($S14= "% jaarsalaris INCL. VU", S15 * 12 * S16 * ( 1 + S17 ) * ( 1 + S18 ) * ( 1 + S19 ),  S15 * 12 * S16 * ( 1 + S17 ) * ( 1 + S18 ) + S15 * 12 * S16 * ( 1 + S17 )* ( S19 ) )</f>
        <v>35878.506045120004</v>
      </c>
      <c r="T20" s="130">
        <f xml:space="preserve"> IF($S14= "% jaarsalaris INCL. VU", T15 * 12 * T16 * ( 1 + T17 ) * ( 1 + T18 ) * ( 1 + T19 ),  T15 * 12 * T16 * ( 1 + T17 ) * ( 1 + T18 ) + T15 * 12 * T16 * ( 1 + T17 )* ( T19 ) )</f>
        <v>37642.597448640001</v>
      </c>
      <c r="U20" s="290">
        <f xml:space="preserve"> IF($S14= "% jaarsalaris INCL. VU", U15 * 12 * U16 * ( 1 + U17 ) * ( 1 + U18 ) * ( 1 + U19 ),  U15 * 12 * U16 * ( 1 + U17 ) * ( 1 + U18 ) + U15 * 12 * U16 * ( 1 + U17 )* ( U19 ) )</f>
        <v>41365.349160480007</v>
      </c>
      <c r="V20" s="202"/>
      <c r="W20" s="129">
        <f xml:space="preserve"> IF($W14= "% jaarsalaris INCL. VU", W15 * 12 * W16 * ( 1 + W17 ) * ( 1 + W18 ) * ( 1 + W19 ),  W15 * 12 * W16 * ( 1 + W17 ) * ( 1 + W18 ) + W15 * 12 * W16 * ( 1 + W17 )* ( W19 ) )</f>
        <v>42776.412834182411</v>
      </c>
      <c r="X20" s="130">
        <f xml:space="preserve"> IF($W14= "% jaarsalaris INCL. VU", X15 * 12 * X16 * ( 1 + X17 ) * ( 1 + X18 ) * ( 1 + X19 ),  X15 * 12 * X16 * ( 1 + X17 ) * ( 1 + X18 ) + X15 * 12 * X16 * ( 1 + X17 )* ( X19 ) )</f>
        <v>45581.209650086399</v>
      </c>
      <c r="Y20" s="131">
        <f xml:space="preserve"> IF($W14= "% jaarsalaris INCL. VU", Y15 * 12 * Y16 * ( 1 + Y17 ) * ( 1 + Y18 ) * ( 1 + Y19 ),  Y15 * 12 * Y16 * ( 1 + Y17 ) * ( 1 + Y18 ) + Y15 * 12 * Y16 * ( 1 + Y17 )* ( Y19 ) )</f>
        <v>0</v>
      </c>
      <c r="Z20" s="103"/>
      <c r="AA20" s="129">
        <f xml:space="preserve"> IF($AA14= "% jaarsalaris INCL. VU", AA15 * 12 * AA16 * ( 1 + AA17 ) * ( 1 + AA18 ) * ( 1 + AA19 ),  AA15 * 12 * AA16 * ( 1 + AA17 ) * ( 1 + AA18 ) + AA15 * 12 * AA16 * ( 1 + AA17 )* ( AA19 ) )</f>
        <v>42776.412834182411</v>
      </c>
      <c r="AB20" s="130">
        <f xml:space="preserve"> IF($AA14= "% jaarsalaris INCL. VU", AB15 * 12 * AB16 * ( 1 + AB17 ) * ( 1 + AB18 ) * ( 1 + AB19 ),  AB15 * 12 * AB16 * ( 1 + AB17 ) * ( 1 + AB18 ) + AB15 * 12 * AB16 * ( 1 + AB17 )* ( AB19 ) )</f>
        <v>45581.209650086399</v>
      </c>
      <c r="AC20" s="131">
        <f xml:space="preserve"> IF($AA14= "% jaarsalaris INCL. VU", AC15 * 12 * AC16 * ( 1 + AC17 ) * ( 1 + AC18 ) * ( 1 + AC19 ),  AC15 * 12 * AC16 * ( 1 + AC17 ) * ( 1 + AC18 ) + AC15 * 12 * AC16 * ( 1 + AC17 )* ( AC19 ) )</f>
        <v>0</v>
      </c>
      <c r="AD20" s="103"/>
      <c r="AE20" s="129">
        <f xml:space="preserve"> IF($AE14= "% jaarsalaris INCL. VU", AE15 * 12 * AE16 * ( 1 + AE17 ) * ( 1 + AE18 ) * ( 1 + AE19 ),  AE15 * 12 * AE16 * ( 1 + AE17 ) * ( 1 + AE18 ) + AE15 * 12 * AE16 * ( 1 + AE17 )* ( AE19 ) )</f>
        <v>32185.588232016005</v>
      </c>
      <c r="AF20" s="130">
        <f t="shared" ref="AF20:AG20" si="2" xml:space="preserve"> IF($AE14= "% jaarsalaris INCL. VU", AF15 * 12 * AF16 * ( 1 + AF17 ) * ( 1 + AF18 ) * ( 1 + AF19 ),  AF15 * 12 * AF16 * ( 1 + AF17 ) * ( 1 + AF18 ) + AF15 * 12 * AF16 * ( 1 + AF17 )* ( AF19 ) )</f>
        <v>33141.310692393607</v>
      </c>
      <c r="AG20" s="131">
        <f t="shared" si="2"/>
        <v>35831.031232348803</v>
      </c>
      <c r="AH20" s="103"/>
      <c r="AI20" s="129">
        <f xml:space="preserve"> IF($AI14= "% jaarsalaris INCL. VU", AI15 * 12 * AI16 * ( 1 + AI17 ) * ( 1 + AI18 ) * ( 1 + AI19 ),  AI15 * 12 * AI16 * ( 1 + AI17 ) * ( 1 + AI18 ) + AI15 * 12 * AI16 * ( 1 + AI17 )* ( AI19 ) )</f>
        <v>33141.310692393607</v>
      </c>
      <c r="AJ20" s="130">
        <f xml:space="preserve"> IF($AI14= "% jaarsalaris INCL. VU", AJ15 * 12 * AJ16 * ( 1 + AJ17 ) * ( 1 + AJ18 ) * ( 1 + AJ19 ),  AJ15 * 12 * AJ16 * ( 1 + AJ17 ) * ( 1 + AJ18 ) + AJ15 * 12 * AJ16 * ( 1 + AJ17 )* ( AJ19 ) )</f>
        <v>35831.031232348803</v>
      </c>
      <c r="AK20" s="131">
        <f xml:space="preserve"> IF($AI14= "% jaarsalaris INCL. VU", AK15 * 12 * AK16 * ( 1 + AK17 ) * ( 1 + AK18 ) * ( 1 + AK19 ),  AK15 * 12 * AK16 * ( 1 + AK17 ) * ( 1 + AK18 ) + AK15 * 12 * AK16 * ( 1 + AK17 )* ( AK19 ) )</f>
        <v>38538.262973736011</v>
      </c>
      <c r="AL20" s="103"/>
      <c r="AM20" s="98"/>
    </row>
    <row r="21" spans="1:39" s="99" customFormat="1" ht="6" customHeight="1" x14ac:dyDescent="0.3">
      <c r="A21" s="107"/>
      <c r="B21" s="147"/>
      <c r="C21" s="135"/>
      <c r="D21" s="98"/>
      <c r="E21" s="90"/>
      <c r="F21" s="127"/>
      <c r="G21" s="113"/>
      <c r="H21" s="120"/>
      <c r="I21" s="121"/>
      <c r="J21" s="103"/>
      <c r="K21" s="113"/>
      <c r="L21" s="120"/>
      <c r="M21" s="121"/>
      <c r="N21" s="103"/>
      <c r="O21" s="113"/>
      <c r="P21" s="120"/>
      <c r="Q21" s="291"/>
      <c r="R21" s="202"/>
      <c r="S21" s="113"/>
      <c r="T21" s="120"/>
      <c r="U21" s="291"/>
      <c r="V21" s="202"/>
      <c r="W21" s="113"/>
      <c r="X21" s="120"/>
      <c r="Y21" s="121"/>
      <c r="Z21" s="103"/>
      <c r="AA21" s="113"/>
      <c r="AB21" s="120"/>
      <c r="AC21" s="121"/>
      <c r="AD21" s="103"/>
      <c r="AE21" s="113"/>
      <c r="AF21" s="120"/>
      <c r="AG21" s="121"/>
      <c r="AH21" s="103"/>
      <c r="AI21" s="113"/>
      <c r="AJ21" s="120"/>
      <c r="AK21" s="121"/>
      <c r="AL21" s="103"/>
      <c r="AM21" s="98"/>
    </row>
    <row r="22" spans="1:39" s="195" customFormat="1" x14ac:dyDescent="0.3">
      <c r="A22" s="189"/>
      <c r="B22" s="190"/>
      <c r="C22" s="189"/>
      <c r="D22" s="191"/>
      <c r="E22" s="195" t="s">
        <v>24</v>
      </c>
      <c r="F22" s="196" t="s">
        <v>20</v>
      </c>
      <c r="G22" s="192">
        <v>0.25</v>
      </c>
      <c r="H22" s="193">
        <v>0.25</v>
      </c>
      <c r="I22" s="194"/>
      <c r="K22" s="192">
        <v>0.25</v>
      </c>
      <c r="L22" s="193">
        <v>0.25</v>
      </c>
      <c r="M22" s="194"/>
      <c r="O22" s="192">
        <v>0.25</v>
      </c>
      <c r="P22" s="193">
        <v>0.25</v>
      </c>
      <c r="Q22" s="194"/>
      <c r="R22" s="191"/>
      <c r="S22" s="192">
        <v>0.25</v>
      </c>
      <c r="T22" s="193">
        <v>0.25</v>
      </c>
      <c r="U22" s="194">
        <v>0.25</v>
      </c>
      <c r="V22" s="191"/>
      <c r="W22" s="192">
        <v>0.25</v>
      </c>
      <c r="X22" s="193">
        <v>0.25</v>
      </c>
      <c r="Y22" s="194"/>
      <c r="AA22" s="192">
        <v>0.25</v>
      </c>
      <c r="AB22" s="193">
        <v>0.25</v>
      </c>
      <c r="AC22" s="194"/>
      <c r="AE22" s="192">
        <v>0.25</v>
      </c>
      <c r="AF22" s="193">
        <v>0.25</v>
      </c>
      <c r="AG22" s="194">
        <v>0.25</v>
      </c>
      <c r="AI22" s="192">
        <v>0.25</v>
      </c>
      <c r="AJ22" s="193">
        <v>0.25</v>
      </c>
      <c r="AK22" s="194">
        <v>0.25</v>
      </c>
      <c r="AM22" s="191"/>
    </row>
    <row r="23" spans="1:39" s="195" customFormat="1" x14ac:dyDescent="0.3">
      <c r="A23" s="189"/>
      <c r="B23" s="190"/>
      <c r="C23" s="189"/>
      <c r="D23" s="191"/>
      <c r="E23" s="191" t="s">
        <v>1</v>
      </c>
      <c r="F23" s="196" t="s">
        <v>20</v>
      </c>
      <c r="G23" s="192">
        <v>0.03</v>
      </c>
      <c r="H23" s="193">
        <v>0.03</v>
      </c>
      <c r="I23" s="194"/>
      <c r="K23" s="192">
        <v>0.03</v>
      </c>
      <c r="L23" s="193">
        <v>0.03</v>
      </c>
      <c r="M23" s="194"/>
      <c r="O23" s="192">
        <v>0.03</v>
      </c>
      <c r="P23" s="193">
        <v>0.03</v>
      </c>
      <c r="Q23" s="194"/>
      <c r="R23" s="54"/>
      <c r="S23" s="192">
        <v>0.03</v>
      </c>
      <c r="T23" s="193">
        <v>0.03</v>
      </c>
      <c r="U23" s="194">
        <v>0.03</v>
      </c>
      <c r="V23" s="54"/>
      <c r="W23" s="192">
        <v>0.03</v>
      </c>
      <c r="X23" s="193">
        <v>0.03</v>
      </c>
      <c r="Y23" s="194"/>
      <c r="AA23" s="192">
        <v>0.03</v>
      </c>
      <c r="AB23" s="193">
        <v>0.03</v>
      </c>
      <c r="AC23" s="194"/>
      <c r="AE23" s="192">
        <v>0.03</v>
      </c>
      <c r="AF23" s="193">
        <v>0.03</v>
      </c>
      <c r="AG23" s="194">
        <v>0.03</v>
      </c>
      <c r="AI23" s="192">
        <v>0.03</v>
      </c>
      <c r="AJ23" s="193">
        <v>0.03</v>
      </c>
      <c r="AK23" s="194">
        <v>0.03</v>
      </c>
      <c r="AM23" s="191"/>
    </row>
    <row r="24" spans="1:39" s="99" customFormat="1" x14ac:dyDescent="0.3">
      <c r="A24" s="107"/>
      <c r="B24" s="147"/>
      <c r="C24" s="135"/>
      <c r="D24" s="98"/>
      <c r="E24" s="105" t="s">
        <v>21</v>
      </c>
      <c r="F24" s="128" t="s">
        <v>34</v>
      </c>
      <c r="G24" s="129">
        <f xml:space="preserve"> G20 + ( G20 * G22 ) + ( G20 * G23 )</f>
        <v>50423.958517555206</v>
      </c>
      <c r="H24" s="130">
        <f t="shared" ref="H24:I24" si="3" xml:space="preserve"> H20 + ( H20 * H22 ) + ( H20 * H23 )</f>
        <v>55222.287135129598</v>
      </c>
      <c r="I24" s="18">
        <f t="shared" si="3"/>
        <v>0</v>
      </c>
      <c r="J24" s="104"/>
      <c r="K24" s="129">
        <f xml:space="preserve"> K20 + ( K20 * K22 ) + ( K20 * K23 )</f>
        <v>50423.958517555206</v>
      </c>
      <c r="L24" s="130">
        <f xml:space="preserve"> L20 + ( L20 * L22 ) + ( L20 * L23 )</f>
        <v>55222.287135129598</v>
      </c>
      <c r="M24" s="18">
        <f xml:space="preserve"> M20 + ( M20 * M22 ) + ( M20 * M23 )</f>
        <v>0</v>
      </c>
      <c r="N24" s="104"/>
      <c r="O24" s="129">
        <f t="shared" ref="O24:P24" si="4" xml:space="preserve"> O20 + ( O20 * O22 ) + ( O20 * O23 )</f>
        <v>45924.48773775361</v>
      </c>
      <c r="P24" s="17">
        <f t="shared" si="4"/>
        <v>48182.524734259205</v>
      </c>
      <c r="Q24" s="207">
        <f xml:space="preserve"> Q20 + ( Q20 * Q22 ) + ( Q20 * Q23 )</f>
        <v>0</v>
      </c>
      <c r="R24" s="292"/>
      <c r="S24" s="129">
        <f xml:space="preserve"> S20 + ( S20 * S22 ) + ( S20 * S23 )</f>
        <v>45924.48773775361</v>
      </c>
      <c r="T24" s="17">
        <f xml:space="preserve"> T20 + ( T20 * T22 ) + ( T20 * T23 )</f>
        <v>48182.524734259205</v>
      </c>
      <c r="U24" s="207">
        <f xml:space="preserve"> U20 + ( U20 * U22 ) + ( U20 * U23 )</f>
        <v>52947.64692541441</v>
      </c>
      <c r="V24" s="292"/>
      <c r="W24" s="129">
        <f t="shared" ref="W24:Y24" si="5" xml:space="preserve"> W20 + ( W20 * W22 ) + ( W20 * W23 )</f>
        <v>54753.808427753487</v>
      </c>
      <c r="X24" s="17">
        <f t="shared" si="5"/>
        <v>58343.948352110594</v>
      </c>
      <c r="Y24" s="18">
        <f t="shared" si="5"/>
        <v>0</v>
      </c>
      <c r="Z24" s="104"/>
      <c r="AA24" s="129">
        <f xml:space="preserve"> AA20 + ( AA20 * AA22 ) + ( AA20 * AA23 )</f>
        <v>54753.808427753487</v>
      </c>
      <c r="AB24" s="17">
        <f xml:space="preserve"> AB20 + ( AB20 * AB22 ) + ( AB20 * AB23 )</f>
        <v>58343.948352110594</v>
      </c>
      <c r="AC24" s="18">
        <f xml:space="preserve"> AC20 + ( AC20 * AC22 ) + ( AC20 * AC23 )</f>
        <v>0</v>
      </c>
      <c r="AD24" s="104"/>
      <c r="AE24" s="129">
        <f t="shared" ref="AE24:AG24" si="6" xml:space="preserve"> AE20 + ( AE20 * AE22 ) + ( AE20 * AE23 )</f>
        <v>41197.552936980486</v>
      </c>
      <c r="AF24" s="17">
        <f t="shared" si="6"/>
        <v>42420.877686263811</v>
      </c>
      <c r="AG24" s="18">
        <f t="shared" si="6"/>
        <v>45863.719977406472</v>
      </c>
      <c r="AH24" s="104"/>
      <c r="AI24" s="129">
        <f xml:space="preserve"> AI20 + ( AI20 * AI22 ) + ( AI20 * AI23 )</f>
        <v>42420.877686263811</v>
      </c>
      <c r="AJ24" s="17">
        <f xml:space="preserve"> AJ20 + ( AJ20 * AJ22 ) + ( AJ20 * AJ23 )</f>
        <v>45863.719977406472</v>
      </c>
      <c r="AK24" s="18">
        <f xml:space="preserve"> AK20 + ( AK20 * AK22 ) + ( AK20 * AK23 )</f>
        <v>49328.976606382093</v>
      </c>
      <c r="AL24" s="104"/>
      <c r="AM24" s="94"/>
    </row>
    <row r="25" spans="1:39" s="99" customFormat="1" ht="6" customHeight="1" x14ac:dyDescent="0.3">
      <c r="A25" s="107"/>
      <c r="B25" s="147"/>
      <c r="C25" s="135"/>
      <c r="D25" s="98"/>
      <c r="E25" s="90"/>
      <c r="F25" s="127"/>
      <c r="G25" s="113"/>
      <c r="H25" s="120"/>
      <c r="I25" s="121"/>
      <c r="J25" s="103"/>
      <c r="K25" s="113"/>
      <c r="L25" s="120"/>
      <c r="M25" s="121"/>
      <c r="N25" s="103"/>
      <c r="O25" s="113"/>
      <c r="P25" s="120"/>
      <c r="Q25" s="291"/>
      <c r="R25" s="202"/>
      <c r="S25" s="113"/>
      <c r="T25" s="120"/>
      <c r="U25" s="291"/>
      <c r="V25" s="202"/>
      <c r="W25" s="113"/>
      <c r="X25" s="120"/>
      <c r="Y25" s="121"/>
      <c r="Z25" s="103"/>
      <c r="AA25" s="113"/>
      <c r="AB25" s="120"/>
      <c r="AC25" s="121"/>
      <c r="AD25" s="103"/>
      <c r="AE25" s="113"/>
      <c r="AF25" s="120"/>
      <c r="AG25" s="121"/>
      <c r="AH25" s="103"/>
      <c r="AI25" s="113"/>
      <c r="AJ25" s="120"/>
      <c r="AK25" s="121"/>
      <c r="AL25" s="103"/>
      <c r="AM25" s="98"/>
    </row>
    <row r="26" spans="1:39" s="469" customFormat="1" x14ac:dyDescent="0.3">
      <c r="A26" s="466"/>
      <c r="B26" s="467"/>
      <c r="C26" s="466"/>
      <c r="D26" s="468"/>
      <c r="E26" s="474" t="s">
        <v>23</v>
      </c>
      <c r="F26" s="473" t="s">
        <v>22</v>
      </c>
      <c r="G26" s="472">
        <v>0.01</v>
      </c>
      <c r="H26" s="34">
        <v>0.01</v>
      </c>
      <c r="I26" s="471"/>
      <c r="K26" s="472">
        <v>0.01</v>
      </c>
      <c r="L26" s="34">
        <v>0.01</v>
      </c>
      <c r="M26" s="471"/>
      <c r="O26" s="472">
        <v>0.01</v>
      </c>
      <c r="P26" s="34">
        <v>0.01</v>
      </c>
      <c r="Q26" s="475"/>
      <c r="R26" s="474"/>
      <c r="S26" s="472">
        <v>0.01</v>
      </c>
      <c r="T26" s="34">
        <v>0.01</v>
      </c>
      <c r="U26" s="475">
        <v>0.01</v>
      </c>
      <c r="V26" s="474"/>
      <c r="W26" s="472">
        <v>0.01</v>
      </c>
      <c r="X26" s="34">
        <v>0.01</v>
      </c>
      <c r="Y26" s="471"/>
      <c r="AA26" s="472">
        <v>0.01</v>
      </c>
      <c r="AB26" s="34">
        <v>0.01</v>
      </c>
      <c r="AC26" s="471"/>
      <c r="AE26" s="472">
        <v>0.01</v>
      </c>
      <c r="AF26" s="34">
        <v>0.01</v>
      </c>
      <c r="AG26" s="471">
        <v>0.01</v>
      </c>
      <c r="AI26" s="472">
        <v>0.01</v>
      </c>
      <c r="AJ26" s="34">
        <v>0.01</v>
      </c>
      <c r="AK26" s="471">
        <v>0.01</v>
      </c>
      <c r="AM26" s="468"/>
    </row>
    <row r="27" spans="1:39" s="99" customFormat="1" x14ac:dyDescent="0.3">
      <c r="A27" s="107"/>
      <c r="B27" s="147"/>
      <c r="C27" s="135"/>
      <c r="D27" s="98"/>
      <c r="E27" s="105" t="s">
        <v>26</v>
      </c>
      <c r="F27" s="128" t="s">
        <v>34</v>
      </c>
      <c r="G27" s="129">
        <f xml:space="preserve"> G24 * ( 1 + G26 )</f>
        <v>50928.198102730756</v>
      </c>
      <c r="H27" s="130">
        <f t="shared" ref="H27:I27" si="7" xml:space="preserve"> H24 * ( 1 + H26 )</f>
        <v>55774.510006480894</v>
      </c>
      <c r="I27" s="18">
        <f t="shared" si="7"/>
        <v>0</v>
      </c>
      <c r="J27" s="104"/>
      <c r="K27" s="129">
        <f xml:space="preserve"> K24 * ( 1 + K26 )</f>
        <v>50928.198102730756</v>
      </c>
      <c r="L27" s="130">
        <f xml:space="preserve"> L24 * ( 1 + L26 )</f>
        <v>55774.510006480894</v>
      </c>
      <c r="M27" s="18">
        <f xml:space="preserve"> M24 * ( 1 + M26 )</f>
        <v>0</v>
      </c>
      <c r="N27" s="104"/>
      <c r="O27" s="129">
        <f t="shared" ref="O27:P27" si="8" xml:space="preserve"> O24 * ( 1 + O26 )</f>
        <v>46383.73261513115</v>
      </c>
      <c r="P27" s="17">
        <f t="shared" si="8"/>
        <v>48664.349981601794</v>
      </c>
      <c r="Q27" s="207">
        <f xml:space="preserve"> Q24 * ( 1 + Q26 )</f>
        <v>0</v>
      </c>
      <c r="R27" s="292"/>
      <c r="S27" s="129">
        <f xml:space="preserve"> S24 * ( 1 + S26 )</f>
        <v>46383.73261513115</v>
      </c>
      <c r="T27" s="17">
        <f xml:space="preserve"> T24 * ( 1 + T26 )</f>
        <v>48664.349981601794</v>
      </c>
      <c r="U27" s="207">
        <f xml:space="preserve"> U24 * ( 1 + U26 )</f>
        <v>53477.123394668553</v>
      </c>
      <c r="V27" s="292"/>
      <c r="W27" s="129">
        <f t="shared" ref="W27:Y27" si="9" xml:space="preserve"> W24 * ( 1 + W26 )</f>
        <v>55301.346512031021</v>
      </c>
      <c r="X27" s="17">
        <f t="shared" si="9"/>
        <v>58927.3878356317</v>
      </c>
      <c r="Y27" s="18">
        <f t="shared" si="9"/>
        <v>0</v>
      </c>
      <c r="Z27" s="104"/>
      <c r="AA27" s="129">
        <f xml:space="preserve"> AA24 * ( 1 + AA26 )</f>
        <v>55301.346512031021</v>
      </c>
      <c r="AB27" s="17">
        <f xml:space="preserve"> AB24 * ( 1 + AB26 )</f>
        <v>58927.3878356317</v>
      </c>
      <c r="AC27" s="18">
        <f xml:space="preserve"> AC24 * ( 1 + AC26 )</f>
        <v>0</v>
      </c>
      <c r="AD27" s="104"/>
      <c r="AE27" s="129">
        <f t="shared" ref="AE27:AG27" si="10" xml:space="preserve"> AE24 * ( 1 + AE26 )</f>
        <v>41609.52846635029</v>
      </c>
      <c r="AF27" s="17">
        <f t="shared" si="10"/>
        <v>42845.086463126449</v>
      </c>
      <c r="AG27" s="18">
        <f t="shared" si="10"/>
        <v>46322.357177180536</v>
      </c>
      <c r="AH27" s="104"/>
      <c r="AI27" s="129">
        <f xml:space="preserve"> AI24 * ( 1 + AI26 )</f>
        <v>42845.086463126449</v>
      </c>
      <c r="AJ27" s="17">
        <f xml:space="preserve"> AJ24 * ( 1 + AJ26 )</f>
        <v>46322.357177180536</v>
      </c>
      <c r="AK27" s="18">
        <f xml:space="preserve"> AK24 * ( 1 + AK26 )</f>
        <v>49822.266372445913</v>
      </c>
      <c r="AL27" s="104"/>
      <c r="AM27" s="94"/>
    </row>
    <row r="28" spans="1:39" s="99" customFormat="1" ht="6" customHeight="1" x14ac:dyDescent="0.3">
      <c r="A28" s="108"/>
      <c r="B28" s="148"/>
      <c r="C28" s="149"/>
      <c r="D28" s="101"/>
      <c r="E28" s="96"/>
      <c r="F28" s="145"/>
      <c r="G28" s="113"/>
      <c r="H28" s="120"/>
      <c r="I28" s="125"/>
      <c r="K28" s="113"/>
      <c r="L28" s="120"/>
      <c r="M28" s="125"/>
      <c r="O28" s="115"/>
      <c r="P28" s="13"/>
      <c r="Q28" s="14"/>
      <c r="R28" s="94"/>
      <c r="S28" s="115"/>
      <c r="T28" s="13"/>
      <c r="U28" s="14"/>
      <c r="V28" s="94"/>
      <c r="W28" s="115"/>
      <c r="X28" s="13"/>
      <c r="Y28" s="125"/>
      <c r="AA28" s="115"/>
      <c r="AB28" s="13"/>
      <c r="AC28" s="125"/>
      <c r="AE28" s="115"/>
      <c r="AF28" s="13"/>
      <c r="AG28" s="125"/>
      <c r="AI28" s="115"/>
      <c r="AJ28" s="13"/>
      <c r="AK28" s="125"/>
      <c r="AM28" s="101"/>
    </row>
    <row r="29" spans="1:39" s="108" customFormat="1" x14ac:dyDescent="0.3">
      <c r="A29" s="107"/>
      <c r="B29" s="147"/>
      <c r="C29" s="135"/>
      <c r="D29" s="135"/>
      <c r="E29" s="136" t="s">
        <v>103</v>
      </c>
      <c r="F29" s="137" t="s">
        <v>225</v>
      </c>
      <c r="G29" s="138"/>
      <c r="H29" s="19">
        <f xml:space="preserve"> SUMPRODUCT(G12:I12, G27:I27)</f>
        <v>51897.460483480783</v>
      </c>
      <c r="I29" s="20"/>
      <c r="J29" s="141"/>
      <c r="K29" s="138"/>
      <c r="L29" s="19">
        <f xml:space="preserve"> SUMPRODUCT(K12:M12, K27:M27)</f>
        <v>52527.481030968309</v>
      </c>
      <c r="M29" s="20"/>
      <c r="N29" s="141"/>
      <c r="O29" s="138"/>
      <c r="P29" s="19">
        <f xml:space="preserve"> SUMPRODUCT(O12:Q12, O27:Q27)</f>
        <v>47752.103035013533</v>
      </c>
      <c r="Q29" s="293"/>
      <c r="R29" s="204"/>
      <c r="S29" s="138"/>
      <c r="T29" s="19">
        <f xml:space="preserve"> SUMPRODUCT(S12:U12, S27:U27)</f>
        <v>50252.565207913824</v>
      </c>
      <c r="U29" s="293"/>
      <c r="V29" s="204"/>
      <c r="W29" s="138"/>
      <c r="X29" s="19">
        <f xml:space="preserve"> SUMPRODUCT(W12:Y12, W27:Y27)</f>
        <v>56026.55477675116</v>
      </c>
      <c r="Y29" s="20"/>
      <c r="Z29" s="141"/>
      <c r="AA29" s="138"/>
      <c r="AB29" s="19">
        <f xml:space="preserve"> SUMPRODUCT(AA12:AC12, AA27:AC27)</f>
        <v>56497.940148819252</v>
      </c>
      <c r="AC29" s="20"/>
      <c r="AD29" s="141"/>
      <c r="AE29" s="138"/>
      <c r="AF29" s="19">
        <f xml:space="preserve"> SUMPRODUCT(AE12:AG12, AE27:AG27)</f>
        <v>43405.514642445931</v>
      </c>
      <c r="AG29" s="20"/>
      <c r="AH29" s="141"/>
      <c r="AI29" s="138"/>
      <c r="AJ29" s="19">
        <f xml:space="preserve"> SUMPRODUCT(AI12:AK12, AI27:AK27)</f>
        <v>46328.01679748336</v>
      </c>
      <c r="AK29" s="20"/>
      <c r="AL29" s="141"/>
      <c r="AM29" s="107"/>
    </row>
    <row r="30" spans="1:39" s="99" customFormat="1" x14ac:dyDescent="0.3">
      <c r="A30" s="108"/>
      <c r="B30" s="148"/>
      <c r="C30" s="149"/>
      <c r="D30" s="101"/>
      <c r="E30" s="96"/>
      <c r="F30" s="145"/>
      <c r="G30" s="115"/>
      <c r="H30" s="13"/>
      <c r="I30" s="125"/>
      <c r="K30" s="115"/>
      <c r="L30" s="13"/>
      <c r="M30" s="125"/>
      <c r="O30" s="115"/>
      <c r="P30" s="13"/>
      <c r="Q30" s="14"/>
      <c r="R30" s="94"/>
      <c r="S30" s="115"/>
      <c r="T30" s="13"/>
      <c r="U30" s="14"/>
      <c r="V30" s="94"/>
      <c r="W30" s="115"/>
      <c r="X30" s="13"/>
      <c r="Y30" s="125"/>
      <c r="AA30" s="115"/>
      <c r="AB30" s="13"/>
      <c r="AC30" s="125"/>
      <c r="AE30" s="115"/>
      <c r="AF30" s="13"/>
      <c r="AG30" s="125"/>
      <c r="AI30" s="115"/>
      <c r="AJ30" s="13"/>
      <c r="AK30" s="125"/>
      <c r="AM30" s="101"/>
    </row>
    <row r="31" spans="1:39" s="99" customFormat="1" x14ac:dyDescent="0.3">
      <c r="A31" s="108"/>
      <c r="B31" s="148"/>
      <c r="C31" s="149"/>
      <c r="D31" s="110" t="s">
        <v>51</v>
      </c>
      <c r="E31" s="96"/>
      <c r="F31" s="145"/>
      <c r="G31" s="115"/>
      <c r="H31" s="13"/>
      <c r="I31" s="125"/>
      <c r="K31" s="115"/>
      <c r="L31" s="13"/>
      <c r="M31" s="125"/>
      <c r="O31" s="115"/>
      <c r="P31" s="13"/>
      <c r="Q31" s="14"/>
      <c r="R31" s="94"/>
      <c r="S31" s="115"/>
      <c r="T31" s="13"/>
      <c r="U31" s="14"/>
      <c r="V31" s="94"/>
      <c r="W31" s="115"/>
      <c r="X31" s="13"/>
      <c r="Y31" s="125"/>
      <c r="AA31" s="115"/>
      <c r="AB31" s="13"/>
      <c r="AC31" s="125"/>
      <c r="AE31" s="115"/>
      <c r="AF31" s="13"/>
      <c r="AG31" s="125"/>
      <c r="AI31" s="115"/>
      <c r="AJ31" s="13"/>
      <c r="AK31" s="125"/>
      <c r="AM31" s="101"/>
    </row>
    <row r="32" spans="1:39" s="99" customFormat="1" x14ac:dyDescent="0.3">
      <c r="A32" s="107"/>
      <c r="B32" s="147"/>
      <c r="C32" s="135"/>
      <c r="D32" s="98"/>
      <c r="E32" s="91" t="s">
        <v>3</v>
      </c>
      <c r="F32" s="91" t="s">
        <v>45</v>
      </c>
      <c r="G32" s="124">
        <v>1878</v>
      </c>
      <c r="H32" s="132">
        <v>1878</v>
      </c>
      <c r="I32" s="133">
        <v>1878</v>
      </c>
      <c r="J32" s="100"/>
      <c r="K32" s="124">
        <v>1878</v>
      </c>
      <c r="L32" s="132">
        <v>1878</v>
      </c>
      <c r="M32" s="133">
        <v>1878</v>
      </c>
      <c r="N32" s="100"/>
      <c r="O32" s="124">
        <v>1878</v>
      </c>
      <c r="P32" s="132">
        <v>1878</v>
      </c>
      <c r="Q32" s="294">
        <v>1878</v>
      </c>
      <c r="R32"/>
      <c r="S32" s="124">
        <v>1878</v>
      </c>
      <c r="T32" s="132">
        <v>1878</v>
      </c>
      <c r="U32" s="294">
        <v>1878</v>
      </c>
      <c r="V32"/>
      <c r="W32" s="124">
        <v>1878</v>
      </c>
      <c r="X32" s="132">
        <v>1878</v>
      </c>
      <c r="Y32" s="133">
        <v>1878</v>
      </c>
      <c r="Z32" s="100"/>
      <c r="AA32" s="124">
        <v>1878</v>
      </c>
      <c r="AB32" s="132">
        <v>1878</v>
      </c>
      <c r="AC32" s="133">
        <v>1878</v>
      </c>
      <c r="AD32" s="100"/>
      <c r="AE32" s="124">
        <v>1878</v>
      </c>
      <c r="AF32" s="132">
        <v>1878</v>
      </c>
      <c r="AG32" s="133">
        <v>1878</v>
      </c>
      <c r="AH32" s="100"/>
      <c r="AI32" s="124">
        <v>1878</v>
      </c>
      <c r="AJ32" s="132">
        <v>1878</v>
      </c>
      <c r="AK32" s="133">
        <v>1878</v>
      </c>
      <c r="AL32" s="100"/>
      <c r="AM32" s="98"/>
    </row>
    <row r="33" spans="1:39" s="99" customFormat="1" x14ac:dyDescent="0.3">
      <c r="A33" s="107"/>
      <c r="B33" s="147"/>
      <c r="C33" s="135"/>
      <c r="D33" s="98"/>
      <c r="E33" s="91" t="s">
        <v>4</v>
      </c>
      <c r="F33" s="91" t="s">
        <v>45</v>
      </c>
      <c r="G33" s="114">
        <f xml:space="preserve"> 166 + 50 + 35</f>
        <v>251</v>
      </c>
      <c r="H33" s="122">
        <f xml:space="preserve"> 166 + 50 + 35</f>
        <v>251</v>
      </c>
      <c r="I33" s="123"/>
      <c r="J33" s="100"/>
      <c r="K33" s="114">
        <f xml:space="preserve"> 166 + 50 + 35</f>
        <v>251</v>
      </c>
      <c r="L33" s="122">
        <f xml:space="preserve"> 166 + 50 + 35</f>
        <v>251</v>
      </c>
      <c r="M33" s="123"/>
      <c r="N33" s="100"/>
      <c r="O33" s="114">
        <v>251</v>
      </c>
      <c r="P33" s="122">
        <v>251</v>
      </c>
      <c r="Q33" s="288"/>
      <c r="R33"/>
      <c r="S33" s="114">
        <v>251</v>
      </c>
      <c r="T33" s="122">
        <v>251</v>
      </c>
      <c r="U33" s="288">
        <v>251</v>
      </c>
      <c r="V33"/>
      <c r="W33" s="114">
        <v>220</v>
      </c>
      <c r="X33" s="122">
        <v>220</v>
      </c>
      <c r="Y33" s="123"/>
      <c r="Z33" s="100"/>
      <c r="AA33" s="114">
        <v>220</v>
      </c>
      <c r="AB33" s="122">
        <v>220</v>
      </c>
      <c r="AC33" s="123"/>
      <c r="AD33" s="100"/>
      <c r="AE33" s="114">
        <v>252</v>
      </c>
      <c r="AF33" s="122">
        <v>252</v>
      </c>
      <c r="AG33" s="123">
        <v>252</v>
      </c>
      <c r="AH33" s="100"/>
      <c r="AI33" s="114">
        <v>252</v>
      </c>
      <c r="AJ33" s="122">
        <v>252</v>
      </c>
      <c r="AK33" s="123">
        <v>252</v>
      </c>
      <c r="AL33" s="100"/>
      <c r="AM33" s="98"/>
    </row>
    <row r="34" spans="1:39" s="99" customFormat="1" x14ac:dyDescent="0.3">
      <c r="A34" s="107"/>
      <c r="B34" s="147"/>
      <c r="C34" s="135"/>
      <c r="D34" s="98"/>
      <c r="E34" s="91" t="s">
        <v>5</v>
      </c>
      <c r="F34" s="91" t="s">
        <v>45</v>
      </c>
      <c r="G34" s="286">
        <f xml:space="preserve"> 6.8%*G32</f>
        <v>127.70400000000001</v>
      </c>
      <c r="H34" s="287">
        <f xml:space="preserve"> 6.8%*H32</f>
        <v>127.70400000000001</v>
      </c>
      <c r="I34" s="123"/>
      <c r="J34" s="100"/>
      <c r="K34" s="286">
        <f xml:space="preserve"> 6.8%*K32</f>
        <v>127.70400000000001</v>
      </c>
      <c r="L34" s="287">
        <f xml:space="preserve"> 6.8%*L32</f>
        <v>127.70400000000001</v>
      </c>
      <c r="M34" s="123"/>
      <c r="N34" s="100"/>
      <c r="O34" s="114">
        <f xml:space="preserve"> 6.8%*O32</f>
        <v>127.70400000000001</v>
      </c>
      <c r="P34" s="287">
        <f xml:space="preserve"> 6.8%*P32</f>
        <v>127.70400000000001</v>
      </c>
      <c r="Q34" s="288"/>
      <c r="R34"/>
      <c r="S34" s="114">
        <f xml:space="preserve"> 6.8%*S32</f>
        <v>127.70400000000001</v>
      </c>
      <c r="T34" s="287">
        <f xml:space="preserve"> 6.8%*T32</f>
        <v>127.70400000000001</v>
      </c>
      <c r="U34" s="288">
        <f xml:space="preserve"> 6.8%*U32</f>
        <v>127.70400000000001</v>
      </c>
      <c r="V34"/>
      <c r="W34" s="114">
        <f xml:space="preserve"> 6.8%*W32</f>
        <v>127.70400000000001</v>
      </c>
      <c r="X34" s="287">
        <f xml:space="preserve"> 6.8%*X32</f>
        <v>127.70400000000001</v>
      </c>
      <c r="Y34" s="123"/>
      <c r="Z34" s="100"/>
      <c r="AA34" s="114">
        <f xml:space="preserve"> 6.8%*AA32</f>
        <v>127.70400000000001</v>
      </c>
      <c r="AB34" s="287">
        <f xml:space="preserve"> 6.8%*AB32</f>
        <v>127.70400000000001</v>
      </c>
      <c r="AC34" s="123"/>
      <c r="AD34" s="100"/>
      <c r="AE34" s="114">
        <f xml:space="preserve"> 6.8%*AE32</f>
        <v>127.70400000000001</v>
      </c>
      <c r="AF34" s="287">
        <f xml:space="preserve"> 6.8%*AF32</f>
        <v>127.70400000000001</v>
      </c>
      <c r="AG34" s="123">
        <v>128</v>
      </c>
      <c r="AH34" s="100"/>
      <c r="AI34" s="114">
        <f xml:space="preserve"> 6.8%*AI32</f>
        <v>127.70400000000001</v>
      </c>
      <c r="AJ34" s="287">
        <f xml:space="preserve"> 6.8%*AJ32</f>
        <v>127.70400000000001</v>
      </c>
      <c r="AK34" s="123">
        <v>128</v>
      </c>
      <c r="AL34" s="100"/>
      <c r="AM34" s="98"/>
    </row>
    <row r="35" spans="1:39" s="99" customFormat="1" x14ac:dyDescent="0.3">
      <c r="A35" s="107"/>
      <c r="B35" s="147"/>
      <c r="C35" s="135"/>
      <c r="D35" s="98"/>
      <c r="E35" s="91" t="s">
        <v>35</v>
      </c>
      <c r="F35" s="91" t="s">
        <v>45</v>
      </c>
      <c r="G35" s="114">
        <v>78</v>
      </c>
      <c r="H35" s="122">
        <v>78</v>
      </c>
      <c r="I35" s="123"/>
      <c r="J35" s="100"/>
      <c r="K35" s="286">
        <v>78</v>
      </c>
      <c r="L35" s="287">
        <v>78</v>
      </c>
      <c r="M35" s="123"/>
      <c r="N35" s="100"/>
      <c r="O35" s="114">
        <v>78</v>
      </c>
      <c r="P35" s="122">
        <v>78</v>
      </c>
      <c r="Q35" s="288"/>
      <c r="R35"/>
      <c r="S35" s="114">
        <v>78</v>
      </c>
      <c r="T35" s="122">
        <v>78</v>
      </c>
      <c r="U35" s="288">
        <v>78</v>
      </c>
      <c r="V35"/>
      <c r="W35" s="114">
        <v>78</v>
      </c>
      <c r="X35" s="122">
        <v>78</v>
      </c>
      <c r="Y35" s="123"/>
      <c r="Z35" s="100"/>
      <c r="AA35" s="286">
        <v>78</v>
      </c>
      <c r="AB35" s="287">
        <v>78</v>
      </c>
      <c r="AC35" s="123"/>
      <c r="AD35" s="100"/>
      <c r="AE35" s="114">
        <v>78</v>
      </c>
      <c r="AF35" s="122">
        <v>78</v>
      </c>
      <c r="AG35" s="123">
        <v>78</v>
      </c>
      <c r="AH35" s="100"/>
      <c r="AI35" s="286">
        <v>78</v>
      </c>
      <c r="AJ35" s="287">
        <v>78</v>
      </c>
      <c r="AK35" s="123">
        <v>78</v>
      </c>
      <c r="AL35" s="100"/>
      <c r="AM35" s="98"/>
    </row>
    <row r="36" spans="1:39" s="99" customFormat="1" x14ac:dyDescent="0.3">
      <c r="A36" s="107"/>
      <c r="B36" s="147"/>
      <c r="C36" s="135"/>
      <c r="D36" s="98"/>
      <c r="E36" s="91" t="s">
        <v>36</v>
      </c>
      <c r="F36" s="91" t="s">
        <v>45</v>
      </c>
      <c r="G36" s="114">
        <v>0</v>
      </c>
      <c r="H36" s="122">
        <v>0</v>
      </c>
      <c r="I36" s="123"/>
      <c r="J36" s="100"/>
      <c r="K36" s="114">
        <v>0</v>
      </c>
      <c r="L36" s="122">
        <v>0</v>
      </c>
      <c r="M36" s="123"/>
      <c r="N36" s="100"/>
      <c r="O36" s="286">
        <v>0</v>
      </c>
      <c r="P36" s="287">
        <v>0</v>
      </c>
      <c r="Q36" s="288"/>
      <c r="R36"/>
      <c r="S36" s="286">
        <v>0</v>
      </c>
      <c r="T36" s="287">
        <v>0</v>
      </c>
      <c r="U36" s="288">
        <v>0</v>
      </c>
      <c r="V36"/>
      <c r="W36" s="286">
        <v>0</v>
      </c>
      <c r="X36" s="287">
        <v>0</v>
      </c>
      <c r="Y36" s="288"/>
      <c r="Z36" s="100"/>
      <c r="AA36" s="286">
        <v>0</v>
      </c>
      <c r="AB36" s="287">
        <v>0</v>
      </c>
      <c r="AC36" s="288"/>
      <c r="AD36" s="100"/>
      <c r="AE36" s="286">
        <v>0</v>
      </c>
      <c r="AF36" s="287">
        <v>0</v>
      </c>
      <c r="AG36" s="288">
        <v>0</v>
      </c>
      <c r="AH36" s="100"/>
      <c r="AI36" s="286">
        <v>0</v>
      </c>
      <c r="AJ36" s="287">
        <v>0</v>
      </c>
      <c r="AK36" s="288">
        <v>0</v>
      </c>
      <c r="AL36" s="100"/>
      <c r="AM36" s="98"/>
    </row>
    <row r="37" spans="1:39" s="99" customFormat="1" x14ac:dyDescent="0.3">
      <c r="A37" s="107"/>
      <c r="B37" s="147"/>
      <c r="C37" s="135"/>
      <c r="D37" s="98"/>
      <c r="E37" s="91" t="s">
        <v>65</v>
      </c>
      <c r="F37" s="91" t="s">
        <v>45</v>
      </c>
      <c r="G37" s="114">
        <v>45</v>
      </c>
      <c r="H37" s="122">
        <v>45</v>
      </c>
      <c r="I37" s="123"/>
      <c r="J37" s="100"/>
      <c r="K37" s="114">
        <v>45</v>
      </c>
      <c r="L37" s="122">
        <v>45</v>
      </c>
      <c r="M37" s="123"/>
      <c r="N37" s="100"/>
      <c r="O37" s="114">
        <v>45</v>
      </c>
      <c r="P37" s="122">
        <v>45</v>
      </c>
      <c r="Q37" s="123"/>
      <c r="R37"/>
      <c r="S37" s="114">
        <v>45</v>
      </c>
      <c r="T37" s="122">
        <v>45</v>
      </c>
      <c r="U37" s="123">
        <v>45</v>
      </c>
      <c r="V37"/>
      <c r="W37" s="114">
        <v>45</v>
      </c>
      <c r="X37" s="122">
        <v>45</v>
      </c>
      <c r="Y37" s="123"/>
      <c r="Z37" s="100"/>
      <c r="AA37" s="114">
        <v>45</v>
      </c>
      <c r="AB37" s="122">
        <v>45</v>
      </c>
      <c r="AC37" s="123"/>
      <c r="AD37" s="100"/>
      <c r="AE37" s="114">
        <v>45</v>
      </c>
      <c r="AF37" s="122">
        <v>45</v>
      </c>
      <c r="AG37" s="123">
        <v>45</v>
      </c>
      <c r="AH37" s="100"/>
      <c r="AI37" s="114">
        <v>45</v>
      </c>
      <c r="AJ37" s="122">
        <v>45</v>
      </c>
      <c r="AK37" s="123">
        <v>45</v>
      </c>
      <c r="AL37" s="100"/>
      <c r="AM37" s="98"/>
    </row>
    <row r="38" spans="1:39" s="99" customFormat="1" x14ac:dyDescent="0.3">
      <c r="A38" s="107"/>
      <c r="B38" s="147"/>
      <c r="C38" s="135"/>
      <c r="D38" s="98"/>
      <c r="E38" s="150" t="s">
        <v>72</v>
      </c>
      <c r="F38" s="150" t="s">
        <v>45</v>
      </c>
      <c r="G38" s="151">
        <f xml:space="preserve"> G32 - SUM( G33:G37 )</f>
        <v>1376.296</v>
      </c>
      <c r="H38" s="152">
        <f xml:space="preserve"> H32 - SUM( H33:H37 )</f>
        <v>1376.296</v>
      </c>
      <c r="I38" s="153">
        <f xml:space="preserve"> I32 - SUM( I33:I37 )</f>
        <v>1878</v>
      </c>
      <c r="J38" s="100"/>
      <c r="K38" s="151">
        <f xml:space="preserve"> K32 - SUM( K33:K37 )</f>
        <v>1376.296</v>
      </c>
      <c r="L38" s="152">
        <f xml:space="preserve"> L32 - SUM( L33:L37 )</f>
        <v>1376.296</v>
      </c>
      <c r="M38" s="153">
        <f xml:space="preserve"> M32 - SUM( M33:M37 )</f>
        <v>1878</v>
      </c>
      <c r="N38" s="100"/>
      <c r="O38" s="151">
        <f xml:space="preserve"> O32 - SUM( O33:O37 )</f>
        <v>1376.296</v>
      </c>
      <c r="P38" s="152">
        <f xml:space="preserve"> P32 - SUM( P33:P37 )</f>
        <v>1376.296</v>
      </c>
      <c r="Q38" s="295">
        <f xml:space="preserve"> Q32 - SUM( Q33:Q37 )</f>
        <v>1878</v>
      </c>
      <c r="R38"/>
      <c r="S38" s="151">
        <f xml:space="preserve"> S32 - SUM( S33:S37 )</f>
        <v>1376.296</v>
      </c>
      <c r="T38" s="152">
        <f xml:space="preserve"> T32 - SUM( T33:T37 )</f>
        <v>1376.296</v>
      </c>
      <c r="U38" s="295">
        <f xml:space="preserve"> U32 - SUM( U33:U37 )</f>
        <v>1376.296</v>
      </c>
      <c r="V38"/>
      <c r="W38" s="151">
        <f xml:space="preserve"> W32 - SUM( W33:W37 )</f>
        <v>1407.296</v>
      </c>
      <c r="X38" s="152">
        <f xml:space="preserve"> X32 - SUM( X33:X37 )</f>
        <v>1407.296</v>
      </c>
      <c r="Y38" s="153">
        <f xml:space="preserve"> Y32 - SUM( Y33:Y37 )</f>
        <v>1878</v>
      </c>
      <c r="Z38" s="100"/>
      <c r="AA38" s="151">
        <f xml:space="preserve"> AA32 - SUM( AA33:AA37 )</f>
        <v>1407.296</v>
      </c>
      <c r="AB38" s="152">
        <f xml:space="preserve"> AB32 - SUM( AB33:AB37 )</f>
        <v>1407.296</v>
      </c>
      <c r="AC38" s="153">
        <f xml:space="preserve"> AC32 - SUM( AC33:AC37 )</f>
        <v>1878</v>
      </c>
      <c r="AD38" s="100"/>
      <c r="AE38" s="151">
        <f xml:space="preserve"> AE32 - SUM( AE33:AE37 )</f>
        <v>1375.296</v>
      </c>
      <c r="AF38" s="152">
        <f xml:space="preserve"> AF32 - SUM( AF33:AF37 )</f>
        <v>1375.296</v>
      </c>
      <c r="AG38" s="153">
        <f xml:space="preserve"> AG32 - SUM( AG33:AG37 )</f>
        <v>1375</v>
      </c>
      <c r="AH38" s="100"/>
      <c r="AI38" s="151">
        <f xml:space="preserve"> AI32 - SUM( AI33:AI37 )</f>
        <v>1375.296</v>
      </c>
      <c r="AJ38" s="152">
        <f xml:space="preserve"> AJ32 - SUM( AJ33:AJ37 )</f>
        <v>1375.296</v>
      </c>
      <c r="AK38" s="153">
        <f xml:space="preserve"> AK32 - SUM( AK33:AK37 )</f>
        <v>1375</v>
      </c>
      <c r="AL38" s="100"/>
      <c r="AM38" s="98"/>
    </row>
    <row r="39" spans="1:39" s="99" customFormat="1" ht="6" customHeight="1" x14ac:dyDescent="0.3">
      <c r="A39" s="107"/>
      <c r="B39" s="147"/>
      <c r="C39" s="135"/>
      <c r="D39" s="98"/>
      <c r="E39" s="90"/>
      <c r="F39" s="127"/>
      <c r="G39" s="113"/>
      <c r="H39" s="120"/>
      <c r="I39" s="121"/>
      <c r="J39" s="103"/>
      <c r="K39" s="113"/>
      <c r="L39" s="120"/>
      <c r="M39" s="121"/>
      <c r="N39" s="103"/>
      <c r="O39" s="113"/>
      <c r="P39" s="120"/>
      <c r="Q39" s="291"/>
      <c r="R39" s="202"/>
      <c r="S39" s="113"/>
      <c r="T39" s="120"/>
      <c r="U39" s="291"/>
      <c r="V39" s="202"/>
      <c r="W39" s="113"/>
      <c r="X39" s="120"/>
      <c r="Y39" s="121"/>
      <c r="Z39" s="103"/>
      <c r="AA39" s="113"/>
      <c r="AB39" s="120"/>
      <c r="AC39" s="121"/>
      <c r="AD39" s="103"/>
      <c r="AE39" s="113"/>
      <c r="AF39" s="120"/>
      <c r="AG39" s="121"/>
      <c r="AH39" s="103"/>
      <c r="AI39" s="113"/>
      <c r="AJ39" s="120"/>
      <c r="AK39" s="121"/>
      <c r="AL39" s="103"/>
      <c r="AM39" s="98"/>
    </row>
    <row r="40" spans="1:39" s="99" customFormat="1" x14ac:dyDescent="0.3">
      <c r="A40" s="94"/>
      <c r="B40" s="59"/>
      <c r="C40" s="98"/>
      <c r="D40" s="98"/>
      <c r="E40" s="77" t="s">
        <v>74</v>
      </c>
      <c r="F40" s="77" t="s">
        <v>30</v>
      </c>
      <c r="G40" s="28">
        <f xml:space="preserve"> G27 / G38</f>
        <v>37.003811754688492</v>
      </c>
      <c r="H40" s="29">
        <f xml:space="preserve"> H27 / H38</f>
        <v>40.525083271680579</v>
      </c>
      <c r="I40" s="30">
        <f xml:space="preserve"> I27 / I38</f>
        <v>0</v>
      </c>
      <c r="J40" s="5"/>
      <c r="K40" s="28">
        <f xml:space="preserve"> K27 / K38</f>
        <v>37.003811754688492</v>
      </c>
      <c r="L40" s="29">
        <f xml:space="preserve"> L27 / L38</f>
        <v>40.525083271680579</v>
      </c>
      <c r="M40" s="30">
        <f xml:space="preserve"> M27 / M38</f>
        <v>0</v>
      </c>
      <c r="N40" s="5"/>
      <c r="O40" s="28">
        <f xml:space="preserve"> O27 / O38</f>
        <v>33.701858186851631</v>
      </c>
      <c r="P40" s="29">
        <f xml:space="preserve"> P27 / P38</f>
        <v>35.35892713602437</v>
      </c>
      <c r="Q40" s="296">
        <f xml:space="preserve"> Q27 / Q38</f>
        <v>0</v>
      </c>
      <c r="R40" s="5"/>
      <c r="S40" s="28">
        <f xml:space="preserve"> S27 / S38</f>
        <v>33.701858186851631</v>
      </c>
      <c r="T40" s="29">
        <f xml:space="preserve"> T27 / T38</f>
        <v>35.35892713602437</v>
      </c>
      <c r="U40" s="296">
        <f xml:space="preserve"> U27 / U38</f>
        <v>38.855829991999215</v>
      </c>
      <c r="V40" s="5"/>
      <c r="W40" s="28">
        <f xml:space="preserve"> W27 / W38</f>
        <v>39.29617259768451</v>
      </c>
      <c r="X40" s="29">
        <f xml:space="preserve"> X27 / X38</f>
        <v>41.872774338612274</v>
      </c>
      <c r="Y40" s="30">
        <f xml:space="preserve"> Y27 / Y38</f>
        <v>0</v>
      </c>
      <c r="Z40" s="5"/>
      <c r="AA40" s="28">
        <f xml:space="preserve"> AA27 / AA38</f>
        <v>39.29617259768451</v>
      </c>
      <c r="AB40" s="29">
        <f xml:space="preserve"> AB27 / AB38</f>
        <v>41.872774338612274</v>
      </c>
      <c r="AC40" s="30">
        <f xml:space="preserve"> AC27 / AC38</f>
        <v>0</v>
      </c>
      <c r="AD40" s="5"/>
      <c r="AE40" s="28">
        <f xml:space="preserve"> AE27 / AE38</f>
        <v>30.254962180032727</v>
      </c>
      <c r="AF40" s="29">
        <f xml:space="preserve"> AF27 / AF38</f>
        <v>31.153356414274779</v>
      </c>
      <c r="AG40" s="30">
        <f xml:space="preserve"> AG27 / AG38</f>
        <v>33.688987037949481</v>
      </c>
      <c r="AH40" s="5"/>
      <c r="AI40" s="28">
        <f xml:space="preserve"> AI27 / AI38</f>
        <v>31.153356414274779</v>
      </c>
      <c r="AJ40" s="29">
        <f xml:space="preserve"> AJ27 / AJ38</f>
        <v>33.68173627872148</v>
      </c>
      <c r="AK40" s="30">
        <f xml:space="preserve"> AK27 / AK38</f>
        <v>36.234375543597025</v>
      </c>
      <c r="AL40" s="5"/>
      <c r="AM40" s="98"/>
    </row>
    <row r="41" spans="1:39" s="99" customFormat="1" x14ac:dyDescent="0.3">
      <c r="A41" s="107"/>
      <c r="B41" s="147"/>
      <c r="C41" s="135"/>
      <c r="D41" s="98"/>
      <c r="E41" s="142"/>
      <c r="F41" s="142"/>
      <c r="G41" s="31"/>
      <c r="H41" s="32"/>
      <c r="I41" s="33"/>
      <c r="J41" s="5"/>
      <c r="K41" s="31"/>
      <c r="L41" s="32"/>
      <c r="M41" s="33"/>
      <c r="N41" s="5"/>
      <c r="O41" s="31"/>
      <c r="P41" s="32"/>
      <c r="Q41" s="294"/>
      <c r="R41" s="5"/>
      <c r="S41" s="31"/>
      <c r="T41" s="32"/>
      <c r="U41" s="294"/>
      <c r="V41" s="5"/>
      <c r="W41" s="31"/>
      <c r="X41" s="32"/>
      <c r="Y41" s="33"/>
      <c r="Z41" s="5"/>
      <c r="AA41" s="31"/>
      <c r="AB41" s="32"/>
      <c r="AC41" s="33"/>
      <c r="AD41" s="5"/>
      <c r="AE41" s="31"/>
      <c r="AF41" s="32"/>
      <c r="AG41" s="33"/>
      <c r="AH41" s="5"/>
      <c r="AI41" s="31"/>
      <c r="AJ41" s="32"/>
      <c r="AK41" s="33"/>
      <c r="AL41" s="5"/>
      <c r="AM41" s="98"/>
    </row>
    <row r="42" spans="1:39" s="108" customFormat="1" x14ac:dyDescent="0.3">
      <c r="A42" s="107"/>
      <c r="B42" s="147"/>
      <c r="C42" s="135"/>
      <c r="D42" s="135"/>
      <c r="E42" s="160" t="s">
        <v>75</v>
      </c>
      <c r="F42" s="160" t="s">
        <v>30</v>
      </c>
      <c r="G42" s="163"/>
      <c r="H42" s="225">
        <f xml:space="preserve"> SUMPRODUCT(G12:I12, G40:I40)</f>
        <v>37.708066058086914</v>
      </c>
      <c r="I42" s="165"/>
      <c r="J42" s="166"/>
      <c r="K42" s="163"/>
      <c r="L42" s="225">
        <f xml:space="preserve"> SUMPRODUCT(K12:M12, K40:M40)</f>
        <v>38.165831355295886</v>
      </c>
      <c r="M42" s="165"/>
      <c r="N42" s="166"/>
      <c r="O42" s="163"/>
      <c r="P42" s="225">
        <f xml:space="preserve"> SUMPRODUCT(O12:Q12, O40:Q40)</f>
        <v>34.696099556355279</v>
      </c>
      <c r="Q42" s="205"/>
      <c r="R42" s="206"/>
      <c r="S42" s="163"/>
      <c r="T42" s="225">
        <f xml:space="preserve"> SUMPRODUCT(S12:U12, S40:U40)</f>
        <v>36.512905078496075</v>
      </c>
      <c r="U42" s="205"/>
      <c r="V42" s="206"/>
      <c r="W42" s="163"/>
      <c r="X42" s="225">
        <f xml:space="preserve"> SUMPRODUCT(W12:Y12, W40:Y40)</f>
        <v>39.811492945870064</v>
      </c>
      <c r="Y42" s="165"/>
      <c r="Z42" s="166"/>
      <c r="AA42" s="163"/>
      <c r="AB42" s="225">
        <f xml:space="preserve"> SUMPRODUCT(AA12:AC12, AA40:AC40)</f>
        <v>40.146451172190673</v>
      </c>
      <c r="AC42" s="165"/>
      <c r="AD42" s="166"/>
      <c r="AE42" s="163"/>
      <c r="AF42" s="225">
        <f xml:space="preserve"> SUMPRODUCT(AE12:AG12, AE40:AG40)</f>
        <v>31.562665511632943</v>
      </c>
      <c r="AG42" s="165"/>
      <c r="AH42" s="166"/>
      <c r="AI42" s="163"/>
      <c r="AJ42" s="225">
        <f xml:space="preserve"> SUMPRODUCT(AI12:AK12, AI40:AK40)</f>
        <v>33.687801128828696</v>
      </c>
      <c r="AK42" s="165"/>
      <c r="AL42" s="166"/>
      <c r="AM42" s="135"/>
    </row>
    <row r="43" spans="1:39" s="99" customFormat="1" x14ac:dyDescent="0.3">
      <c r="A43" s="108"/>
      <c r="B43" s="148"/>
      <c r="C43" s="149"/>
      <c r="D43" s="101"/>
      <c r="E43" s="95"/>
      <c r="F43" s="95"/>
      <c r="G43" s="115"/>
      <c r="H43" s="13"/>
      <c r="I43" s="125"/>
      <c r="K43" s="115"/>
      <c r="L43" s="13"/>
      <c r="M43" s="125"/>
      <c r="O43" s="115"/>
      <c r="P43" s="13"/>
      <c r="Q43" s="14"/>
      <c r="R43" s="94"/>
      <c r="S43" s="115"/>
      <c r="T43" s="13"/>
      <c r="U43" s="14"/>
      <c r="V43" s="94"/>
      <c r="W43" s="115"/>
      <c r="X43" s="13"/>
      <c r="Y43" s="125"/>
      <c r="AA43" s="115"/>
      <c r="AB43" s="13"/>
      <c r="AC43" s="125"/>
      <c r="AE43" s="115"/>
      <c r="AF43" s="13"/>
      <c r="AG43" s="125"/>
      <c r="AI43" s="115"/>
      <c r="AJ43" s="13"/>
      <c r="AK43" s="125"/>
      <c r="AM43" s="101"/>
    </row>
    <row r="44" spans="1:39" x14ac:dyDescent="0.3">
      <c r="D44" s="110" t="s">
        <v>54</v>
      </c>
      <c r="G44" s="11"/>
      <c r="H44" s="10"/>
      <c r="I44" s="14"/>
      <c r="J44" s="99"/>
      <c r="K44" s="11"/>
      <c r="L44" s="10"/>
      <c r="M44" s="14"/>
      <c r="N44" s="99"/>
      <c r="O44" s="11"/>
      <c r="P44" s="10"/>
      <c r="Q44" s="14"/>
      <c r="R44" s="94"/>
      <c r="S44" s="11"/>
      <c r="T44" s="10"/>
      <c r="U44" s="14"/>
      <c r="V44" s="94"/>
      <c r="W44" s="11"/>
      <c r="X44" s="10"/>
      <c r="Y44" s="14"/>
      <c r="Z44" s="99"/>
      <c r="AA44" s="11"/>
      <c r="AB44" s="10"/>
      <c r="AC44" s="14"/>
      <c r="AD44" s="99"/>
      <c r="AE44" s="11"/>
      <c r="AF44" s="10"/>
      <c r="AG44" s="14"/>
      <c r="AH44" s="99"/>
      <c r="AI44" s="11"/>
      <c r="AJ44" s="10"/>
      <c r="AK44" s="14"/>
      <c r="AL44" s="99"/>
    </row>
    <row r="45" spans="1:39" s="100" customFormat="1" x14ac:dyDescent="0.3">
      <c r="A45" s="1"/>
      <c r="B45" s="21"/>
      <c r="C45" s="22"/>
      <c r="D45" s="4"/>
      <c r="E45" s="2" t="s">
        <v>222</v>
      </c>
      <c r="F45" s="95" t="s">
        <v>71</v>
      </c>
      <c r="G45" s="115"/>
      <c r="H45" s="116">
        <v>9</v>
      </c>
      <c r="I45" s="125"/>
      <c r="J45" s="99"/>
      <c r="K45" s="115"/>
      <c r="L45" s="116">
        <v>6</v>
      </c>
      <c r="M45" s="125"/>
      <c r="N45" s="99"/>
      <c r="O45" s="115"/>
      <c r="P45" s="116">
        <v>8</v>
      </c>
      <c r="Q45" s="14"/>
      <c r="R45" s="94"/>
      <c r="S45" s="115"/>
      <c r="T45" s="116">
        <v>5.5</v>
      </c>
      <c r="U45" s="14"/>
      <c r="V45" s="94"/>
      <c r="W45" s="115"/>
      <c r="X45" s="116">
        <v>9</v>
      </c>
      <c r="Y45" s="125"/>
      <c r="Z45" s="99"/>
      <c r="AA45" s="115"/>
      <c r="AB45" s="116">
        <v>6</v>
      </c>
      <c r="AC45" s="125"/>
      <c r="AD45" s="99"/>
      <c r="AE45" s="115"/>
      <c r="AF45" s="116">
        <v>8</v>
      </c>
      <c r="AG45" s="125"/>
      <c r="AH45" s="99"/>
      <c r="AI45" s="115"/>
      <c r="AJ45" s="116">
        <v>5.5</v>
      </c>
      <c r="AK45" s="125"/>
      <c r="AL45" s="99"/>
      <c r="AM45" s="4"/>
    </row>
    <row r="46" spans="1:39" s="469" customFormat="1" x14ac:dyDescent="0.3">
      <c r="A46" s="466"/>
      <c r="B46" s="467"/>
      <c r="C46" s="466"/>
      <c r="D46" s="468"/>
      <c r="E46" s="474" t="s">
        <v>52</v>
      </c>
      <c r="F46" s="469" t="s">
        <v>64</v>
      </c>
      <c r="G46" s="476"/>
      <c r="H46" s="34">
        <v>0.93</v>
      </c>
      <c r="I46" s="477"/>
      <c r="K46" s="476"/>
      <c r="L46" s="34">
        <v>0.93</v>
      </c>
      <c r="M46" s="477"/>
      <c r="O46" s="476"/>
      <c r="P46" s="34">
        <v>0.93</v>
      </c>
      <c r="Q46" s="478"/>
      <c r="R46" s="474"/>
      <c r="S46" s="476"/>
      <c r="T46" s="34">
        <v>0.93</v>
      </c>
      <c r="U46" s="478"/>
      <c r="V46" s="474"/>
      <c r="W46" s="476"/>
      <c r="X46" s="34">
        <v>0.93</v>
      </c>
      <c r="Y46" s="477"/>
      <c r="AA46" s="476"/>
      <c r="AB46" s="34">
        <v>0.93</v>
      </c>
      <c r="AC46" s="477"/>
      <c r="AE46" s="476"/>
      <c r="AF46" s="34">
        <v>0.93</v>
      </c>
      <c r="AG46" s="477"/>
      <c r="AI46" s="476"/>
      <c r="AJ46" s="34">
        <v>0.93</v>
      </c>
      <c r="AK46" s="477"/>
      <c r="AM46" s="468"/>
    </row>
    <row r="47" spans="1:39" x14ac:dyDescent="0.3">
      <c r="E47" s="91" t="s">
        <v>73</v>
      </c>
      <c r="F47" s="95" t="s">
        <v>47</v>
      </c>
      <c r="G47" s="115"/>
      <c r="H47" s="116">
        <v>4</v>
      </c>
      <c r="I47" s="125"/>
      <c r="J47" s="99"/>
      <c r="K47" s="115"/>
      <c r="L47" s="116">
        <v>4</v>
      </c>
      <c r="M47" s="125"/>
      <c r="N47" s="99"/>
      <c r="O47" s="115"/>
      <c r="P47" s="116">
        <v>4</v>
      </c>
      <c r="Q47" s="14"/>
      <c r="R47" s="94"/>
      <c r="S47" s="115"/>
      <c r="T47" s="116">
        <v>4</v>
      </c>
      <c r="U47" s="14"/>
      <c r="V47" s="94"/>
      <c r="W47" s="115"/>
      <c r="X47" s="116">
        <v>4</v>
      </c>
      <c r="Y47" s="125"/>
      <c r="Z47" s="99"/>
      <c r="AA47" s="115"/>
      <c r="AB47" s="116">
        <v>4</v>
      </c>
      <c r="AC47" s="125"/>
      <c r="AD47" s="99"/>
      <c r="AE47" s="115"/>
      <c r="AF47" s="116">
        <v>4</v>
      </c>
      <c r="AG47" s="125"/>
      <c r="AH47" s="99"/>
      <c r="AI47" s="115"/>
      <c r="AJ47" s="116">
        <v>4</v>
      </c>
      <c r="AK47" s="125"/>
      <c r="AL47" s="99"/>
    </row>
    <row r="48" spans="1:39" s="188" customFormat="1" x14ac:dyDescent="0.3">
      <c r="A48" s="184"/>
      <c r="B48" s="185"/>
      <c r="C48" s="184"/>
      <c r="D48" s="186"/>
      <c r="E48" s="76" t="s">
        <v>78</v>
      </c>
      <c r="F48" s="188" t="s">
        <v>46</v>
      </c>
      <c r="G48" s="62"/>
      <c r="H48" s="55">
        <f xml:space="preserve"> 4.3 * 6 * H46 / H45</f>
        <v>2.6659999999999999</v>
      </c>
      <c r="I48" s="320"/>
      <c r="K48" s="62"/>
      <c r="L48" s="55">
        <v>4.3</v>
      </c>
      <c r="M48" s="320"/>
      <c r="O48" s="62"/>
      <c r="P48" s="55">
        <f xml:space="preserve"> 4.3 * 6 * P46 / P45</f>
        <v>2.99925</v>
      </c>
      <c r="Q48" s="208"/>
      <c r="R48" s="289"/>
      <c r="S48" s="62"/>
      <c r="T48" s="55">
        <f xml:space="preserve"> 4.3 * 6/T45</f>
        <v>4.6909090909090905</v>
      </c>
      <c r="U48" s="208"/>
      <c r="V48" s="289"/>
      <c r="W48" s="62"/>
      <c r="X48" s="55">
        <f xml:space="preserve"> 4.3 * 6 * X46 / X45</f>
        <v>2.6659999999999999</v>
      </c>
      <c r="Y48" s="64"/>
      <c r="AA48" s="62"/>
      <c r="AB48" s="55">
        <f xml:space="preserve"> 4.3 * 6/AB45</f>
        <v>4.3</v>
      </c>
      <c r="AC48" s="64"/>
      <c r="AE48" s="62"/>
      <c r="AF48" s="55">
        <f xml:space="preserve"> 4.3 * 6 * AF46 / AF45</f>
        <v>2.99925</v>
      </c>
      <c r="AG48" s="64"/>
      <c r="AI48" s="62"/>
      <c r="AJ48" s="55">
        <f xml:space="preserve"> 4.3 * 6/AJ45</f>
        <v>4.6909090909090905</v>
      </c>
      <c r="AK48" s="64"/>
      <c r="AM48" s="186"/>
    </row>
    <row r="49" spans="1:39" s="188" customFormat="1" x14ac:dyDescent="0.3">
      <c r="A49" s="184"/>
      <c r="B49" s="185"/>
      <c r="C49" s="184"/>
      <c r="D49" s="186"/>
      <c r="E49" s="186" t="s">
        <v>42</v>
      </c>
      <c r="F49" s="188" t="s">
        <v>46</v>
      </c>
      <c r="G49" s="62"/>
      <c r="H49" s="55">
        <v>4.2</v>
      </c>
      <c r="I49" s="64"/>
      <c r="K49" s="62"/>
      <c r="L49" s="55">
        <v>4.2</v>
      </c>
      <c r="M49" s="64"/>
      <c r="O49" s="62"/>
      <c r="P49" s="55">
        <v>4.2</v>
      </c>
      <c r="Q49" s="208"/>
      <c r="R49" s="289"/>
      <c r="S49" s="62"/>
      <c r="T49" s="55">
        <v>4.2</v>
      </c>
      <c r="U49" s="208"/>
      <c r="V49" s="289"/>
      <c r="W49" s="62"/>
      <c r="X49" s="55">
        <v>4.2</v>
      </c>
      <c r="Y49" s="64"/>
      <c r="AA49" s="62"/>
      <c r="AB49" s="55">
        <v>4.2</v>
      </c>
      <c r="AC49" s="64"/>
      <c r="AE49" s="62"/>
      <c r="AF49" s="55">
        <v>4.2</v>
      </c>
      <c r="AG49" s="64"/>
      <c r="AI49" s="62"/>
      <c r="AJ49" s="55">
        <v>4.2</v>
      </c>
      <c r="AK49" s="64"/>
      <c r="AM49" s="186"/>
    </row>
    <row r="50" spans="1:39" x14ac:dyDescent="0.3">
      <c r="A50" s="93"/>
      <c r="B50" s="72"/>
      <c r="C50" s="98"/>
      <c r="E50" s="105" t="s">
        <v>76</v>
      </c>
      <c r="F50" s="23" t="s">
        <v>37</v>
      </c>
      <c r="G50" s="73"/>
      <c r="H50" s="74">
        <f xml:space="preserve"> IF(H45="", 0, ( H42 * H47 / H45 / H46 ) + H48 + H49 )</f>
        <v>24.886581150818117</v>
      </c>
      <c r="I50" s="299"/>
      <c r="K50" s="73"/>
      <c r="L50" s="74">
        <f xml:space="preserve"> IF(L45="", 0, ( L42 * L47 / L45 / L46 ) + L48 + L49 )</f>
        <v>35.859018892685228</v>
      </c>
      <c r="M50" s="299"/>
      <c r="O50" s="73"/>
      <c r="P50" s="74">
        <f xml:space="preserve"> IF(P45="", 0, ( P42 * P47 / P45 / P46 ) + P48 + P49 )</f>
        <v>25.853066965782407</v>
      </c>
      <c r="Q50" s="209"/>
      <c r="R50" s="93"/>
      <c r="S50" s="73"/>
      <c r="T50" s="74">
        <f xml:space="preserve"> IF(T45="", 0, ( T42 * T47 / T45 / T46 ) + T48 + T49 )</f>
        <v>37.444500550143559</v>
      </c>
      <c r="U50" s="209"/>
      <c r="V50" s="93"/>
      <c r="W50" s="73"/>
      <c r="X50" s="74">
        <f xml:space="preserve"> IF(X45="", 0, ( X42 * X47 / X45 / X46 ) + X48 + X49 )</f>
        <v>25.891803080463589</v>
      </c>
      <c r="Y50" s="75"/>
      <c r="AA50" s="73"/>
      <c r="AB50" s="74">
        <f xml:space="preserve"> IF(AB45="", 0, ( AB42 * AB47 / AB45 / AB46 ) + AB48 + AB49 )</f>
        <v>37.278818044581129</v>
      </c>
      <c r="AC50" s="75"/>
      <c r="AE50" s="73"/>
      <c r="AF50" s="74">
        <f xml:space="preserve"> IF(AF45="", 0, ( AF42 * AF47 / AF45 / AF46 ) + AF48 + AF49 )</f>
        <v>24.168425006254267</v>
      </c>
      <c r="AG50" s="75"/>
      <c r="AI50" s="73"/>
      <c r="AJ50" s="74">
        <f xml:space="preserve"> IF(AJ45="", 0, ( AJ42 * AJ47 / AJ45 / AJ46 ) + AJ48 + AJ49 )</f>
        <v>35.235230599279525</v>
      </c>
      <c r="AK50" s="75"/>
    </row>
    <row r="51" spans="1:39" ht="6" customHeight="1" x14ac:dyDescent="0.3">
      <c r="E51" s="142"/>
      <c r="F51" s="60"/>
      <c r="G51" s="70"/>
      <c r="H51" s="61"/>
      <c r="I51" s="71"/>
      <c r="K51" s="70"/>
      <c r="L51" s="61"/>
      <c r="M51" s="71"/>
      <c r="O51" s="70"/>
      <c r="P51" s="61"/>
      <c r="Q51" s="297"/>
      <c r="R51" s="93"/>
      <c r="S51" s="70"/>
      <c r="T51" s="61"/>
      <c r="U51" s="297"/>
      <c r="V51" s="93"/>
      <c r="W51" s="70"/>
      <c r="X51" s="61"/>
      <c r="Y51" s="71"/>
      <c r="AA51" s="70"/>
      <c r="AB51" s="61"/>
      <c r="AC51" s="71"/>
      <c r="AE51" s="70"/>
      <c r="AF51" s="61"/>
      <c r="AG51" s="71"/>
      <c r="AI51" s="70"/>
      <c r="AJ51" s="61"/>
      <c r="AK51" s="71"/>
    </row>
    <row r="52" spans="1:39" s="195" customFormat="1" x14ac:dyDescent="0.3">
      <c r="A52" s="189"/>
      <c r="B52" s="190"/>
      <c r="C52" s="189"/>
      <c r="D52" s="191"/>
      <c r="E52" s="195" t="s">
        <v>27</v>
      </c>
      <c r="F52" s="127" t="s">
        <v>77</v>
      </c>
      <c r="G52" s="68"/>
      <c r="H52" s="193">
        <f xml:space="preserve"> (29% / ( 1 - 29% )) * ( 1 - 10%)</f>
        <v>0.36760563380281691</v>
      </c>
      <c r="I52" s="69"/>
      <c r="J52" s="102"/>
      <c r="K52" s="68"/>
      <c r="L52" s="193">
        <f xml:space="preserve"> (29% / ( 1 - 29% )) * ( 1 - 10%)</f>
        <v>0.36760563380281691</v>
      </c>
      <c r="M52" s="69"/>
      <c r="N52" s="102"/>
      <c r="O52" s="68"/>
      <c r="P52" s="193">
        <v>0.25</v>
      </c>
      <c r="Q52" s="298"/>
      <c r="R52" s="102"/>
      <c r="S52" s="68"/>
      <c r="T52" s="193">
        <v>0.25</v>
      </c>
      <c r="U52" s="298"/>
      <c r="V52" s="102"/>
      <c r="W52" s="68"/>
      <c r="X52" s="193">
        <v>0.25</v>
      </c>
      <c r="Y52" s="69"/>
      <c r="AA52" s="68"/>
      <c r="AB52" s="193">
        <v>0.25</v>
      </c>
      <c r="AC52" s="69"/>
      <c r="AE52" s="68"/>
      <c r="AF52" s="177">
        <v>0.25</v>
      </c>
      <c r="AG52" s="69"/>
      <c r="AH52" s="102"/>
      <c r="AI52" s="68"/>
      <c r="AJ52" s="177">
        <v>0.25</v>
      </c>
      <c r="AK52" s="69"/>
      <c r="AL52" s="102"/>
      <c r="AM52" s="191"/>
    </row>
    <row r="53" spans="1:39" x14ac:dyDescent="0.3">
      <c r="A53" s="93"/>
      <c r="B53" s="72"/>
      <c r="C53" s="98"/>
      <c r="E53" s="105" t="s">
        <v>105</v>
      </c>
      <c r="F53" s="23" t="str">
        <f>F50</f>
        <v>EUR / dagdeel</v>
      </c>
      <c r="G53" s="73"/>
      <c r="H53" s="74">
        <f xml:space="preserve"> H50 * ( 1 + H52 )</f>
        <v>34.035028587949846</v>
      </c>
      <c r="I53" s="75"/>
      <c r="K53" s="73"/>
      <c r="L53" s="74">
        <f xml:space="preserve"> L50 * ( 1 + L52 )</f>
        <v>49.040996260277964</v>
      </c>
      <c r="M53" s="75"/>
      <c r="O53" s="73"/>
      <c r="P53" s="74">
        <f xml:space="preserve"> P50 * ( 1 + P52 )</f>
        <v>32.316333707228011</v>
      </c>
      <c r="Q53" s="209"/>
      <c r="S53" s="73"/>
      <c r="T53" s="74">
        <f xml:space="preserve"> T50 * ( 1 + T52 )</f>
        <v>46.805625687679452</v>
      </c>
      <c r="U53" s="209"/>
      <c r="W53" s="73"/>
      <c r="X53" s="74">
        <f xml:space="preserve"> X50 * ( 1 + X52 )</f>
        <v>32.36475385057949</v>
      </c>
      <c r="Y53" s="75"/>
      <c r="AA53" s="73"/>
      <c r="AB53" s="74">
        <f xml:space="preserve"> AB50 * ( 1 + AB52 )</f>
        <v>46.598522555726412</v>
      </c>
      <c r="AC53" s="75"/>
      <c r="AE53" s="73"/>
      <c r="AF53" s="74">
        <f xml:space="preserve"> AF50 * ( 1 + AF52 )</f>
        <v>30.210531257817834</v>
      </c>
      <c r="AG53" s="75"/>
      <c r="AI53" s="73"/>
      <c r="AJ53" s="74">
        <f xml:space="preserve"> AJ50 * ( 1 + AJ52 )</f>
        <v>44.044038249099408</v>
      </c>
      <c r="AK53" s="75"/>
    </row>
    <row r="54" spans="1:39" ht="6" customHeight="1" x14ac:dyDescent="0.3">
      <c r="E54" s="142"/>
      <c r="F54" s="60"/>
      <c r="G54" s="70"/>
      <c r="H54" s="61"/>
      <c r="I54" s="71"/>
      <c r="K54" s="70"/>
      <c r="L54" s="61"/>
      <c r="M54" s="71"/>
      <c r="O54" s="70"/>
      <c r="P54" s="61"/>
      <c r="Q54" s="297"/>
      <c r="S54" s="70"/>
      <c r="T54" s="61"/>
      <c r="U54" s="297"/>
      <c r="W54" s="70"/>
      <c r="X54" s="61"/>
      <c r="Y54" s="71"/>
      <c r="AA54" s="70"/>
      <c r="AB54" s="61"/>
      <c r="AC54" s="71"/>
      <c r="AE54" s="70"/>
      <c r="AF54" s="61"/>
      <c r="AG54" s="71"/>
      <c r="AI54" s="70"/>
      <c r="AJ54" s="61"/>
      <c r="AK54" s="71"/>
    </row>
    <row r="55" spans="1:39" s="469" customFormat="1" x14ac:dyDescent="0.3">
      <c r="A55" s="466"/>
      <c r="B55" s="467"/>
      <c r="C55" s="466"/>
      <c r="D55" s="468"/>
      <c r="E55" s="468" t="s">
        <v>2</v>
      </c>
      <c r="F55" s="470" t="s">
        <v>104</v>
      </c>
      <c r="G55" s="476"/>
      <c r="H55" s="34">
        <v>0.01</v>
      </c>
      <c r="I55" s="477"/>
      <c r="K55" s="476"/>
      <c r="L55" s="34">
        <v>0.01</v>
      </c>
      <c r="M55" s="477"/>
      <c r="O55" s="476"/>
      <c r="P55" s="34">
        <v>0.01</v>
      </c>
      <c r="Q55" s="479"/>
      <c r="R55" s="468"/>
      <c r="S55" s="476"/>
      <c r="T55" s="34">
        <v>0.01</v>
      </c>
      <c r="U55" s="479"/>
      <c r="V55" s="468"/>
      <c r="W55" s="476"/>
      <c r="X55" s="34">
        <v>0.01</v>
      </c>
      <c r="Y55" s="477"/>
      <c r="AA55" s="476"/>
      <c r="AB55" s="34">
        <v>0.01</v>
      </c>
      <c r="AC55" s="477"/>
      <c r="AE55" s="476"/>
      <c r="AF55" s="34">
        <v>0.01</v>
      </c>
      <c r="AG55" s="477"/>
      <c r="AI55" s="476"/>
      <c r="AJ55" s="34">
        <v>0.01</v>
      </c>
      <c r="AK55" s="477"/>
      <c r="AM55" s="468"/>
    </row>
    <row r="56" spans="1:39" x14ac:dyDescent="0.3">
      <c r="E56" s="136" t="s">
        <v>41</v>
      </c>
      <c r="F56" s="23" t="s">
        <v>37</v>
      </c>
      <c r="G56" s="63"/>
      <c r="H56" s="483">
        <f xml:space="preserve"> H53 * ( 1 + H55 )</f>
        <v>34.375378873829348</v>
      </c>
      <c r="I56" s="65"/>
      <c r="K56" s="63"/>
      <c r="L56" s="483">
        <f xml:space="preserve"> L53 * ( 1 + L55 )</f>
        <v>49.531406222880747</v>
      </c>
      <c r="M56" s="65"/>
      <c r="O56" s="63"/>
      <c r="P56" s="483">
        <f xml:space="preserve"> P53 * ( 1 + P55 )</f>
        <v>32.639497044300292</v>
      </c>
      <c r="Q56" s="25"/>
      <c r="R56" s="93"/>
      <c r="S56" s="63"/>
      <c r="T56" s="483">
        <f xml:space="preserve"> T53 * ( 1 + T55 )</f>
        <v>47.273681944556245</v>
      </c>
      <c r="U56" s="25"/>
      <c r="V56" s="93"/>
      <c r="W56" s="63"/>
      <c r="X56" s="483">
        <f xml:space="preserve"> X53 * ( 1 + X55 )</f>
        <v>32.688401389085286</v>
      </c>
      <c r="Y56" s="65"/>
      <c r="AA56" s="63"/>
      <c r="AB56" s="483">
        <f xml:space="preserve"> AB53 * ( 1 + AB55 )</f>
        <v>47.064507781283673</v>
      </c>
      <c r="AC56" s="65"/>
      <c r="AE56" s="63"/>
      <c r="AF56" s="483">
        <f xml:space="preserve"> AF53 * ( 1 + AF55 )</f>
        <v>30.512636570396012</v>
      </c>
      <c r="AG56" s="65"/>
      <c r="AI56" s="63"/>
      <c r="AJ56" s="483">
        <f xml:space="preserve"> AJ53 * ( 1 + AJ55 )</f>
        <v>44.484478631590406</v>
      </c>
      <c r="AK56" s="65"/>
    </row>
    <row r="57" spans="1:39" x14ac:dyDescent="0.3">
      <c r="H57" s="66"/>
      <c r="L57" s="66"/>
    </row>
    <row r="58" spans="1:39" x14ac:dyDescent="0.3">
      <c r="A58" s="173" t="s">
        <v>63</v>
      </c>
      <c r="B58" s="173" t="s">
        <v>63</v>
      </c>
      <c r="C58" s="173" t="s">
        <v>63</v>
      </c>
      <c r="D58" s="173" t="s">
        <v>63</v>
      </c>
      <c r="E58" s="173" t="s">
        <v>63</v>
      </c>
      <c r="F58" s="173" t="s">
        <v>63</v>
      </c>
      <c r="G58" s="173" t="s">
        <v>63</v>
      </c>
      <c r="H58" s="173" t="s">
        <v>63</v>
      </c>
      <c r="I58" s="173" t="s">
        <v>63</v>
      </c>
      <c r="J58" s="173" t="s">
        <v>63</v>
      </c>
      <c r="K58" s="173" t="s">
        <v>63</v>
      </c>
      <c r="L58" s="173" t="s">
        <v>63</v>
      </c>
      <c r="M58" s="173" t="s">
        <v>63</v>
      </c>
      <c r="N58" s="173" t="s">
        <v>63</v>
      </c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 t="s">
        <v>63</v>
      </c>
    </row>
    <row r="59" spans="1:39" x14ac:dyDescent="0.3">
      <c r="H59" s="57"/>
      <c r="J59" s="93"/>
      <c r="L59" s="57"/>
      <c r="N59" s="93"/>
    </row>
    <row r="61" spans="1:39" x14ac:dyDescent="0.3">
      <c r="H61" s="530"/>
      <c r="L61" s="530"/>
      <c r="P61" s="530"/>
      <c r="T61" s="530"/>
      <c r="X61" s="530"/>
      <c r="AB61" s="530"/>
      <c r="AF61" s="530"/>
      <c r="AJ61" s="530"/>
    </row>
    <row r="62" spans="1:39" x14ac:dyDescent="0.3">
      <c r="H62" s="530"/>
      <c r="L62" s="530"/>
      <c r="P62" s="530"/>
      <c r="T62" s="530"/>
      <c r="X62" s="530"/>
      <c r="AB62" s="530"/>
      <c r="AF62" s="530"/>
      <c r="AJ62" s="530"/>
    </row>
    <row r="63" spans="1:39" x14ac:dyDescent="0.3">
      <c r="H63" s="530"/>
    </row>
  </sheetData>
  <mergeCells count="16">
    <mergeCell ref="AI8:AK8"/>
    <mergeCell ref="AI9:AK9"/>
    <mergeCell ref="AA9:AC9"/>
    <mergeCell ref="G9:I9"/>
    <mergeCell ref="O9:Q9"/>
    <mergeCell ref="AE9:AG9"/>
    <mergeCell ref="W9:Y9"/>
    <mergeCell ref="K9:M9"/>
    <mergeCell ref="S9:U9"/>
    <mergeCell ref="G8:I8"/>
    <mergeCell ref="O8:Q8"/>
    <mergeCell ref="AE8:AG8"/>
    <mergeCell ref="K8:M8"/>
    <mergeCell ref="S8:U8"/>
    <mergeCell ref="AA8:AC8"/>
    <mergeCell ref="W8:Y8"/>
  </mergeCells>
  <conditionalFormatting sqref="J8">
    <cfRule type="cellIs" dxfId="75" priority="51" operator="equal">
      <formula>#REF!</formula>
    </cfRule>
    <cfRule type="cellIs" dxfId="74" priority="52" operator="equal">
      <formula>#REF!</formula>
    </cfRule>
    <cfRule type="cellIs" dxfId="73" priority="53" operator="equal">
      <formula>#REF!</formula>
    </cfRule>
    <cfRule type="cellIs" dxfId="72" priority="54" stopIfTrue="1" operator="equal">
      <formula>#REF!</formula>
    </cfRule>
    <cfRule type="cellIs" dxfId="71" priority="55" stopIfTrue="1" operator="equal">
      <formula>#REF!</formula>
    </cfRule>
  </conditionalFormatting>
  <conditionalFormatting sqref="W8">
    <cfRule type="cellIs" dxfId="70" priority="46" operator="equal">
      <formula>#REF!</formula>
    </cfRule>
    <cfRule type="cellIs" dxfId="69" priority="47" operator="equal">
      <formula>#REF!</formula>
    </cfRule>
    <cfRule type="cellIs" dxfId="68" priority="48" operator="equal">
      <formula>#REF!</formula>
    </cfRule>
    <cfRule type="cellIs" dxfId="67" priority="49" stopIfTrue="1" operator="equal">
      <formula>#REF!</formula>
    </cfRule>
    <cfRule type="cellIs" dxfId="66" priority="50" stopIfTrue="1" operator="equal">
      <formula>#REF!</formula>
    </cfRule>
  </conditionalFormatting>
  <conditionalFormatting sqref="AE8">
    <cfRule type="cellIs" dxfId="65" priority="41" operator="equal">
      <formula>#REF!</formula>
    </cfRule>
    <cfRule type="cellIs" dxfId="64" priority="42" operator="equal">
      <formula>#REF!</formula>
    </cfRule>
    <cfRule type="cellIs" dxfId="63" priority="43" operator="equal">
      <formula>#REF!</formula>
    </cfRule>
    <cfRule type="cellIs" dxfId="62" priority="44" stopIfTrue="1" operator="equal">
      <formula>#REF!</formula>
    </cfRule>
    <cfRule type="cellIs" dxfId="61" priority="45" stopIfTrue="1" operator="equal">
      <formula>#REF!</formula>
    </cfRule>
  </conditionalFormatting>
  <conditionalFormatting sqref="G8">
    <cfRule type="cellIs" dxfId="60" priority="31" operator="equal">
      <formula>#REF!</formula>
    </cfRule>
    <cfRule type="cellIs" dxfId="59" priority="32" operator="equal">
      <formula>#REF!</formula>
    </cfRule>
    <cfRule type="cellIs" dxfId="58" priority="33" operator="equal">
      <formula>#REF!</formula>
    </cfRule>
    <cfRule type="cellIs" dxfId="57" priority="34" stopIfTrue="1" operator="equal">
      <formula>#REF!</formula>
    </cfRule>
    <cfRule type="cellIs" dxfId="56" priority="35" stopIfTrue="1" operator="equal">
      <formula>#REF!</formula>
    </cfRule>
  </conditionalFormatting>
  <conditionalFormatting sqref="N8">
    <cfRule type="cellIs" dxfId="55" priority="26" operator="equal">
      <formula>#REF!</formula>
    </cfRule>
    <cfRule type="cellIs" dxfId="54" priority="27" operator="equal">
      <formula>#REF!</formula>
    </cfRule>
    <cfRule type="cellIs" dxfId="53" priority="28" operator="equal">
      <formula>#REF!</formula>
    </cfRule>
    <cfRule type="cellIs" dxfId="52" priority="29" stopIfTrue="1" operator="equal">
      <formula>#REF!</formula>
    </cfRule>
    <cfRule type="cellIs" dxfId="51" priority="30" stopIfTrue="1" operator="equal">
      <formula>#REF!</formula>
    </cfRule>
  </conditionalFormatting>
  <conditionalFormatting sqref="K8">
    <cfRule type="cellIs" dxfId="50" priority="21" operator="equal">
      <formula>#REF!</formula>
    </cfRule>
    <cfRule type="cellIs" dxfId="49" priority="22" operator="equal">
      <formula>#REF!</formula>
    </cfRule>
    <cfRule type="cellIs" dxfId="48" priority="23" operator="equal">
      <formula>#REF!</formula>
    </cfRule>
    <cfRule type="cellIs" dxfId="47" priority="24" stopIfTrue="1" operator="equal">
      <formula>#REF!</formula>
    </cfRule>
    <cfRule type="cellIs" dxfId="46" priority="25" stopIfTrue="1" operator="equal">
      <formula>#REF!</formula>
    </cfRule>
  </conditionalFormatting>
  <conditionalFormatting sqref="S8">
    <cfRule type="cellIs" dxfId="45" priority="16" operator="equal">
      <formula>#REF!</formula>
    </cfRule>
    <cfRule type="cellIs" dxfId="44" priority="17" operator="equal">
      <formula>#REF!</formula>
    </cfRule>
    <cfRule type="cellIs" dxfId="43" priority="18" operator="equal">
      <formula>#REF!</formula>
    </cfRule>
    <cfRule type="cellIs" dxfId="42" priority="19" stopIfTrue="1" operator="equal">
      <formula>#REF!</formula>
    </cfRule>
    <cfRule type="cellIs" dxfId="41" priority="20" stopIfTrue="1" operator="equal">
      <formula>#REF!</formula>
    </cfRule>
  </conditionalFormatting>
  <conditionalFormatting sqref="AI8">
    <cfRule type="cellIs" dxfId="40" priority="11" operator="equal">
      <formula>#REF!</formula>
    </cfRule>
    <cfRule type="cellIs" dxfId="39" priority="12" operator="equal">
      <formula>#REF!</formula>
    </cfRule>
    <cfRule type="cellIs" dxfId="38" priority="13" operator="equal">
      <formula>#REF!</formula>
    </cfRule>
    <cfRule type="cellIs" dxfId="37" priority="14" stopIfTrue="1" operator="equal">
      <formula>#REF!</formula>
    </cfRule>
    <cfRule type="cellIs" dxfId="36" priority="15" stopIfTrue="1" operator="equal">
      <formula>#REF!</formula>
    </cfRule>
  </conditionalFormatting>
  <conditionalFormatting sqref="AA8">
    <cfRule type="cellIs" dxfId="35" priority="6" operator="equal">
      <formula>#REF!</formula>
    </cfRule>
    <cfRule type="cellIs" dxfId="34" priority="7" operator="equal">
      <formula>#REF!</formula>
    </cfRule>
    <cfRule type="cellIs" dxfId="33" priority="8" operator="equal">
      <formula>#REF!</formula>
    </cfRule>
    <cfRule type="cellIs" dxfId="32" priority="9" stopIfTrue="1" operator="equal">
      <formula>#REF!</formula>
    </cfRule>
    <cfRule type="cellIs" dxfId="31" priority="10" stopIfTrue="1" operator="equal">
      <formula>#REF!</formula>
    </cfRule>
  </conditionalFormatting>
  <conditionalFormatting sqref="O8">
    <cfRule type="cellIs" dxfId="30" priority="1" operator="equal">
      <formula>#REF!</formula>
    </cfRule>
    <cfRule type="cellIs" dxfId="29" priority="2" operator="equal">
      <formula>#REF!</formula>
    </cfRule>
    <cfRule type="cellIs" dxfId="28" priority="3" operator="equal">
      <formula>#REF!</formula>
    </cfRule>
    <cfRule type="cellIs" dxfId="27" priority="4" stopIfTrue="1" operator="equal">
      <formula>#REF!</formula>
    </cfRule>
    <cfRule type="cellIs" dxfId="26" priority="5" stopIfTrue="1" operator="equal">
      <formula>#REF!</formula>
    </cfRule>
  </conditionalFormatting>
  <dataValidations disablePrompts="1" count="2">
    <dataValidation type="list" allowBlank="1" showInputMessage="1" showErrorMessage="1" sqref="W14 G14 O14 AE14 K14 S14 AI14 AA14" xr:uid="{E992F1A5-C03A-483D-8B15-06B94316C376}">
      <formula1>"% jaarsalaris EXCL. VU, % jaarsalaris INCL. VU"</formula1>
    </dataValidation>
    <dataValidation type="list" allowBlank="1" showInputMessage="1" showErrorMessage="1" sqref="G8 W8 AE8 J8:K8 N8:O8 S8 AI8 AA8" xr:uid="{55CBD755-C240-49F5-AF7F-B873C8C9A9B0}">
      <formula1>#REF!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B3CF6-B309-4BEC-800A-E36F87C6DB4A}">
  <sheetPr>
    <tabColor theme="9" tint="0.39997558519241921"/>
  </sheetPr>
  <dimension ref="A1:CU71"/>
  <sheetViews>
    <sheetView showGridLines="0" zoomScale="70" zoomScaleNormal="70" workbookViewId="0">
      <pane xSplit="6" ySplit="4" topLeftCell="G5" activePane="bottomRight" state="frozen"/>
      <selection activeCell="K45" sqref="K45"/>
      <selection pane="topRight" activeCell="K45" sqref="K45"/>
      <selection pane="bottomLeft" activeCell="K45" sqref="K45"/>
      <selection pane="bottomRight" activeCell="A14" sqref="A14"/>
    </sheetView>
  </sheetViews>
  <sheetFormatPr defaultColWidth="0" defaultRowHeight="14.4" x14ac:dyDescent="0.3"/>
  <cols>
    <col min="1" max="1" width="1.109375" style="92" customWidth="1"/>
    <col min="2" max="2" width="1.109375" style="109" customWidth="1"/>
    <col min="3" max="3" width="1.109375" style="135" customWidth="1"/>
    <col min="4" max="4" width="1.109375" style="98" customWidth="1"/>
    <col min="5" max="5" width="55.6640625" style="93" customWidth="1"/>
    <col min="6" max="6" width="20.6640625" style="93" customWidth="1"/>
    <col min="7" max="8" width="10.6640625" style="93" customWidth="1"/>
    <col min="9" max="9" width="11.6640625" style="79" customWidth="1"/>
    <col min="10" max="11" width="10.6640625" style="93" customWidth="1"/>
    <col min="12" max="12" width="1.6640625" style="98" customWidth="1"/>
    <col min="13" max="14" width="10.6640625" style="93" customWidth="1"/>
    <col min="15" max="15" width="11.6640625" style="79" customWidth="1"/>
    <col min="16" max="17" width="10.6640625" style="93" customWidth="1"/>
    <col min="18" max="18" width="1.6640625" style="98" customWidth="1"/>
    <col min="19" max="22" width="10.88671875" style="98" customWidth="1"/>
    <col min="23" max="23" width="10.88671875" style="93" customWidth="1"/>
    <col min="24" max="24" width="1.6640625" style="98" customWidth="1"/>
    <col min="25" max="29" width="10.88671875" style="98" customWidth="1"/>
    <col min="30" max="30" width="1.6640625" style="98" customWidth="1"/>
    <col min="31" max="32" width="10.6640625" style="93" customWidth="1"/>
    <col min="33" max="33" width="11.6640625" style="79" customWidth="1"/>
    <col min="34" max="35" width="10.6640625" style="93" customWidth="1"/>
    <col min="36" max="37" width="1.6640625" style="98" customWidth="1"/>
    <col min="38" max="39" width="10.6640625" style="93" customWidth="1"/>
    <col min="40" max="40" width="11.6640625" style="79" customWidth="1"/>
    <col min="41" max="42" width="10.6640625" style="93" customWidth="1"/>
    <col min="43" max="43" width="1.6640625" style="98" customWidth="1"/>
    <col min="44" max="47" width="10.88671875" style="98" customWidth="1"/>
    <col min="48" max="48" width="10.88671875" style="93" customWidth="1"/>
    <col min="49" max="49" width="1.6640625" style="98" customWidth="1"/>
    <col min="50" max="54" width="10.88671875" style="98" customWidth="1"/>
    <col min="55" max="55" width="1.6640625" style="98" customWidth="1"/>
    <col min="56" max="57" width="10.6640625" style="93" customWidth="1"/>
    <col min="58" max="58" width="11.6640625" style="79" customWidth="1"/>
    <col min="59" max="60" width="10.6640625" style="93" customWidth="1"/>
    <col min="61" max="61" width="1.6640625" style="98" customWidth="1"/>
    <col min="62" max="63" width="10.6640625" style="93" customWidth="1"/>
    <col min="64" max="64" width="11.6640625" style="79" customWidth="1"/>
    <col min="65" max="66" width="10.6640625" style="93" customWidth="1"/>
    <col min="67" max="67" width="1.6640625" style="98" customWidth="1"/>
    <col min="68" max="71" width="10.88671875" style="98" customWidth="1"/>
    <col min="72" max="72" width="10.88671875" style="93" customWidth="1"/>
    <col min="73" max="73" width="1.6640625" style="98" customWidth="1"/>
    <col min="74" max="78" width="10.88671875" style="98" customWidth="1"/>
    <col min="79" max="80" width="1.6640625" style="98" customWidth="1"/>
    <col min="81" max="84" width="9.109375" style="93" hidden="1" customWidth="1"/>
    <col min="85" max="86" width="0" style="93" hidden="1" customWidth="1"/>
    <col min="87" max="90" width="9.109375" style="93" hidden="1" customWidth="1"/>
    <col min="91" max="92" width="0" style="93" hidden="1" customWidth="1"/>
    <col min="93" max="96" width="9.109375" style="93" hidden="1" customWidth="1"/>
    <col min="97" max="99" width="0" style="93" hidden="1" customWidth="1"/>
    <col min="100" max="16384" width="9.109375" style="93" hidden="1"/>
  </cols>
  <sheetData>
    <row r="1" spans="1:80" ht="25.8" x14ac:dyDescent="0.5">
      <c r="A1" s="106" t="str">
        <f ca="1">RIGHT(CELL("filename",$A$1),LEN(CELL("filename",$A$1))-SEARCH("]",CELL("filename",$A$1)))</f>
        <v>Wonen - Sociaal beheer</v>
      </c>
    </row>
    <row r="3" spans="1:80" x14ac:dyDescent="0.3">
      <c r="E3" s="183"/>
      <c r="F3" s="183"/>
    </row>
    <row r="4" spans="1:80" s="107" customFormat="1" x14ac:dyDescent="0.3">
      <c r="B4" s="172"/>
      <c r="C4" s="169" t="s">
        <v>6</v>
      </c>
      <c r="D4" s="169"/>
      <c r="E4" s="142"/>
      <c r="F4" s="142" t="s">
        <v>11</v>
      </c>
      <c r="G4" s="50" t="s">
        <v>10</v>
      </c>
      <c r="H4" s="51"/>
      <c r="I4" s="51"/>
      <c r="J4" s="51"/>
      <c r="K4" s="52"/>
      <c r="L4" s="53"/>
      <c r="M4" s="50" t="s">
        <v>10</v>
      </c>
      <c r="N4" s="51"/>
      <c r="O4" s="51"/>
      <c r="P4" s="51"/>
      <c r="Q4" s="52"/>
      <c r="R4" s="53"/>
      <c r="S4" s="50" t="s">
        <v>10</v>
      </c>
      <c r="T4" s="51"/>
      <c r="U4" s="51"/>
      <c r="V4" s="51"/>
      <c r="W4" s="52"/>
      <c r="X4" s="53"/>
      <c r="Y4" s="50" t="s">
        <v>10</v>
      </c>
      <c r="Z4" s="51"/>
      <c r="AA4" s="51"/>
      <c r="AB4" s="51"/>
      <c r="AC4" s="52"/>
      <c r="AD4" s="53"/>
      <c r="AE4" s="50" t="s">
        <v>10</v>
      </c>
      <c r="AF4" s="51"/>
      <c r="AG4" s="51"/>
      <c r="AH4" s="51"/>
      <c r="AI4" s="52"/>
      <c r="AJ4" s="53"/>
      <c r="AK4" s="53"/>
      <c r="AL4" s="50" t="s">
        <v>10</v>
      </c>
      <c r="AM4" s="51"/>
      <c r="AN4" s="51"/>
      <c r="AO4" s="51"/>
      <c r="AP4" s="52"/>
      <c r="AQ4" s="53"/>
      <c r="AR4" s="50" t="s">
        <v>10</v>
      </c>
      <c r="AS4" s="51"/>
      <c r="AT4" s="51"/>
      <c r="AU4" s="51"/>
      <c r="AV4" s="52"/>
      <c r="AW4" s="53"/>
      <c r="AX4" s="50" t="s">
        <v>10</v>
      </c>
      <c r="AY4" s="51"/>
      <c r="AZ4" s="51"/>
      <c r="BA4" s="51"/>
      <c r="BB4" s="52"/>
      <c r="BC4" s="53"/>
      <c r="BD4" s="50" t="s">
        <v>10</v>
      </c>
      <c r="BE4" s="51"/>
      <c r="BF4" s="51"/>
      <c r="BG4" s="51"/>
      <c r="BH4" s="52"/>
      <c r="BI4" s="53"/>
      <c r="BJ4" s="50" t="s">
        <v>10</v>
      </c>
      <c r="BK4" s="51"/>
      <c r="BL4" s="51"/>
      <c r="BM4" s="51"/>
      <c r="BN4" s="52"/>
      <c r="BO4" s="53"/>
      <c r="BP4" s="50" t="s">
        <v>10</v>
      </c>
      <c r="BQ4" s="51"/>
      <c r="BR4" s="51"/>
      <c r="BS4" s="51"/>
      <c r="BT4" s="52"/>
      <c r="BU4" s="53"/>
      <c r="BV4" s="50" t="s">
        <v>10</v>
      </c>
      <c r="BW4" s="51"/>
      <c r="BX4" s="51"/>
      <c r="BY4" s="51"/>
      <c r="BZ4" s="52"/>
      <c r="CA4" s="53"/>
      <c r="CB4" s="53"/>
    </row>
    <row r="5" spans="1:80" s="99" customFormat="1" x14ac:dyDescent="0.3">
      <c r="A5" s="108"/>
      <c r="B5" s="148"/>
      <c r="C5" s="149"/>
      <c r="D5" s="101"/>
      <c r="E5" s="96"/>
      <c r="F5" s="145"/>
      <c r="G5" s="115"/>
      <c r="H5" s="13"/>
      <c r="I5" s="13"/>
      <c r="J5" s="13"/>
      <c r="K5" s="125"/>
      <c r="L5" s="101"/>
      <c r="M5" s="115"/>
      <c r="N5" s="13"/>
      <c r="O5" s="13"/>
      <c r="P5" s="13"/>
      <c r="Q5" s="125"/>
      <c r="R5" s="101"/>
      <c r="S5" s="115"/>
      <c r="T5" s="13"/>
      <c r="U5" s="13"/>
      <c r="V5" s="13"/>
      <c r="W5" s="125"/>
      <c r="X5" s="101"/>
      <c r="Y5" s="115"/>
      <c r="Z5" s="13"/>
      <c r="AA5" s="13"/>
      <c r="AB5" s="13"/>
      <c r="AC5" s="125"/>
      <c r="AD5" s="101"/>
      <c r="AE5" s="115"/>
      <c r="AF5" s="13"/>
      <c r="AG5" s="13"/>
      <c r="AH5" s="13"/>
      <c r="AI5" s="125"/>
      <c r="AJ5" s="101"/>
      <c r="AK5" s="101"/>
      <c r="AL5" s="115"/>
      <c r="AM5" s="13"/>
      <c r="AN5" s="13"/>
      <c r="AO5" s="13"/>
      <c r="AP5" s="125"/>
      <c r="AQ5" s="101"/>
      <c r="AR5" s="115"/>
      <c r="AS5" s="13"/>
      <c r="AT5" s="13"/>
      <c r="AU5" s="13"/>
      <c r="AV5" s="125"/>
      <c r="AW5" s="101"/>
      <c r="AX5" s="115"/>
      <c r="AY5" s="13"/>
      <c r="AZ5" s="13"/>
      <c r="BA5" s="13"/>
      <c r="BB5" s="125"/>
      <c r="BC5" s="101"/>
      <c r="BD5" s="115"/>
      <c r="BE5" s="13"/>
      <c r="BF5" s="13"/>
      <c r="BG5" s="13"/>
      <c r="BH5" s="125"/>
      <c r="BI5" s="101"/>
      <c r="BJ5" s="115"/>
      <c r="BK5" s="13"/>
      <c r="BL5" s="13"/>
      <c r="BM5" s="13"/>
      <c r="BN5" s="125"/>
      <c r="BO5" s="101"/>
      <c r="BP5" s="115"/>
      <c r="BQ5" s="13"/>
      <c r="BR5" s="13"/>
      <c r="BS5" s="13"/>
      <c r="BT5" s="125"/>
      <c r="BU5" s="101"/>
      <c r="BV5" s="115"/>
      <c r="BW5" s="13"/>
      <c r="BX5" s="13"/>
      <c r="BY5" s="13"/>
      <c r="BZ5" s="125"/>
      <c r="CA5" s="101"/>
      <c r="CB5" s="101"/>
    </row>
    <row r="6" spans="1:80" s="99" customFormat="1" x14ac:dyDescent="0.3">
      <c r="A6" s="108"/>
      <c r="B6" s="148"/>
      <c r="C6" s="149"/>
      <c r="D6" s="110" t="s">
        <v>39</v>
      </c>
      <c r="E6" s="96"/>
      <c r="F6" s="145"/>
      <c r="G6" s="115"/>
      <c r="H6" s="13"/>
      <c r="I6" s="13"/>
      <c r="J6" s="13"/>
      <c r="K6" s="125"/>
      <c r="L6" s="101"/>
      <c r="M6" s="115"/>
      <c r="N6" s="13"/>
      <c r="O6" s="13"/>
      <c r="P6" s="13"/>
      <c r="Q6" s="125"/>
      <c r="R6" s="101"/>
      <c r="S6" s="115"/>
      <c r="T6" s="13"/>
      <c r="U6" s="13"/>
      <c r="V6" s="13"/>
      <c r="W6" s="125"/>
      <c r="X6" s="101"/>
      <c r="Y6" s="115"/>
      <c r="Z6" s="13"/>
      <c r="AA6" s="13"/>
      <c r="AB6" s="13"/>
      <c r="AC6" s="125"/>
      <c r="AD6" s="101"/>
      <c r="AE6" s="115"/>
      <c r="AF6" s="13"/>
      <c r="AG6" s="13"/>
      <c r="AH6" s="13"/>
      <c r="AI6" s="125"/>
      <c r="AJ6" s="101"/>
      <c r="AK6" s="101"/>
      <c r="AL6" s="115"/>
      <c r="AM6" s="13"/>
      <c r="AN6" s="13"/>
      <c r="AO6" s="13"/>
      <c r="AP6" s="125"/>
      <c r="AQ6" s="101"/>
      <c r="AR6" s="115"/>
      <c r="AS6" s="13"/>
      <c r="AT6" s="13"/>
      <c r="AU6" s="13"/>
      <c r="AV6" s="125"/>
      <c r="AW6" s="101"/>
      <c r="AX6" s="115"/>
      <c r="AY6" s="13"/>
      <c r="AZ6" s="13"/>
      <c r="BA6" s="13"/>
      <c r="BB6" s="125"/>
      <c r="BC6" s="101"/>
      <c r="BD6" s="115"/>
      <c r="BE6" s="13"/>
      <c r="BF6" s="13"/>
      <c r="BG6" s="13"/>
      <c r="BH6" s="125"/>
      <c r="BI6" s="101"/>
      <c r="BJ6" s="115"/>
      <c r="BK6" s="13"/>
      <c r="BL6" s="13"/>
      <c r="BM6" s="13"/>
      <c r="BN6" s="125"/>
      <c r="BO6" s="101"/>
      <c r="BP6" s="115"/>
      <c r="BQ6" s="13"/>
      <c r="BR6" s="13"/>
      <c r="BS6" s="13"/>
      <c r="BT6" s="125"/>
      <c r="BU6" s="101"/>
      <c r="BV6" s="115"/>
      <c r="BW6" s="13"/>
      <c r="BX6" s="13"/>
      <c r="BY6" s="13"/>
      <c r="BZ6" s="125"/>
      <c r="CA6" s="101"/>
      <c r="CB6" s="101"/>
    </row>
    <row r="7" spans="1:80" s="90" customFormat="1" x14ac:dyDescent="0.3">
      <c r="A7" s="89"/>
      <c r="B7" s="134"/>
      <c r="C7" s="167"/>
      <c r="D7" s="84"/>
      <c r="E7" s="90" t="s">
        <v>69</v>
      </c>
      <c r="F7" s="90" t="s">
        <v>12</v>
      </c>
      <c r="G7" s="85" t="s">
        <v>53</v>
      </c>
      <c r="H7" s="86"/>
      <c r="I7" s="86"/>
      <c r="J7" s="86"/>
      <c r="K7" s="87"/>
      <c r="L7" s="84"/>
      <c r="M7" s="85" t="s">
        <v>53</v>
      </c>
      <c r="N7" s="86"/>
      <c r="O7" s="86"/>
      <c r="P7" s="86"/>
      <c r="Q7" s="87"/>
      <c r="R7" s="84"/>
      <c r="S7" s="85" t="s">
        <v>53</v>
      </c>
      <c r="T7" s="86"/>
      <c r="U7" s="86"/>
      <c r="V7" s="86"/>
      <c r="W7" s="87"/>
      <c r="X7" s="84"/>
      <c r="Y7" s="85" t="s">
        <v>53</v>
      </c>
      <c r="Z7" s="88"/>
      <c r="AA7" s="88"/>
      <c r="AB7" s="86"/>
      <c r="AC7" s="87"/>
      <c r="AD7" s="84"/>
      <c r="AE7" s="85" t="s">
        <v>53</v>
      </c>
      <c r="AF7" s="86"/>
      <c r="AG7" s="86"/>
      <c r="AH7" s="86"/>
      <c r="AI7" s="87"/>
      <c r="AJ7" s="84"/>
      <c r="AK7" s="84"/>
      <c r="AL7" s="85" t="s">
        <v>53</v>
      </c>
      <c r="AM7" s="86"/>
      <c r="AN7" s="86"/>
      <c r="AO7" s="86"/>
      <c r="AP7" s="87"/>
      <c r="AQ7" s="84"/>
      <c r="AR7" s="85" t="s">
        <v>53</v>
      </c>
      <c r="AS7" s="86"/>
      <c r="AT7" s="86"/>
      <c r="AU7" s="86"/>
      <c r="AV7" s="87"/>
      <c r="AW7" s="84"/>
      <c r="AX7" s="85" t="s">
        <v>53</v>
      </c>
      <c r="AY7" s="88"/>
      <c r="AZ7" s="88"/>
      <c r="BA7" s="86"/>
      <c r="BB7" s="87"/>
      <c r="BC7" s="84"/>
      <c r="BD7" s="85" t="s">
        <v>53</v>
      </c>
      <c r="BE7" s="86"/>
      <c r="BF7" s="86"/>
      <c r="BG7" s="86"/>
      <c r="BH7" s="87"/>
      <c r="BI7" s="84"/>
      <c r="BJ7" s="85" t="s">
        <v>53</v>
      </c>
      <c r="BK7" s="86"/>
      <c r="BL7" s="86"/>
      <c r="BM7" s="86"/>
      <c r="BN7" s="87"/>
      <c r="BO7" s="84"/>
      <c r="BP7" s="85" t="s">
        <v>53</v>
      </c>
      <c r="BQ7" s="86"/>
      <c r="BR7" s="86"/>
      <c r="BS7" s="86"/>
      <c r="BT7" s="87"/>
      <c r="BU7" s="84"/>
      <c r="BV7" s="85" t="s">
        <v>53</v>
      </c>
      <c r="BW7" s="88"/>
      <c r="BX7" s="88"/>
      <c r="BY7" s="86"/>
      <c r="BZ7" s="87"/>
      <c r="CA7" s="84"/>
      <c r="CB7" s="84"/>
    </row>
    <row r="8" spans="1:80" s="90" customFormat="1" x14ac:dyDescent="0.3">
      <c r="A8" s="89"/>
      <c r="B8" s="134"/>
      <c r="C8" s="167"/>
      <c r="D8" s="84"/>
      <c r="E8" s="90" t="s">
        <v>81</v>
      </c>
      <c r="F8" s="90" t="s">
        <v>70</v>
      </c>
      <c r="G8" s="585" t="s">
        <v>99</v>
      </c>
      <c r="H8" s="583"/>
      <c r="I8" s="583"/>
      <c r="J8" s="583"/>
      <c r="K8" s="584"/>
      <c r="L8" s="84"/>
      <c r="M8" s="585" t="s">
        <v>99</v>
      </c>
      <c r="N8" s="583"/>
      <c r="O8" s="583"/>
      <c r="P8" s="583"/>
      <c r="Q8" s="584"/>
      <c r="R8" s="84"/>
      <c r="S8" s="585" t="s">
        <v>99</v>
      </c>
      <c r="T8" s="583"/>
      <c r="U8" s="583"/>
      <c r="V8" s="583"/>
      <c r="W8" s="584"/>
      <c r="X8" s="84"/>
      <c r="Y8" s="585" t="s">
        <v>99</v>
      </c>
      <c r="Z8" s="583"/>
      <c r="AA8" s="583"/>
      <c r="AB8" s="583"/>
      <c r="AC8" s="584"/>
      <c r="AD8" s="84"/>
      <c r="AE8" s="585" t="s">
        <v>99</v>
      </c>
      <c r="AF8" s="583"/>
      <c r="AG8" s="583"/>
      <c r="AH8" s="583"/>
      <c r="AI8" s="584"/>
      <c r="AJ8" s="84"/>
      <c r="AK8" s="84"/>
      <c r="AL8" s="585" t="s">
        <v>99</v>
      </c>
      <c r="AM8" s="583"/>
      <c r="AN8" s="583"/>
      <c r="AO8" s="583"/>
      <c r="AP8" s="584"/>
      <c r="AQ8" s="84"/>
      <c r="AR8" s="585" t="s">
        <v>99</v>
      </c>
      <c r="AS8" s="583"/>
      <c r="AT8" s="583"/>
      <c r="AU8" s="583"/>
      <c r="AV8" s="584"/>
      <c r="AW8" s="84"/>
      <c r="AX8" s="585" t="s">
        <v>99</v>
      </c>
      <c r="AY8" s="583"/>
      <c r="AZ8" s="583"/>
      <c r="BA8" s="583"/>
      <c r="BB8" s="584"/>
      <c r="BC8" s="84"/>
      <c r="BD8" s="585" t="s">
        <v>99</v>
      </c>
      <c r="BE8" s="583"/>
      <c r="BF8" s="583"/>
      <c r="BG8" s="583"/>
      <c r="BH8" s="584"/>
      <c r="BI8" s="84"/>
      <c r="BJ8" s="585" t="s">
        <v>99</v>
      </c>
      <c r="BK8" s="583"/>
      <c r="BL8" s="583"/>
      <c r="BM8" s="583"/>
      <c r="BN8" s="584"/>
      <c r="BO8" s="84"/>
      <c r="BP8" s="585" t="s">
        <v>99</v>
      </c>
      <c r="BQ8" s="583"/>
      <c r="BR8" s="583"/>
      <c r="BS8" s="583"/>
      <c r="BT8" s="584"/>
      <c r="BU8" s="84"/>
      <c r="BV8" s="585" t="s">
        <v>99</v>
      </c>
      <c r="BW8" s="583"/>
      <c r="BX8" s="583"/>
      <c r="BY8" s="583"/>
      <c r="BZ8" s="584"/>
      <c r="CA8" s="84"/>
      <c r="CB8" s="84"/>
    </row>
    <row r="9" spans="1:80" s="90" customFormat="1" x14ac:dyDescent="0.3">
      <c r="A9" s="89"/>
      <c r="B9" s="134"/>
      <c r="C9" s="167"/>
      <c r="D9" s="84"/>
      <c r="E9" s="90" t="s">
        <v>87</v>
      </c>
      <c r="F9" s="90" t="s">
        <v>70</v>
      </c>
      <c r="G9" s="585" t="s">
        <v>50</v>
      </c>
      <c r="H9" s="583"/>
      <c r="I9" s="583"/>
      <c r="J9" s="583"/>
      <c r="K9" s="584"/>
      <c r="L9" s="84"/>
      <c r="M9" s="585" t="s">
        <v>50</v>
      </c>
      <c r="N9" s="583"/>
      <c r="O9" s="583"/>
      <c r="P9" s="583"/>
      <c r="Q9" s="584"/>
      <c r="R9" s="84"/>
      <c r="S9" s="585" t="s">
        <v>50</v>
      </c>
      <c r="T9" s="583"/>
      <c r="U9" s="583"/>
      <c r="V9" s="583"/>
      <c r="W9" s="584"/>
      <c r="X9" s="84"/>
      <c r="Y9" s="585" t="s">
        <v>50</v>
      </c>
      <c r="Z9" s="583"/>
      <c r="AA9" s="583"/>
      <c r="AB9" s="583"/>
      <c r="AC9" s="584"/>
      <c r="AD9" s="84"/>
      <c r="AE9" s="585" t="s">
        <v>223</v>
      </c>
      <c r="AF9" s="583"/>
      <c r="AG9" s="583"/>
      <c r="AH9" s="583"/>
      <c r="AI9" s="584"/>
      <c r="AJ9" s="84"/>
      <c r="AK9" s="84"/>
      <c r="AL9" s="585" t="s">
        <v>223</v>
      </c>
      <c r="AM9" s="583"/>
      <c r="AN9" s="583"/>
      <c r="AO9" s="583"/>
      <c r="AP9" s="584"/>
      <c r="AQ9" s="84"/>
      <c r="AR9" s="585" t="s">
        <v>223</v>
      </c>
      <c r="AS9" s="583"/>
      <c r="AT9" s="583"/>
      <c r="AU9" s="583"/>
      <c r="AV9" s="584"/>
      <c r="AW9" s="84"/>
      <c r="AX9" s="585" t="s">
        <v>223</v>
      </c>
      <c r="AY9" s="583"/>
      <c r="AZ9" s="583"/>
      <c r="BA9" s="583"/>
      <c r="BB9" s="584"/>
      <c r="BC9" s="84"/>
      <c r="BD9" s="585" t="s">
        <v>224</v>
      </c>
      <c r="BE9" s="583"/>
      <c r="BF9" s="583"/>
      <c r="BG9" s="583"/>
      <c r="BH9" s="584"/>
      <c r="BI9" s="84"/>
      <c r="BJ9" s="585" t="s">
        <v>224</v>
      </c>
      <c r="BK9" s="583"/>
      <c r="BL9" s="583"/>
      <c r="BM9" s="583"/>
      <c r="BN9" s="584"/>
      <c r="BO9" s="84"/>
      <c r="BP9" s="585" t="s">
        <v>224</v>
      </c>
      <c r="BQ9" s="583"/>
      <c r="BR9" s="583"/>
      <c r="BS9" s="583"/>
      <c r="BT9" s="584"/>
      <c r="BU9" s="84"/>
      <c r="BV9" s="585" t="s">
        <v>224</v>
      </c>
      <c r="BW9" s="583"/>
      <c r="BX9" s="583"/>
      <c r="BY9" s="583"/>
      <c r="BZ9" s="584"/>
      <c r="CA9" s="84"/>
      <c r="CB9" s="84"/>
    </row>
    <row r="10" spans="1:80" s="91" customFormat="1" ht="14.4" customHeight="1" x14ac:dyDescent="0.3">
      <c r="A10" s="89"/>
      <c r="B10" s="134"/>
      <c r="C10" s="167"/>
      <c r="D10" s="168"/>
      <c r="E10" s="91" t="s">
        <v>40</v>
      </c>
      <c r="F10" s="90" t="s">
        <v>12</v>
      </c>
      <c r="G10" s="592" t="s">
        <v>227</v>
      </c>
      <c r="H10" s="593"/>
      <c r="I10" s="593"/>
      <c r="J10" s="593"/>
      <c r="K10" s="594"/>
      <c r="L10" s="168"/>
      <c r="M10" s="592" t="s">
        <v>228</v>
      </c>
      <c r="N10" s="593"/>
      <c r="O10" s="593"/>
      <c r="P10" s="593"/>
      <c r="Q10" s="594"/>
      <c r="R10" s="168"/>
      <c r="S10" s="592" t="s">
        <v>229</v>
      </c>
      <c r="T10" s="593"/>
      <c r="U10" s="593"/>
      <c r="V10" s="593"/>
      <c r="W10" s="594"/>
      <c r="X10" s="168"/>
      <c r="Y10" s="592" t="s">
        <v>230</v>
      </c>
      <c r="Z10" s="593"/>
      <c r="AA10" s="593"/>
      <c r="AB10" s="593"/>
      <c r="AC10" s="594"/>
      <c r="AD10" s="168"/>
      <c r="AE10" s="592" t="s">
        <v>144</v>
      </c>
      <c r="AF10" s="593"/>
      <c r="AG10" s="593"/>
      <c r="AH10" s="593"/>
      <c r="AI10" s="594"/>
      <c r="AJ10" s="168"/>
      <c r="AK10" s="168"/>
      <c r="AL10" s="592" t="s">
        <v>146</v>
      </c>
      <c r="AM10" s="593"/>
      <c r="AN10" s="593"/>
      <c r="AO10" s="593"/>
      <c r="AP10" s="594"/>
      <c r="AQ10" s="168"/>
      <c r="AR10" s="592" t="s">
        <v>145</v>
      </c>
      <c r="AS10" s="593"/>
      <c r="AT10" s="593"/>
      <c r="AU10" s="593"/>
      <c r="AV10" s="594"/>
      <c r="AW10" s="168"/>
      <c r="AX10" s="592" t="s">
        <v>181</v>
      </c>
      <c r="AY10" s="593"/>
      <c r="AZ10" s="593"/>
      <c r="BA10" s="593"/>
      <c r="BB10" s="594"/>
      <c r="BC10" s="168"/>
      <c r="BD10" s="592" t="s">
        <v>121</v>
      </c>
      <c r="BE10" s="593"/>
      <c r="BF10" s="593"/>
      <c r="BG10" s="593"/>
      <c r="BH10" s="594"/>
      <c r="BI10" s="168"/>
      <c r="BJ10" s="592" t="s">
        <v>120</v>
      </c>
      <c r="BK10" s="593"/>
      <c r="BL10" s="593"/>
      <c r="BM10" s="593"/>
      <c r="BN10" s="594"/>
      <c r="BO10" s="168"/>
      <c r="BP10" s="592" t="s">
        <v>226</v>
      </c>
      <c r="BQ10" s="593"/>
      <c r="BR10" s="593"/>
      <c r="BS10" s="593"/>
      <c r="BT10" s="594"/>
      <c r="BU10" s="168"/>
      <c r="BV10" s="592" t="s">
        <v>180</v>
      </c>
      <c r="BW10" s="593"/>
      <c r="BX10" s="593"/>
      <c r="BY10" s="593"/>
      <c r="BZ10" s="594"/>
      <c r="CA10" s="168"/>
      <c r="CB10" s="168"/>
    </row>
    <row r="11" spans="1:80" s="99" customFormat="1" ht="6" customHeight="1" x14ac:dyDescent="0.3">
      <c r="A11" s="108"/>
      <c r="B11" s="148"/>
      <c r="C11" s="149"/>
      <c r="D11" s="101"/>
      <c r="E11" s="96"/>
      <c r="F11" s="145"/>
      <c r="G11" s="115"/>
      <c r="H11" s="13"/>
      <c r="I11" s="13"/>
      <c r="J11" s="13"/>
      <c r="K11" s="125"/>
      <c r="L11" s="101"/>
      <c r="M11" s="115"/>
      <c r="N11" s="13"/>
      <c r="O11" s="13"/>
      <c r="P11" s="13"/>
      <c r="Q11" s="125"/>
      <c r="R11" s="101"/>
      <c r="S11" s="115"/>
      <c r="T11" s="13"/>
      <c r="U11" s="13"/>
      <c r="V11" s="13"/>
      <c r="W11" s="125"/>
      <c r="X11" s="101"/>
      <c r="Y11" s="115"/>
      <c r="Z11" s="13"/>
      <c r="AA11" s="13"/>
      <c r="AB11" s="13"/>
      <c r="AC11" s="125"/>
      <c r="AD11" s="101"/>
      <c r="AE11" s="115"/>
      <c r="AF11" s="13"/>
      <c r="AG11" s="13"/>
      <c r="AH11" s="13"/>
      <c r="AI11" s="125"/>
      <c r="AJ11" s="101"/>
      <c r="AK11" s="101"/>
      <c r="AL11" s="115"/>
      <c r="AM11" s="13"/>
      <c r="AN11" s="13"/>
      <c r="AO11" s="13"/>
      <c r="AP11" s="125"/>
      <c r="AQ11" s="101"/>
      <c r="AR11" s="115"/>
      <c r="AS11" s="13"/>
      <c r="AT11" s="13"/>
      <c r="AU11" s="13"/>
      <c r="AV11" s="125"/>
      <c r="AW11" s="101"/>
      <c r="AX11" s="115"/>
      <c r="AY11" s="13"/>
      <c r="AZ11" s="13"/>
      <c r="BA11" s="13"/>
      <c r="BB11" s="125"/>
      <c r="BC11" s="101"/>
      <c r="BD11" s="115"/>
      <c r="BE11" s="13"/>
      <c r="BF11" s="13"/>
      <c r="BG11" s="13"/>
      <c r="BH11" s="125"/>
      <c r="BI11" s="101"/>
      <c r="BJ11" s="115"/>
      <c r="BK11" s="13"/>
      <c r="BL11" s="13"/>
      <c r="BM11" s="13"/>
      <c r="BN11" s="125"/>
      <c r="BO11" s="101"/>
      <c r="BP11" s="115"/>
      <c r="BQ11" s="13"/>
      <c r="BR11" s="13"/>
      <c r="BS11" s="13"/>
      <c r="BT11" s="125"/>
      <c r="BU11" s="101"/>
      <c r="BV11" s="115"/>
      <c r="BW11" s="13"/>
      <c r="BX11" s="13"/>
      <c r="BY11" s="13"/>
      <c r="BZ11" s="125"/>
      <c r="CA11" s="101"/>
      <c r="CB11" s="101"/>
    </row>
    <row r="12" spans="1:80" s="94" customFormat="1" x14ac:dyDescent="0.3">
      <c r="A12" s="107"/>
      <c r="B12" s="147"/>
      <c r="C12" s="135"/>
      <c r="D12" s="98"/>
      <c r="E12" s="91" t="s">
        <v>7</v>
      </c>
      <c r="F12" s="127" t="s">
        <v>12</v>
      </c>
      <c r="G12" s="111" t="s">
        <v>92</v>
      </c>
      <c r="H12" s="116" t="s">
        <v>92</v>
      </c>
      <c r="I12" s="116" t="s">
        <v>92</v>
      </c>
      <c r="J12" s="116" t="s">
        <v>92</v>
      </c>
      <c r="K12" s="116" t="s">
        <v>92</v>
      </c>
      <c r="L12" s="98"/>
      <c r="M12" s="111" t="s">
        <v>95</v>
      </c>
      <c r="N12" s="116" t="s">
        <v>95</v>
      </c>
      <c r="O12" s="116" t="s">
        <v>95</v>
      </c>
      <c r="P12" s="116" t="s">
        <v>95</v>
      </c>
      <c r="Q12" s="116" t="s">
        <v>95</v>
      </c>
      <c r="R12" s="98"/>
      <c r="S12" s="111" t="s">
        <v>93</v>
      </c>
      <c r="T12" s="116" t="s">
        <v>93</v>
      </c>
      <c r="U12" s="116" t="s">
        <v>93</v>
      </c>
      <c r="V12" s="116" t="s">
        <v>93</v>
      </c>
      <c r="W12" s="117"/>
      <c r="X12" s="98"/>
      <c r="Y12" s="213" t="s">
        <v>136</v>
      </c>
      <c r="Z12" s="214" t="s">
        <v>136</v>
      </c>
      <c r="AA12" s="214" t="s">
        <v>136</v>
      </c>
      <c r="AB12" s="214" t="s">
        <v>136</v>
      </c>
      <c r="AC12" s="215" t="s">
        <v>136</v>
      </c>
      <c r="AD12" s="98"/>
      <c r="AE12" s="111" t="s">
        <v>92</v>
      </c>
      <c r="AF12" s="116" t="s">
        <v>92</v>
      </c>
      <c r="AG12" s="116" t="s">
        <v>92</v>
      </c>
      <c r="AH12" s="116" t="s">
        <v>92</v>
      </c>
      <c r="AI12" s="116" t="s">
        <v>92</v>
      </c>
      <c r="AJ12" s="98"/>
      <c r="AK12" s="98"/>
      <c r="AL12" s="111" t="s">
        <v>95</v>
      </c>
      <c r="AM12" s="116" t="s">
        <v>95</v>
      </c>
      <c r="AN12" s="116" t="s">
        <v>95</v>
      </c>
      <c r="AO12" s="116" t="s">
        <v>95</v>
      </c>
      <c r="AP12" s="116" t="s">
        <v>95</v>
      </c>
      <c r="AQ12" s="98"/>
      <c r="AR12" s="111" t="s">
        <v>93</v>
      </c>
      <c r="AS12" s="116" t="s">
        <v>93</v>
      </c>
      <c r="AT12" s="116" t="s">
        <v>93</v>
      </c>
      <c r="AU12" s="116" t="s">
        <v>93</v>
      </c>
      <c r="AV12" s="117"/>
      <c r="AW12" s="98"/>
      <c r="AX12" s="213" t="s">
        <v>136</v>
      </c>
      <c r="AY12" s="214" t="s">
        <v>136</v>
      </c>
      <c r="AZ12" s="214" t="s">
        <v>136</v>
      </c>
      <c r="BA12" s="214" t="s">
        <v>136</v>
      </c>
      <c r="BB12" s="215" t="s">
        <v>136</v>
      </c>
      <c r="BC12" s="98"/>
      <c r="BD12" s="111" t="s">
        <v>92</v>
      </c>
      <c r="BE12" s="116" t="s">
        <v>92</v>
      </c>
      <c r="BF12" s="116" t="s">
        <v>92</v>
      </c>
      <c r="BG12" s="116" t="s">
        <v>92</v>
      </c>
      <c r="BH12" s="116" t="s">
        <v>92</v>
      </c>
      <c r="BI12" s="98"/>
      <c r="BJ12" s="111" t="s">
        <v>95</v>
      </c>
      <c r="BK12" s="116" t="s">
        <v>95</v>
      </c>
      <c r="BL12" s="116" t="s">
        <v>95</v>
      </c>
      <c r="BM12" s="116" t="s">
        <v>95</v>
      </c>
      <c r="BN12" s="116" t="s">
        <v>95</v>
      </c>
      <c r="BO12" s="98"/>
      <c r="BP12" s="111" t="s">
        <v>93</v>
      </c>
      <c r="BQ12" s="116" t="s">
        <v>93</v>
      </c>
      <c r="BR12" s="116" t="s">
        <v>93</v>
      </c>
      <c r="BS12" s="116" t="s">
        <v>93</v>
      </c>
      <c r="BT12" s="117"/>
      <c r="BU12" s="98"/>
      <c r="BV12" s="213" t="s">
        <v>136</v>
      </c>
      <c r="BW12" s="214" t="s">
        <v>136</v>
      </c>
      <c r="BX12" s="214" t="s">
        <v>136</v>
      </c>
      <c r="BY12" s="214" t="s">
        <v>136</v>
      </c>
      <c r="BZ12" s="215" t="s">
        <v>136</v>
      </c>
      <c r="CA12" s="98"/>
      <c r="CB12" s="98"/>
    </row>
    <row r="13" spans="1:80" s="94" customFormat="1" x14ac:dyDescent="0.3">
      <c r="A13" s="107"/>
      <c r="B13" s="147"/>
      <c r="C13" s="135"/>
      <c r="D13" s="98"/>
      <c r="E13" s="96" t="s">
        <v>8</v>
      </c>
      <c r="F13" s="127" t="s">
        <v>13</v>
      </c>
      <c r="G13" s="111">
        <v>30</v>
      </c>
      <c r="H13" s="116">
        <v>35</v>
      </c>
      <c r="I13" s="116">
        <v>40</v>
      </c>
      <c r="J13" s="116">
        <v>45</v>
      </c>
      <c r="K13" s="117">
        <v>60</v>
      </c>
      <c r="L13" s="98"/>
      <c r="M13" s="111">
        <v>4</v>
      </c>
      <c r="N13" s="116">
        <v>5</v>
      </c>
      <c r="O13" s="116">
        <v>6</v>
      </c>
      <c r="P13" s="116">
        <v>7</v>
      </c>
      <c r="Q13" s="117">
        <v>10</v>
      </c>
      <c r="R13" s="98"/>
      <c r="S13" s="111">
        <v>30</v>
      </c>
      <c r="T13" s="116">
        <v>35</v>
      </c>
      <c r="U13" s="116">
        <v>40</v>
      </c>
      <c r="V13" s="116">
        <v>60</v>
      </c>
      <c r="W13" s="117"/>
      <c r="X13" s="98"/>
      <c r="Y13" s="308">
        <v>4</v>
      </c>
      <c r="Z13" s="309">
        <v>5</v>
      </c>
      <c r="AA13" s="309">
        <v>6</v>
      </c>
      <c r="AB13" s="309">
        <v>7</v>
      </c>
      <c r="AC13" s="310">
        <v>11</v>
      </c>
      <c r="AD13" s="98"/>
      <c r="AE13" s="111">
        <v>30</v>
      </c>
      <c r="AF13" s="116">
        <v>35</v>
      </c>
      <c r="AG13" s="116">
        <v>40</v>
      </c>
      <c r="AH13" s="116">
        <v>45</v>
      </c>
      <c r="AI13" s="117">
        <v>60</v>
      </c>
      <c r="AJ13" s="98"/>
      <c r="AK13" s="98"/>
      <c r="AL13" s="111">
        <v>4</v>
      </c>
      <c r="AM13" s="116">
        <v>5</v>
      </c>
      <c r="AN13" s="116">
        <v>6</v>
      </c>
      <c r="AO13" s="116">
        <v>7</v>
      </c>
      <c r="AP13" s="117">
        <v>10</v>
      </c>
      <c r="AQ13" s="98"/>
      <c r="AR13" s="111">
        <v>30</v>
      </c>
      <c r="AS13" s="116">
        <v>35</v>
      </c>
      <c r="AT13" s="116">
        <v>40</v>
      </c>
      <c r="AU13" s="116">
        <v>60</v>
      </c>
      <c r="AV13" s="117"/>
      <c r="AW13" s="98"/>
      <c r="AX13" s="308">
        <v>4</v>
      </c>
      <c r="AY13" s="309">
        <v>5</v>
      </c>
      <c r="AZ13" s="309">
        <v>6</v>
      </c>
      <c r="BA13" s="309">
        <v>7</v>
      </c>
      <c r="BB13" s="310">
        <v>11</v>
      </c>
      <c r="BC13" s="98"/>
      <c r="BD13" s="111">
        <v>30</v>
      </c>
      <c r="BE13" s="116">
        <v>35</v>
      </c>
      <c r="BF13" s="116">
        <v>40</v>
      </c>
      <c r="BG13" s="116">
        <v>45</v>
      </c>
      <c r="BH13" s="117">
        <v>60</v>
      </c>
      <c r="BI13" s="98"/>
      <c r="BJ13" s="111">
        <v>4</v>
      </c>
      <c r="BK13" s="116">
        <v>5</v>
      </c>
      <c r="BL13" s="116">
        <v>6</v>
      </c>
      <c r="BM13" s="116">
        <v>7</v>
      </c>
      <c r="BN13" s="117">
        <v>10</v>
      </c>
      <c r="BO13" s="98"/>
      <c r="BP13" s="111">
        <v>30</v>
      </c>
      <c r="BQ13" s="116">
        <v>35</v>
      </c>
      <c r="BR13" s="116">
        <v>40</v>
      </c>
      <c r="BS13" s="116">
        <v>60</v>
      </c>
      <c r="BT13" s="117"/>
      <c r="BU13" s="98"/>
      <c r="BV13" s="308">
        <v>4</v>
      </c>
      <c r="BW13" s="309">
        <v>5</v>
      </c>
      <c r="BX13" s="309">
        <v>6</v>
      </c>
      <c r="BY13" s="309">
        <v>7</v>
      </c>
      <c r="BZ13" s="310">
        <v>11</v>
      </c>
      <c r="CA13" s="98"/>
      <c r="CB13" s="98"/>
    </row>
    <row r="14" spans="1:80" s="94" customFormat="1" x14ac:dyDescent="0.3">
      <c r="A14" s="107"/>
      <c r="B14" s="147"/>
      <c r="C14" s="135"/>
      <c r="D14" s="98"/>
      <c r="E14" s="96" t="s">
        <v>219</v>
      </c>
      <c r="F14" s="127" t="s">
        <v>14</v>
      </c>
      <c r="G14" s="462">
        <v>0.15</v>
      </c>
      <c r="H14" s="463">
        <v>0.4</v>
      </c>
      <c r="I14" s="463">
        <v>0.3</v>
      </c>
      <c r="J14" s="177">
        <v>0.125</v>
      </c>
      <c r="K14" s="178">
        <v>2.5000000000000001E-2</v>
      </c>
      <c r="L14" s="102"/>
      <c r="M14" s="462">
        <v>0.15</v>
      </c>
      <c r="N14" s="463">
        <v>0.4</v>
      </c>
      <c r="O14" s="463">
        <v>0.3</v>
      </c>
      <c r="P14" s="177">
        <v>0.125</v>
      </c>
      <c r="Q14" s="178">
        <v>2.5000000000000001E-2</v>
      </c>
      <c r="R14" s="102"/>
      <c r="S14" s="176">
        <v>0.27500000000000002</v>
      </c>
      <c r="T14" s="463">
        <v>0.4</v>
      </c>
      <c r="U14" s="463">
        <v>0.3</v>
      </c>
      <c r="V14" s="177">
        <v>2.5000000000000001E-2</v>
      </c>
      <c r="W14" s="464"/>
      <c r="X14" s="102"/>
      <c r="Y14" s="462">
        <v>0.15</v>
      </c>
      <c r="Z14" s="463">
        <v>0.4</v>
      </c>
      <c r="AA14" s="463">
        <v>0.3</v>
      </c>
      <c r="AB14" s="177">
        <v>0.125</v>
      </c>
      <c r="AC14" s="178">
        <v>2.5000000000000001E-2</v>
      </c>
      <c r="AD14" s="102"/>
      <c r="AE14" s="462">
        <v>0.15</v>
      </c>
      <c r="AF14" s="463">
        <v>0.4</v>
      </c>
      <c r="AG14" s="463">
        <v>0.3</v>
      </c>
      <c r="AH14" s="177">
        <v>0.125</v>
      </c>
      <c r="AI14" s="178">
        <v>2.5000000000000001E-2</v>
      </c>
      <c r="AJ14" s="102"/>
      <c r="AK14" s="102"/>
      <c r="AL14" s="462">
        <v>0.15</v>
      </c>
      <c r="AM14" s="463">
        <v>0.4</v>
      </c>
      <c r="AN14" s="463">
        <v>0.3</v>
      </c>
      <c r="AO14" s="177">
        <v>0.125</v>
      </c>
      <c r="AP14" s="178">
        <v>2.5000000000000001E-2</v>
      </c>
      <c r="AQ14" s="102"/>
      <c r="AR14" s="176">
        <v>0.27500000000000002</v>
      </c>
      <c r="AS14" s="463">
        <v>0.4</v>
      </c>
      <c r="AT14" s="463">
        <v>0.3</v>
      </c>
      <c r="AU14" s="177">
        <v>2.5000000000000001E-2</v>
      </c>
      <c r="AV14" s="464"/>
      <c r="AW14" s="102"/>
      <c r="AX14" s="462">
        <v>0.15</v>
      </c>
      <c r="AY14" s="463">
        <v>0.4</v>
      </c>
      <c r="AZ14" s="463">
        <v>0.3</v>
      </c>
      <c r="BA14" s="177">
        <v>0.125</v>
      </c>
      <c r="BB14" s="178">
        <v>2.5000000000000001E-2</v>
      </c>
      <c r="BC14" s="102"/>
      <c r="BD14" s="462">
        <v>0.15</v>
      </c>
      <c r="BE14" s="463">
        <v>0.4</v>
      </c>
      <c r="BF14" s="463">
        <v>0.3</v>
      </c>
      <c r="BG14" s="177">
        <v>0.125</v>
      </c>
      <c r="BH14" s="178">
        <v>2.5000000000000001E-2</v>
      </c>
      <c r="BI14" s="102"/>
      <c r="BJ14" s="462">
        <v>0.15</v>
      </c>
      <c r="BK14" s="463">
        <v>0.4</v>
      </c>
      <c r="BL14" s="463">
        <v>0.3</v>
      </c>
      <c r="BM14" s="177">
        <v>0.125</v>
      </c>
      <c r="BN14" s="178">
        <v>2.5000000000000001E-2</v>
      </c>
      <c r="BO14" s="102"/>
      <c r="BP14" s="176">
        <v>0.27500000000000002</v>
      </c>
      <c r="BQ14" s="463">
        <v>0.4</v>
      </c>
      <c r="BR14" s="463">
        <v>0.3</v>
      </c>
      <c r="BS14" s="177">
        <v>2.5000000000000001E-2</v>
      </c>
      <c r="BT14" s="464"/>
      <c r="BU14" s="102"/>
      <c r="BV14" s="462">
        <v>0.15</v>
      </c>
      <c r="BW14" s="463">
        <v>0.4</v>
      </c>
      <c r="BX14" s="463">
        <v>0.3</v>
      </c>
      <c r="BY14" s="177">
        <v>0.125</v>
      </c>
      <c r="BZ14" s="178">
        <v>2.5000000000000001E-2</v>
      </c>
      <c r="CA14" s="98"/>
      <c r="CB14" s="98"/>
    </row>
    <row r="15" spans="1:80" s="99" customFormat="1" x14ac:dyDescent="0.3">
      <c r="A15" s="108"/>
      <c r="B15" s="148"/>
      <c r="C15" s="149"/>
      <c r="D15" s="101"/>
      <c r="E15" s="96"/>
      <c r="F15" s="145"/>
      <c r="G15" s="115"/>
      <c r="H15" s="13"/>
      <c r="I15" s="13"/>
      <c r="J15" s="13"/>
      <c r="K15" s="125"/>
      <c r="L15" s="101"/>
      <c r="M15" s="115"/>
      <c r="N15" s="13"/>
      <c r="O15" s="13"/>
      <c r="P15" s="13"/>
      <c r="Q15" s="125"/>
      <c r="R15" s="101"/>
      <c r="S15" s="115"/>
      <c r="T15" s="13"/>
      <c r="U15" s="13"/>
      <c r="V15" s="13"/>
      <c r="W15" s="125"/>
      <c r="X15" s="101"/>
      <c r="Y15" s="115"/>
      <c r="Z15" s="13"/>
      <c r="AA15" s="13"/>
      <c r="AB15" s="13"/>
      <c r="AC15" s="125"/>
      <c r="AD15" s="101"/>
      <c r="AE15" s="115"/>
      <c r="AF15" s="13"/>
      <c r="AG15" s="13"/>
      <c r="AH15" s="13"/>
      <c r="AI15" s="125"/>
      <c r="AJ15" s="101"/>
      <c r="AK15" s="101"/>
      <c r="AL15" s="115"/>
      <c r="AM15" s="13"/>
      <c r="AN15" s="13"/>
      <c r="AO15" s="13"/>
      <c r="AP15" s="125"/>
      <c r="AQ15" s="101"/>
      <c r="AR15" s="115"/>
      <c r="AS15" s="13"/>
      <c r="AT15" s="13"/>
      <c r="AU15" s="13"/>
      <c r="AV15" s="125"/>
      <c r="AW15" s="101"/>
      <c r="AX15" s="115"/>
      <c r="AY15" s="13"/>
      <c r="AZ15" s="13"/>
      <c r="BA15" s="13"/>
      <c r="BB15" s="125"/>
      <c r="BC15" s="101"/>
      <c r="BD15" s="115"/>
      <c r="BE15" s="13"/>
      <c r="BF15" s="13"/>
      <c r="BG15" s="13"/>
      <c r="BH15" s="125"/>
      <c r="BI15" s="101"/>
      <c r="BJ15" s="115"/>
      <c r="BK15" s="13"/>
      <c r="BL15" s="13"/>
      <c r="BM15" s="13"/>
      <c r="BN15" s="125"/>
      <c r="BO15" s="101"/>
      <c r="BP15" s="115"/>
      <c r="BQ15" s="13"/>
      <c r="BR15" s="13"/>
      <c r="BS15" s="13"/>
      <c r="BT15" s="125"/>
      <c r="BU15" s="101"/>
      <c r="BV15" s="115"/>
      <c r="BW15" s="13"/>
      <c r="BX15" s="13"/>
      <c r="BY15" s="13"/>
      <c r="BZ15" s="125"/>
      <c r="CA15" s="101"/>
      <c r="CB15" s="101"/>
    </row>
    <row r="16" spans="1:80" s="99" customFormat="1" x14ac:dyDescent="0.3">
      <c r="A16" s="108"/>
      <c r="B16" s="148"/>
      <c r="C16" s="149"/>
      <c r="D16" s="110" t="s">
        <v>29</v>
      </c>
      <c r="E16" s="96"/>
      <c r="F16" s="145"/>
      <c r="G16" s="216" t="s">
        <v>89</v>
      </c>
      <c r="H16" s="222"/>
      <c r="I16" s="13"/>
      <c r="J16" s="13"/>
      <c r="K16" s="125"/>
      <c r="L16" s="101"/>
      <c r="M16" s="216" t="s">
        <v>101</v>
      </c>
      <c r="N16" s="222"/>
      <c r="O16" s="13"/>
      <c r="P16" s="13"/>
      <c r="Q16" s="125"/>
      <c r="R16" s="101"/>
      <c r="S16" s="216" t="s">
        <v>89</v>
      </c>
      <c r="T16" s="222"/>
      <c r="U16" s="13"/>
      <c r="V16" s="13"/>
      <c r="W16" s="125"/>
      <c r="X16" s="101"/>
      <c r="Y16" s="216" t="s">
        <v>101</v>
      </c>
      <c r="Z16" s="222"/>
      <c r="AA16" s="13"/>
      <c r="AB16" s="13"/>
      <c r="AC16" s="125"/>
      <c r="AD16" s="101"/>
      <c r="AE16" s="216" t="s">
        <v>89</v>
      </c>
      <c r="AF16" s="222"/>
      <c r="AG16" s="13"/>
      <c r="AH16" s="13"/>
      <c r="AI16" s="125"/>
      <c r="AJ16" s="101"/>
      <c r="AK16" s="101"/>
      <c r="AL16" s="216" t="s">
        <v>101</v>
      </c>
      <c r="AM16" s="222"/>
      <c r="AN16" s="13"/>
      <c r="AO16" s="13"/>
      <c r="AP16" s="125"/>
      <c r="AQ16" s="101"/>
      <c r="AR16" s="216" t="s">
        <v>89</v>
      </c>
      <c r="AS16" s="222"/>
      <c r="AT16" s="13"/>
      <c r="AU16" s="13"/>
      <c r="AV16" s="125"/>
      <c r="AW16" s="101"/>
      <c r="AX16" s="216" t="s">
        <v>101</v>
      </c>
      <c r="AY16" s="222"/>
      <c r="AZ16" s="13"/>
      <c r="BA16" s="13"/>
      <c r="BB16" s="125"/>
      <c r="BC16" s="101"/>
      <c r="BD16" s="216" t="s">
        <v>89</v>
      </c>
      <c r="BE16" s="222"/>
      <c r="BF16" s="13"/>
      <c r="BG16" s="13"/>
      <c r="BH16" s="125"/>
      <c r="BI16" s="101"/>
      <c r="BJ16" s="216" t="s">
        <v>101</v>
      </c>
      <c r="BK16" s="222"/>
      <c r="BL16" s="13"/>
      <c r="BM16" s="13"/>
      <c r="BN16" s="125"/>
      <c r="BO16" s="101"/>
      <c r="BP16" s="216" t="s">
        <v>89</v>
      </c>
      <c r="BQ16" s="222"/>
      <c r="BR16" s="13"/>
      <c r="BS16" s="13"/>
      <c r="BT16" s="125"/>
      <c r="BU16" s="101"/>
      <c r="BV16" s="216" t="s">
        <v>101</v>
      </c>
      <c r="BW16" s="222"/>
      <c r="BX16" s="13"/>
      <c r="BY16" s="13"/>
      <c r="BZ16" s="125"/>
      <c r="CA16" s="101"/>
      <c r="CB16" s="101"/>
    </row>
    <row r="17" spans="1:84" s="94" customFormat="1" x14ac:dyDescent="0.3">
      <c r="A17" s="107"/>
      <c r="B17" s="147"/>
      <c r="C17" s="135"/>
      <c r="D17" s="98"/>
      <c r="E17" s="97" t="s">
        <v>79</v>
      </c>
      <c r="F17" s="127" t="s">
        <v>34</v>
      </c>
      <c r="G17" s="210">
        <f xml:space="preserve"> 'Bron - cao''s 2020'!$F$12</f>
        <v>2622</v>
      </c>
      <c r="H17" s="211">
        <f xml:space="preserve"> 'Bron - cao''s 2020'!$F$13</f>
        <v>2757</v>
      </c>
      <c r="I17" s="211">
        <f xml:space="preserve"> 'Bron - cao''s 2020'!$F$14</f>
        <v>3037</v>
      </c>
      <c r="J17" s="211">
        <f xml:space="preserve"> 'Bron - cao''s 2020'!$F$15</f>
        <v>3326</v>
      </c>
      <c r="K17" s="311">
        <f xml:space="preserve"> 'Bron - cao''s 2020'!F$18</f>
        <v>4620</v>
      </c>
      <c r="L17" s="98"/>
      <c r="M17" s="210">
        <f xml:space="preserve"> 'Bron - cao''s 2020'!$I$30</f>
        <v>2763</v>
      </c>
      <c r="N17" s="211">
        <f xml:space="preserve"> 'Bron - cao''s 2020'!$I$31</f>
        <v>2936</v>
      </c>
      <c r="O17" s="211">
        <f xml:space="preserve"> 'Bron - cao''s 2020'!$I$32</f>
        <v>3279</v>
      </c>
      <c r="P17" s="211">
        <f xml:space="preserve"> 'Bron - cao''s 2020'!$I$33</f>
        <v>3494</v>
      </c>
      <c r="Q17" s="311">
        <f xml:space="preserve"> 'Bron - cao''s 2020'!$I$36</f>
        <v>4712</v>
      </c>
      <c r="R17" s="98"/>
      <c r="S17" s="210">
        <f xml:space="preserve"> 'Bron - cao''s 2020'!I$12</f>
        <v>2633</v>
      </c>
      <c r="T17" s="211">
        <f xml:space="preserve"> 'Bron - cao''s 2020'!I$13</f>
        <v>2766</v>
      </c>
      <c r="U17" s="211">
        <f xml:space="preserve"> 'Bron - cao''s 2020'!I$14</f>
        <v>2902</v>
      </c>
      <c r="V17" s="211">
        <f xml:space="preserve"> 'Bron - cao''s 2020'!I$18</f>
        <v>4652</v>
      </c>
      <c r="W17" s="212"/>
      <c r="X17" s="98"/>
      <c r="Y17" s="341">
        <f xml:space="preserve"> 'Bron - cao''s 2020'!F$30</f>
        <v>2623.43</v>
      </c>
      <c r="Z17" s="342">
        <f xml:space="preserve"> 'Bron - cao''s 2020'!F$31</f>
        <v>2816.77</v>
      </c>
      <c r="AA17" s="342">
        <f xml:space="preserve"> 'Bron - cao''s 2020'!F$32</f>
        <v>3036.87</v>
      </c>
      <c r="AB17" s="342">
        <f xml:space="preserve"> 'Bron - cao''s 2020'!F$33</f>
        <v>3285.52</v>
      </c>
      <c r="AC17" s="343">
        <f xml:space="preserve"> 'Bron - cao''s 2020'!F$37</f>
        <v>4896.26</v>
      </c>
      <c r="AD17" s="98"/>
      <c r="AE17" s="210">
        <f xml:space="preserve"> 'Bron - cao''s 2020'!F$12</f>
        <v>2622</v>
      </c>
      <c r="AF17" s="211">
        <f xml:space="preserve"> 'Bron - cao''s 2020'!$F$13</f>
        <v>2757</v>
      </c>
      <c r="AG17" s="211">
        <f xml:space="preserve"> 'Bron - cao''s 2020'!$F$14</f>
        <v>3037</v>
      </c>
      <c r="AH17" s="211">
        <f xml:space="preserve"> 'Bron - cao''s 2020'!$F$15</f>
        <v>3326</v>
      </c>
      <c r="AI17" s="311">
        <f xml:space="preserve"> 'Bron - cao''s 2020'!F$18</f>
        <v>4620</v>
      </c>
      <c r="AJ17" s="98"/>
      <c r="AK17" s="98"/>
      <c r="AL17" s="210">
        <f xml:space="preserve"> 'Bron - cao''s 2020'!$I$30</f>
        <v>2763</v>
      </c>
      <c r="AM17" s="211">
        <f xml:space="preserve"> 'Bron - cao''s 2020'!$I$31</f>
        <v>2936</v>
      </c>
      <c r="AN17" s="211">
        <f xml:space="preserve"> 'Bron - cao''s 2020'!$I$32</f>
        <v>3279</v>
      </c>
      <c r="AO17" s="211">
        <f xml:space="preserve"> 'Bron - cao''s 2020'!$I$33</f>
        <v>3494</v>
      </c>
      <c r="AP17" s="311">
        <f xml:space="preserve"> 'Bron - cao''s 2020'!$I$36</f>
        <v>4712</v>
      </c>
      <c r="AQ17" s="98"/>
      <c r="AR17" s="210">
        <f xml:space="preserve"> 'Bron - cao''s 2020'!I$12</f>
        <v>2633</v>
      </c>
      <c r="AS17" s="211">
        <f xml:space="preserve"> 'Bron - cao''s 2020'!I$13</f>
        <v>2766</v>
      </c>
      <c r="AT17" s="217">
        <f xml:space="preserve"> 'Bron - cao''s 2020'!I$14</f>
        <v>2902</v>
      </c>
      <c r="AU17" s="211">
        <f xml:space="preserve"> 'Bron - cao''s 2020'!I$18</f>
        <v>4652</v>
      </c>
      <c r="AV17" s="212"/>
      <c r="AW17" s="98"/>
      <c r="AX17" s="114">
        <f xml:space="preserve"> Y17</f>
        <v>2623.43</v>
      </c>
      <c r="AY17" s="122">
        <f xml:space="preserve"> Z17</f>
        <v>2816.77</v>
      </c>
      <c r="AZ17" s="122">
        <f xml:space="preserve"> AA17</f>
        <v>3036.87</v>
      </c>
      <c r="BA17" s="122">
        <f xml:space="preserve"> AB17</f>
        <v>3285.52</v>
      </c>
      <c r="BB17" s="123">
        <f xml:space="preserve"> AC17</f>
        <v>4896.26</v>
      </c>
      <c r="BC17" s="98"/>
      <c r="BD17" s="210">
        <f xml:space="preserve"> 'Bron - cao''s 2020'!F$12</f>
        <v>2622</v>
      </c>
      <c r="BE17" s="211">
        <f xml:space="preserve"> 'Bron - cao''s 2020'!$F$13</f>
        <v>2757</v>
      </c>
      <c r="BF17" s="211">
        <f xml:space="preserve"> 'Bron - cao''s 2020'!$F$14</f>
        <v>3037</v>
      </c>
      <c r="BG17" s="211">
        <f xml:space="preserve"> 'Bron - cao''s 2020'!$F$15</f>
        <v>3326</v>
      </c>
      <c r="BH17" s="311">
        <f xml:space="preserve"> 'Bron - cao''s 2020'!F$18</f>
        <v>4620</v>
      </c>
      <c r="BI17" s="98"/>
      <c r="BJ17" s="210">
        <f xml:space="preserve"> 'Bron - cao''s 2020'!$I$30</f>
        <v>2763</v>
      </c>
      <c r="BK17" s="211">
        <f xml:space="preserve"> 'Bron - cao''s 2020'!$I$31</f>
        <v>2936</v>
      </c>
      <c r="BL17" s="211">
        <f xml:space="preserve"> 'Bron - cao''s 2020'!$I$32</f>
        <v>3279</v>
      </c>
      <c r="BM17" s="211">
        <f xml:space="preserve"> 'Bron - cao''s 2020'!$I$33</f>
        <v>3494</v>
      </c>
      <c r="BN17" s="311">
        <f xml:space="preserve"> 'Bron - cao''s 2020'!$I$36</f>
        <v>4712</v>
      </c>
      <c r="BO17" s="98"/>
      <c r="BP17" s="210">
        <f xml:space="preserve"> 'Bron - cao''s 2020'!$I$12</f>
        <v>2633</v>
      </c>
      <c r="BQ17" s="211">
        <f xml:space="preserve"> 'Bron - cao''s 2020'!$I$13</f>
        <v>2766</v>
      </c>
      <c r="BR17" s="211">
        <f xml:space="preserve"> 'Bron - cao''s 2020'!$I$14</f>
        <v>2902</v>
      </c>
      <c r="BS17" s="211">
        <f xml:space="preserve"> 'Bron - cao''s 2020'!$I$18</f>
        <v>4652</v>
      </c>
      <c r="BT17" s="212"/>
      <c r="BU17" s="98"/>
      <c r="BV17" s="114">
        <f xml:space="preserve"> AX17</f>
        <v>2623.43</v>
      </c>
      <c r="BW17" s="122">
        <f xml:space="preserve"> AY17</f>
        <v>2816.77</v>
      </c>
      <c r="BX17" s="122">
        <f xml:space="preserve"> AZ17</f>
        <v>3036.87</v>
      </c>
      <c r="BY17" s="122">
        <f xml:space="preserve"> BA17</f>
        <v>3285.52</v>
      </c>
      <c r="BZ17" s="123">
        <f xml:space="preserve"> BB17</f>
        <v>4896.26</v>
      </c>
      <c r="CA17" s="98"/>
      <c r="CB17" s="98"/>
    </row>
    <row r="18" spans="1:84" s="468" customFormat="1" x14ac:dyDescent="0.3">
      <c r="A18" s="466"/>
      <c r="B18" s="467"/>
      <c r="C18" s="466"/>
      <c r="E18" s="469" t="s">
        <v>16</v>
      </c>
      <c r="F18" s="470" t="s">
        <v>15</v>
      </c>
      <c r="G18" s="472">
        <v>0.92</v>
      </c>
      <c r="H18" s="34">
        <v>0.92</v>
      </c>
      <c r="I18" s="34">
        <v>0.92</v>
      </c>
      <c r="J18" s="34">
        <v>0.92</v>
      </c>
      <c r="K18" s="471">
        <v>0.92</v>
      </c>
      <c r="M18" s="472">
        <v>0.92</v>
      </c>
      <c r="N18" s="34">
        <v>0.92</v>
      </c>
      <c r="O18" s="34">
        <v>0.92</v>
      </c>
      <c r="P18" s="34">
        <v>0.92</v>
      </c>
      <c r="Q18" s="471">
        <v>0.92</v>
      </c>
      <c r="S18" s="472">
        <v>0.92</v>
      </c>
      <c r="T18" s="34">
        <v>0.92</v>
      </c>
      <c r="U18" s="34">
        <v>0.92</v>
      </c>
      <c r="V18" s="34">
        <v>0.92</v>
      </c>
      <c r="W18" s="471"/>
      <c r="Y18" s="472">
        <v>0.92</v>
      </c>
      <c r="Z18" s="34">
        <v>0.92</v>
      </c>
      <c r="AA18" s="34">
        <v>0.92</v>
      </c>
      <c r="AB18" s="34">
        <v>0.92</v>
      </c>
      <c r="AC18" s="471">
        <v>0.92</v>
      </c>
      <c r="AE18" s="472">
        <v>0.92</v>
      </c>
      <c r="AF18" s="34">
        <v>0.92</v>
      </c>
      <c r="AG18" s="34">
        <v>0.92</v>
      </c>
      <c r="AH18" s="34">
        <v>0.92</v>
      </c>
      <c r="AI18" s="471">
        <v>0.92</v>
      </c>
      <c r="AL18" s="472">
        <v>0.92</v>
      </c>
      <c r="AM18" s="34">
        <v>0.92</v>
      </c>
      <c r="AN18" s="34">
        <v>0.92</v>
      </c>
      <c r="AO18" s="34">
        <v>0.92</v>
      </c>
      <c r="AP18" s="471">
        <v>0.92</v>
      </c>
      <c r="AR18" s="472">
        <v>0.92</v>
      </c>
      <c r="AS18" s="34">
        <v>0.92</v>
      </c>
      <c r="AT18" s="34">
        <v>0.92</v>
      </c>
      <c r="AU18" s="34">
        <v>0.92</v>
      </c>
      <c r="AV18" s="471"/>
      <c r="AX18" s="472">
        <v>0.92</v>
      </c>
      <c r="AY18" s="34">
        <v>0.92</v>
      </c>
      <c r="AZ18" s="34">
        <v>0.92</v>
      </c>
      <c r="BA18" s="34">
        <v>0.92</v>
      </c>
      <c r="BB18" s="471">
        <v>0.92</v>
      </c>
      <c r="BD18" s="472">
        <v>0.92</v>
      </c>
      <c r="BE18" s="34">
        <v>0.92</v>
      </c>
      <c r="BF18" s="34">
        <v>0.92</v>
      </c>
      <c r="BG18" s="34">
        <v>0.92</v>
      </c>
      <c r="BH18" s="471">
        <v>0.92</v>
      </c>
      <c r="BJ18" s="472">
        <v>0.92</v>
      </c>
      <c r="BK18" s="34">
        <v>0.92</v>
      </c>
      <c r="BL18" s="34">
        <v>0.92</v>
      </c>
      <c r="BM18" s="34">
        <v>0.92</v>
      </c>
      <c r="BN18" s="471">
        <v>0.92</v>
      </c>
      <c r="BP18" s="472">
        <v>0.92</v>
      </c>
      <c r="BQ18" s="34">
        <v>0.92</v>
      </c>
      <c r="BR18" s="34">
        <v>0.92</v>
      </c>
      <c r="BS18" s="34">
        <v>0.92</v>
      </c>
      <c r="BT18" s="471"/>
      <c r="BV18" s="472">
        <v>0.92</v>
      </c>
      <c r="BW18" s="34">
        <v>0.92</v>
      </c>
      <c r="BX18" s="34">
        <v>0.92</v>
      </c>
      <c r="BY18" s="34">
        <v>0.92</v>
      </c>
      <c r="BZ18" s="471">
        <v>0.92</v>
      </c>
    </row>
    <row r="19" spans="1:84" s="468" customFormat="1" x14ac:dyDescent="0.3">
      <c r="A19" s="466"/>
      <c r="B19" s="467"/>
      <c r="C19" s="466"/>
      <c r="E19" s="468" t="s">
        <v>17</v>
      </c>
      <c r="F19" s="470" t="s">
        <v>18</v>
      </c>
      <c r="G19" s="472">
        <v>0.12</v>
      </c>
      <c r="H19" s="34">
        <v>0.12</v>
      </c>
      <c r="I19" s="34">
        <v>0.12</v>
      </c>
      <c r="J19" s="34">
        <v>0.12</v>
      </c>
      <c r="K19" s="471">
        <v>0.12</v>
      </c>
      <c r="M19" s="472">
        <v>0.12</v>
      </c>
      <c r="N19" s="34">
        <v>0.12</v>
      </c>
      <c r="O19" s="34">
        <v>0.12</v>
      </c>
      <c r="P19" s="34">
        <v>0.12</v>
      </c>
      <c r="Q19" s="471">
        <v>0.12</v>
      </c>
      <c r="S19" s="472">
        <v>0.12</v>
      </c>
      <c r="T19" s="34">
        <v>0.12</v>
      </c>
      <c r="U19" s="34">
        <v>0.12</v>
      </c>
      <c r="V19" s="34">
        <v>0.12</v>
      </c>
      <c r="W19" s="471"/>
      <c r="Y19" s="472">
        <v>0.12</v>
      </c>
      <c r="Z19" s="34">
        <v>0.12</v>
      </c>
      <c r="AA19" s="34">
        <v>0.12</v>
      </c>
      <c r="AB19" s="34">
        <v>0.12</v>
      </c>
      <c r="AC19" s="471">
        <v>0.12</v>
      </c>
      <c r="AE19" s="472">
        <v>0.12</v>
      </c>
      <c r="AF19" s="34">
        <v>0.12</v>
      </c>
      <c r="AG19" s="34">
        <v>0.12</v>
      </c>
      <c r="AH19" s="34">
        <v>0.12</v>
      </c>
      <c r="AI19" s="471">
        <v>0.12</v>
      </c>
      <c r="AL19" s="472">
        <v>0.12</v>
      </c>
      <c r="AM19" s="34">
        <v>0.12</v>
      </c>
      <c r="AN19" s="34">
        <v>0.12</v>
      </c>
      <c r="AO19" s="34">
        <v>0.12</v>
      </c>
      <c r="AP19" s="471">
        <v>0.12</v>
      </c>
      <c r="AR19" s="472">
        <v>0.12</v>
      </c>
      <c r="AS19" s="34">
        <v>0.12</v>
      </c>
      <c r="AT19" s="34">
        <v>0.12</v>
      </c>
      <c r="AU19" s="34">
        <v>0.12</v>
      </c>
      <c r="AV19" s="471"/>
      <c r="AX19" s="472">
        <v>0.12</v>
      </c>
      <c r="AY19" s="34">
        <v>0.12</v>
      </c>
      <c r="AZ19" s="34">
        <v>0.12</v>
      </c>
      <c r="BA19" s="34">
        <v>0.12</v>
      </c>
      <c r="BB19" s="471">
        <v>0.12</v>
      </c>
      <c r="BD19" s="472">
        <v>0.18</v>
      </c>
      <c r="BE19" s="34">
        <v>0.18</v>
      </c>
      <c r="BF19" s="34">
        <v>0.18</v>
      </c>
      <c r="BG19" s="34">
        <v>0.18</v>
      </c>
      <c r="BH19" s="471">
        <v>0.18</v>
      </c>
      <c r="BJ19" s="472">
        <v>0.18</v>
      </c>
      <c r="BK19" s="34">
        <v>0.18</v>
      </c>
      <c r="BL19" s="34">
        <v>0.18</v>
      </c>
      <c r="BM19" s="34">
        <v>0.18</v>
      </c>
      <c r="BN19" s="471">
        <v>0.18</v>
      </c>
      <c r="BP19" s="472">
        <v>0.18</v>
      </c>
      <c r="BQ19" s="34">
        <v>0.18</v>
      </c>
      <c r="BR19" s="34">
        <v>0.18</v>
      </c>
      <c r="BS19" s="34">
        <v>0.18</v>
      </c>
      <c r="BT19" s="471"/>
      <c r="BV19" s="472">
        <v>0.18</v>
      </c>
      <c r="BW19" s="34">
        <v>0.18</v>
      </c>
      <c r="BX19" s="34">
        <v>0.18</v>
      </c>
      <c r="BY19" s="34">
        <v>0.18</v>
      </c>
      <c r="BZ19" s="471">
        <v>0.18</v>
      </c>
    </row>
    <row r="20" spans="1:84" s="94" customFormat="1" x14ac:dyDescent="0.3">
      <c r="A20" s="107"/>
      <c r="B20" s="147"/>
      <c r="C20" s="135"/>
      <c r="D20" s="98"/>
      <c r="E20" s="91" t="s">
        <v>62</v>
      </c>
      <c r="F20" s="127" t="s">
        <v>18</v>
      </c>
      <c r="G20" s="112">
        <v>0.08</v>
      </c>
      <c r="H20" s="118">
        <v>0.08</v>
      </c>
      <c r="I20" s="118">
        <v>0.08</v>
      </c>
      <c r="J20" s="118">
        <v>0.08</v>
      </c>
      <c r="K20" s="119">
        <v>0.08</v>
      </c>
      <c r="L20" s="98"/>
      <c r="M20" s="112">
        <v>0.08</v>
      </c>
      <c r="N20" s="118">
        <v>0.08</v>
      </c>
      <c r="O20" s="118">
        <v>0.08</v>
      </c>
      <c r="P20" s="118">
        <v>0.08</v>
      </c>
      <c r="Q20" s="119">
        <v>0.08</v>
      </c>
      <c r="R20" s="98"/>
      <c r="S20" s="112">
        <v>0.08</v>
      </c>
      <c r="T20" s="118">
        <v>0.08</v>
      </c>
      <c r="U20" s="118">
        <v>0.08</v>
      </c>
      <c r="V20" s="118">
        <v>0.08</v>
      </c>
      <c r="W20" s="119">
        <v>0.08</v>
      </c>
      <c r="X20" s="98"/>
      <c r="Y20" s="112">
        <v>0.08</v>
      </c>
      <c r="Z20" s="118">
        <v>0.08</v>
      </c>
      <c r="AA20" s="118">
        <v>0.08</v>
      </c>
      <c r="AB20" s="118">
        <v>0.08</v>
      </c>
      <c r="AC20" s="119">
        <v>0.08</v>
      </c>
      <c r="AD20" s="98"/>
      <c r="AE20" s="112">
        <v>0.08</v>
      </c>
      <c r="AF20" s="118">
        <v>0.08</v>
      </c>
      <c r="AG20" s="118">
        <v>0.08</v>
      </c>
      <c r="AH20" s="118">
        <v>0.08</v>
      </c>
      <c r="AI20" s="119">
        <v>0.08</v>
      </c>
      <c r="AJ20" s="98"/>
      <c r="AK20" s="98"/>
      <c r="AL20" s="112">
        <v>0.08</v>
      </c>
      <c r="AM20" s="118">
        <v>0.08</v>
      </c>
      <c r="AN20" s="118">
        <v>0.08</v>
      </c>
      <c r="AO20" s="118">
        <v>0.08</v>
      </c>
      <c r="AP20" s="119">
        <v>0.08</v>
      </c>
      <c r="AQ20" s="98"/>
      <c r="AR20" s="112">
        <v>0.08</v>
      </c>
      <c r="AS20" s="118">
        <v>0.08</v>
      </c>
      <c r="AT20" s="118">
        <v>0.08</v>
      </c>
      <c r="AU20" s="118">
        <v>0.08</v>
      </c>
      <c r="AV20" s="119">
        <v>0.08</v>
      </c>
      <c r="AW20" s="98"/>
      <c r="AX20" s="112">
        <v>0.08</v>
      </c>
      <c r="AY20" s="118">
        <v>0.08</v>
      </c>
      <c r="AZ20" s="118">
        <v>0.08</v>
      </c>
      <c r="BA20" s="118">
        <v>0.08</v>
      </c>
      <c r="BB20" s="119">
        <v>0.08</v>
      </c>
      <c r="BC20" s="98"/>
      <c r="BD20" s="112">
        <v>0.08</v>
      </c>
      <c r="BE20" s="118">
        <v>0.08</v>
      </c>
      <c r="BF20" s="118">
        <v>0.08</v>
      </c>
      <c r="BG20" s="118">
        <v>0.08</v>
      </c>
      <c r="BH20" s="119">
        <v>0.08</v>
      </c>
      <c r="BI20" s="98"/>
      <c r="BJ20" s="112">
        <v>0.08</v>
      </c>
      <c r="BK20" s="118">
        <v>0.08</v>
      </c>
      <c r="BL20" s="118">
        <v>0.08</v>
      </c>
      <c r="BM20" s="118">
        <v>0.08</v>
      </c>
      <c r="BN20" s="119">
        <v>0.08</v>
      </c>
      <c r="BO20" s="98"/>
      <c r="BP20" s="112">
        <v>0.08</v>
      </c>
      <c r="BQ20" s="118">
        <v>0.08</v>
      </c>
      <c r="BR20" s="118">
        <v>0.08</v>
      </c>
      <c r="BS20" s="118">
        <v>0.08</v>
      </c>
      <c r="BT20" s="119">
        <v>0.08</v>
      </c>
      <c r="BU20" s="98"/>
      <c r="BV20" s="112">
        <v>0.08</v>
      </c>
      <c r="BW20" s="118">
        <v>0.08</v>
      </c>
      <c r="BX20" s="118">
        <v>0.08</v>
      </c>
      <c r="BY20" s="118">
        <v>0.08</v>
      </c>
      <c r="BZ20" s="119">
        <v>0.08</v>
      </c>
      <c r="CA20" s="98"/>
      <c r="CB20" s="98"/>
    </row>
    <row r="21" spans="1:84" s="94" customFormat="1" x14ac:dyDescent="0.3">
      <c r="A21" s="107"/>
      <c r="B21" s="147"/>
      <c r="C21" s="135"/>
      <c r="D21" s="98"/>
      <c r="E21" s="96" t="s">
        <v>0</v>
      </c>
      <c r="F21" s="127" t="s">
        <v>102</v>
      </c>
      <c r="G21" s="197">
        <v>8.3299999999999999E-2</v>
      </c>
      <c r="H21" s="198">
        <v>8.3299999999999999E-2</v>
      </c>
      <c r="I21" s="198">
        <v>8.3299999999999999E-2</v>
      </c>
      <c r="J21" s="198">
        <v>8.3299999999999999E-2</v>
      </c>
      <c r="K21" s="199">
        <v>8.3299999999999999E-2</v>
      </c>
      <c r="L21" s="98"/>
      <c r="M21" s="197">
        <v>8.3299999999999999E-2</v>
      </c>
      <c r="N21" s="198">
        <v>8.3299999999999999E-2</v>
      </c>
      <c r="O21" s="198">
        <v>8.3299999999999999E-2</v>
      </c>
      <c r="P21" s="198">
        <v>8.3299999999999999E-2</v>
      </c>
      <c r="Q21" s="199">
        <v>8.3299999999999999E-2</v>
      </c>
      <c r="R21" s="98"/>
      <c r="S21" s="197">
        <v>8.3299999999999999E-2</v>
      </c>
      <c r="T21" s="198">
        <v>8.3299999999999999E-2</v>
      </c>
      <c r="U21" s="198">
        <v>8.3299999999999999E-2</v>
      </c>
      <c r="V21" s="198">
        <v>8.3299999999999999E-2</v>
      </c>
      <c r="W21" s="199">
        <v>8.3299999999999999E-2</v>
      </c>
      <c r="X21" s="98"/>
      <c r="Y21" s="197">
        <v>8.3299999999999999E-2</v>
      </c>
      <c r="Z21" s="198">
        <v>8.3299999999999999E-2</v>
      </c>
      <c r="AA21" s="198">
        <v>8.3299999999999999E-2</v>
      </c>
      <c r="AB21" s="198">
        <v>8.3299999999999999E-2</v>
      </c>
      <c r="AC21" s="199">
        <v>8.3299999999999999E-2</v>
      </c>
      <c r="AD21" s="98"/>
      <c r="AE21" s="197">
        <v>8.3299999999999999E-2</v>
      </c>
      <c r="AF21" s="198">
        <v>8.3299999999999999E-2</v>
      </c>
      <c r="AG21" s="198">
        <v>8.3299999999999999E-2</v>
      </c>
      <c r="AH21" s="198">
        <v>8.3299999999999999E-2</v>
      </c>
      <c r="AI21" s="199">
        <v>8.3299999999999999E-2</v>
      </c>
      <c r="AJ21" s="98"/>
      <c r="AK21" s="98"/>
      <c r="AL21" s="197">
        <v>8.3299999999999999E-2</v>
      </c>
      <c r="AM21" s="198">
        <v>8.3299999999999999E-2</v>
      </c>
      <c r="AN21" s="198">
        <v>8.3299999999999999E-2</v>
      </c>
      <c r="AO21" s="198">
        <v>8.3299999999999999E-2</v>
      </c>
      <c r="AP21" s="199">
        <v>8.3299999999999999E-2</v>
      </c>
      <c r="AQ21" s="98"/>
      <c r="AR21" s="197">
        <v>8.3299999999999999E-2</v>
      </c>
      <c r="AS21" s="198">
        <v>8.3299999999999999E-2</v>
      </c>
      <c r="AT21" s="198">
        <v>8.3299999999999999E-2</v>
      </c>
      <c r="AU21" s="198">
        <v>8.3299999999999999E-2</v>
      </c>
      <c r="AV21" s="199">
        <v>8.3299999999999999E-2</v>
      </c>
      <c r="AW21" s="98"/>
      <c r="AX21" s="197">
        <v>8.3299999999999999E-2</v>
      </c>
      <c r="AY21" s="198">
        <v>8.3299999999999999E-2</v>
      </c>
      <c r="AZ21" s="198">
        <v>8.3299999999999999E-2</v>
      </c>
      <c r="BA21" s="198">
        <v>8.3299999999999999E-2</v>
      </c>
      <c r="BB21" s="199">
        <v>8.3299999999999999E-2</v>
      </c>
      <c r="BC21" s="98"/>
      <c r="BD21" s="197">
        <v>8.3299999999999999E-2</v>
      </c>
      <c r="BE21" s="198">
        <v>8.3299999999999999E-2</v>
      </c>
      <c r="BF21" s="198">
        <v>8.3299999999999999E-2</v>
      </c>
      <c r="BG21" s="198">
        <v>8.3299999999999999E-2</v>
      </c>
      <c r="BH21" s="199">
        <v>8.3299999999999999E-2</v>
      </c>
      <c r="BI21" s="98"/>
      <c r="BJ21" s="197">
        <v>8.3299999999999999E-2</v>
      </c>
      <c r="BK21" s="198">
        <v>8.3299999999999999E-2</v>
      </c>
      <c r="BL21" s="198">
        <v>8.3299999999999999E-2</v>
      </c>
      <c r="BM21" s="198">
        <v>8.3299999999999999E-2</v>
      </c>
      <c r="BN21" s="199">
        <v>8.3299999999999999E-2</v>
      </c>
      <c r="BO21" s="98"/>
      <c r="BP21" s="197">
        <v>8.3299999999999999E-2</v>
      </c>
      <c r="BQ21" s="198">
        <v>8.3299999999999999E-2</v>
      </c>
      <c r="BR21" s="198">
        <v>8.3299999999999999E-2</v>
      </c>
      <c r="BS21" s="198">
        <v>8.3299999999999999E-2</v>
      </c>
      <c r="BT21" s="199">
        <v>8.3299999999999999E-2</v>
      </c>
      <c r="BU21" s="98"/>
      <c r="BV21" s="197">
        <v>8.3299999999999999E-2</v>
      </c>
      <c r="BW21" s="198">
        <v>8.3299999999999999E-2</v>
      </c>
      <c r="BX21" s="198">
        <v>8.3299999999999999E-2</v>
      </c>
      <c r="BY21" s="198">
        <v>8.3299999999999999E-2</v>
      </c>
      <c r="BZ21" s="199">
        <v>8.3299999999999999E-2</v>
      </c>
      <c r="CA21" s="98"/>
      <c r="CB21" s="98"/>
    </row>
    <row r="22" spans="1:84" s="94" customFormat="1" x14ac:dyDescent="0.3">
      <c r="A22" s="107"/>
      <c r="B22" s="147"/>
      <c r="C22" s="135"/>
      <c r="D22" s="98"/>
      <c r="E22" s="105" t="s">
        <v>19</v>
      </c>
      <c r="F22" s="128" t="s">
        <v>34</v>
      </c>
      <c r="G22" s="129">
        <f xml:space="preserve"> IF($AE16= "% jaarsalaris INCL. VU", G17 * 12 * G18 * ( 1 + G19 ) * ( 1 + G20 ) * ( 1 + G21 ),  G17 * 12 * G18 * ( 1 + G19 ) * ( 1 + G20 ) + G17 * 12 * G18 * ( 1 + G19 )* ( G21 ) )</f>
        <v>37714.774164480012</v>
      </c>
      <c r="H22" s="130">
        <f xml:space="preserve"> IF($AE16= "% jaarsalaris INCL. VU", H17 * 12 * H18 * ( 1 + H19 ) * ( 1 + H20 ) * ( 1 + H21 ),  H17 * 12 * H18 * ( 1 + H19 ) * ( 1 + H20 ) + H17 * 12 * H18 * ( 1 + H19 )* ( H21 ) )</f>
        <v>39656.610362880005</v>
      </c>
      <c r="I22" s="130">
        <f xml:space="preserve"> IF($AE16= "% jaarsalaris INCL. VU", I17 * 12 * I18 * ( 1 + I19 ) * ( 1 + I20 ) * ( 1 + I21 ),  I17 * 12 * I18 * ( 1 + I19 ) * ( 1 + I20 ) + I17 * 12 * I18 * ( 1 + I19 )* ( I21 ) )</f>
        <v>43684.122478080004</v>
      </c>
      <c r="J22" s="130">
        <f xml:space="preserve"> IF($AE16= "% jaarsalaris INCL. VU", J17 * 12 * J18 * ( 1 + J19 ) * ( 1 + J20 ) * ( 1 + J21 ),  J17 * 12 * J18 * ( 1 + J19 ) * ( 1 + J20 ) + J17 * 12 * J18 * ( 1 + J19 )* ( J21 ) )</f>
        <v>47841.090339840004</v>
      </c>
      <c r="K22" s="131">
        <f xml:space="preserve"> IF($AE16= "% jaarsalaris INCL. VU", K17 * 12 * K18 * ( 1 + K19 ) * ( 1 + K20 ) * ( 1 + K21 ),  K17 * 12 * K18 * ( 1 + K19 ) * ( 1 + K20 ) + K17 * 12 * K18 * ( 1 + K19 )* ( K21 ) )</f>
        <v>66453.949900800013</v>
      </c>
      <c r="L22" s="98"/>
      <c r="M22" s="129">
        <f xml:space="preserve"> IF($AL16= "% jaarsalaris INCL. VU", M17 * 12 * M18 * ( 1 + M19 ) * ( 1 + M20 ) * ( 1 + M21 ),  M17 * 12 * M18 * ( 1 + M19 ) * ( 1 + M20 ) + M17 * 12 * M18 * ( 1 + M19 )* ( M21 ) )</f>
        <v>39970.582706073605</v>
      </c>
      <c r="N22" s="130">
        <f xml:space="preserve"> IF($AL16= "% jaarsalaris INCL. VU", N17 * 12 * N18 * ( 1 + N19 ) * ( 1 + N20 ) * ( 1 + N21 ),  N17 * 12 * N18 * ( 1 + N19 ) * ( 1 + N20 ) + N17 * 12 * N18 * ( 1 + N19 )* ( N21 ) )</f>
        <v>42473.264866099205</v>
      </c>
      <c r="O22" s="130">
        <f xml:space="preserve"> IF($AL16= "% jaarsalaris INCL. VU", O17 * 12 * O18 * ( 1 + O19 ) * ( 1 + O20 ) * ( 1 + O21 ),  O17 * 12 * O18 * ( 1 + O19 ) * ( 1 + O20 ) + O17 * 12 * O18 * ( 1 + O19 )* ( O21 ) )</f>
        <v>47435.23007354881</v>
      </c>
      <c r="P22" s="130">
        <f xml:space="preserve"> IF($AL16= "% jaarsalaris INCL. VU", P17 * 12 * P18 * ( 1 + P19 ) * ( 1 + P20 ) * ( 1 + P21 ),  P17 * 12 * P18 * ( 1 + P19 ) * ( 1 + P20 ) + P17 * 12 * P18 * ( 1 + P19 )* ( P21 ) )</f>
        <v>50545.499809996807</v>
      </c>
      <c r="Q22" s="131">
        <f xml:space="preserve"> IF($AL16= "% jaarsalaris INCL. VU", Q17 * 12 * Q18 * ( 1 + Q19 ) * ( 1 + Q20 ) * ( 1 + Q21 ),  Q17 * 12 * Q18 * ( 1 + Q19 ) * ( 1 + Q20 ) + Q17 * 12 * Q18 * ( 1 + Q19 )* ( Q21 ) )</f>
        <v>68165.539526246415</v>
      </c>
      <c r="R22" s="98"/>
      <c r="S22" s="129">
        <f xml:space="preserve"> IF($AR16= "% jaarsalaris INCL. VU", S17 * 12 * S18 * ( 1 + S19 ) * ( 1 + S20 ) * ( 1 + S21 ),  S17 * 12 * S18 * ( 1 + S19 ) * ( 1 + S20 ) + S17 * 12 * S18 * ( 1 + S19 )* ( S21 ) )</f>
        <v>37872.997854720008</v>
      </c>
      <c r="T22" s="130">
        <f xml:space="preserve"> IF($AR16= "% jaarsalaris INCL. VU", T17 * 12 * T18 * ( 1 + T19 ) * ( 1 + T20 ) * ( 1 + T21 ),  T17 * 12 * T18 * ( 1 + T19 ) * ( 1 + T20 ) + T17 * 12 * T18 * ( 1 + T19 )* ( T21 ) )</f>
        <v>39786.066109440013</v>
      </c>
      <c r="U22" s="130">
        <f xml:space="preserve"> IF($AR16= "% jaarsalaris INCL. VU", U17 * 12 * U18 * ( 1 + U19 ) * ( 1 + U20 ) * ( 1 + U21 ),  U17 * 12 * U18 * ( 1 + U19 ) * ( 1 + U20 ) + U17 * 12 * U18 * ( 1 + U19 )* ( U21 ) )</f>
        <v>41742.286279680011</v>
      </c>
      <c r="V22" s="130">
        <f xml:space="preserve"> IF($AR16= "% jaarsalaris INCL. VU", V17 * 12 * V18 * ( 1 + V19 ) * ( 1 + V20 ) * ( 1 + V21 ),  V17 * 12 * V18 * ( 1 + V19 ) * ( 1 + V20 ) + V17 * 12 * V18 * ( 1 + V19 )* ( V21 ) )</f>
        <v>66914.236999680012</v>
      </c>
      <c r="W22" s="131">
        <f xml:space="preserve"> IF($AR16= "% jaarsalaris INCL. VU", W17 * 12 * W18 * ( 1 + W19 ) * ( 1 + W20 ) * ( 1 + W21 ),  W17 * 12 * W18 * ( 1 + W19 ) * ( 1 + W20 ) + W17 * 12 * W18 * ( 1 + W19 )* ( W21 ) )</f>
        <v>0</v>
      </c>
      <c r="X22" s="98"/>
      <c r="Y22" s="129">
        <f xml:space="preserve"> IF($Y16= "% jaarsalaris INCL. VU", Y17 * 12 * Y18 * ( 1 + Y19 ) * ( 1 + Y20 ) * ( 1 + Y21 ),  Y17 * 12 * Y18 * ( 1 + Y19 ) * ( 1 + Y20 ) + Y17 * 12 * Y18 * ( 1 + Y19 )* ( Y21 ) )</f>
        <v>37951.511324138497</v>
      </c>
      <c r="Z22" s="130">
        <f xml:space="preserve"> IF($Y16= "% jaarsalaris INCL. VU", Z17 * 12 * Z18 * ( 1 + Z19 ) * ( 1 + Z20 ) * ( 1 + Z21 ),  Z17 * 12 * Z18 * ( 1 + Z19 ) * ( 1 + Z20 ) + Z17 * 12 * Z18 * ( 1 + Z19 )* ( Z21 ) )</f>
        <v>40748.439467602948</v>
      </c>
      <c r="AA22" s="130">
        <f xml:space="preserve"> IF($Y16= "% jaarsalaris INCL. VU", AA17 * 12 * AA18 * ( 1 + AA19 ) * ( 1 + AA20 ) * ( 1 + AA21 ),  AA17 * 12 * AA18 * ( 1 + AA19 ) * ( 1 + AA20 ) + AA17 * 12 * AA18 * ( 1 + AA19 )* ( AA21 ) )</f>
        <v>43932.487695473668</v>
      </c>
      <c r="AB22" s="130">
        <f xml:space="preserve"> IF($Y16= "% jaarsalaris INCL. VU", AB17 * 12 * AB18 * ( 1 + AB19 ) * ( 1 + AB20 ) * ( 1 + AB21 ),  AB17 * 12 * AB18 * ( 1 + AB19 ) * ( 1 + AB20 ) + AB17 * 12 * AB18 * ( 1 + AB19 )* ( AB21 ) )</f>
        <v>47529.550811602945</v>
      </c>
      <c r="AC22" s="131">
        <f xml:space="preserve"> IF($Y16= "% jaarsalaris INCL. VU", AC17 * 12 * AC18 * ( 1 + AC19 ) * ( 1 + AC20 ) * ( 1 + AC21 ),  AC17 * 12 * AC18 * ( 1 + AC19 ) * ( 1 + AC20 ) + AC17 * 12 * AC18 * ( 1 + AC19 )* ( AC21 ) )</f>
        <v>70831.113022236692</v>
      </c>
      <c r="AD22" s="98"/>
      <c r="AE22" s="129">
        <f xml:space="preserve"> IF($AE16= "% jaarsalaris INCL. VU", AE17 * 12 * AE18 * ( 1 + AE19 ) * ( 1 + AE20 ) * ( 1 + AE21 ),  AE17 * 12 * AE18 * ( 1 + AE19 ) * ( 1 + AE20 ) + AE17 * 12 * AE18 * ( 1 + AE19 )* ( AE21 ) )</f>
        <v>37714.774164480012</v>
      </c>
      <c r="AF22" s="130">
        <f xml:space="preserve"> IF($AE16= "% jaarsalaris INCL. VU", AF17 * 12 * AF18 * ( 1 + AF19 ) * ( 1 + AF20 ) * ( 1 + AF21 ),  AF17 * 12 * AF18 * ( 1 + AF19 ) * ( 1 + AF20 ) + AF17 * 12 * AF18 * ( 1 + AF19 )* ( AF21 ) )</f>
        <v>39656.610362880005</v>
      </c>
      <c r="AG22" s="130">
        <f xml:space="preserve"> IF($AE16= "% jaarsalaris INCL. VU", AG17 * 12 * AG18 * ( 1 + AG19 ) * ( 1 + AG20 ) * ( 1 + AG21 ),  AG17 * 12 * AG18 * ( 1 + AG19 ) * ( 1 + AG20 ) + AG17 * 12 * AG18 * ( 1 + AG19 )* ( AG21 ) )</f>
        <v>43684.122478080004</v>
      </c>
      <c r="AH22" s="130">
        <f xml:space="preserve"> IF($AE16= "% jaarsalaris INCL. VU", AH17 * 12 * AH18 * ( 1 + AH19 ) * ( 1 + AH20 ) * ( 1 + AH21 ),  AH17 * 12 * AH18 * ( 1 + AH19 ) * ( 1 + AH20 ) + AH17 * 12 * AH18 * ( 1 + AH19 )* ( AH21 ) )</f>
        <v>47841.090339840004</v>
      </c>
      <c r="AI22" s="131">
        <f xml:space="preserve"> IF($AE16= "% jaarsalaris INCL. VU", AI17 * 12 * AI18 * ( 1 + AI19 ) * ( 1 + AI20 ) * ( 1 + AI21 ),  AI17 * 12 * AI18 * ( 1 + AI19 ) * ( 1 + AI20 ) + AI17 * 12 * AI18 * ( 1 + AI19 )* ( AI21 ) )</f>
        <v>66453.949900800013</v>
      </c>
      <c r="AJ22" s="98"/>
      <c r="AK22" s="98"/>
      <c r="AL22" s="129">
        <f xml:space="preserve"> IF($AL16= "% jaarsalaris INCL. VU", AL17 * 12 * AL18 * ( 1 + AL19 ) * ( 1 + AL20 ) * ( 1 + AL21 ),  AL17 * 12 * AL18 * ( 1 + AL19 ) * ( 1 + AL20 ) + AL17 * 12 * AL18 * ( 1 + AL19 )* ( AL21 ) )</f>
        <v>39970.582706073605</v>
      </c>
      <c r="AM22" s="130">
        <f t="shared" ref="AM22:AP22" si="0" xml:space="preserve"> IF($AL16= "% jaarsalaris INCL. VU", AM17 * 12 * AM18 * ( 1 + AM19 ) * ( 1 + AM20 ) * ( 1 + AM21 ),  AM17 * 12 * AM18 * ( 1 + AM19 ) * ( 1 + AM20 ) + AM17 * 12 * AM18 * ( 1 + AM19 )* ( AM21 ) )</f>
        <v>42473.264866099205</v>
      </c>
      <c r="AN22" s="130">
        <f t="shared" si="0"/>
        <v>47435.23007354881</v>
      </c>
      <c r="AO22" s="130">
        <f t="shared" si="0"/>
        <v>50545.499809996807</v>
      </c>
      <c r="AP22" s="131">
        <f t="shared" si="0"/>
        <v>68165.539526246415</v>
      </c>
      <c r="AQ22" s="98"/>
      <c r="AR22" s="129">
        <f xml:space="preserve"> IF($AR16= "% jaarsalaris INCL. VU", AR17 * 12 * AR18 * ( 1 + AR19 ) * ( 1 + AR20 ) * ( 1 + AR21 ),  AR17 * 12 * AR18 * ( 1 + AR19 ) * ( 1 + AR20 ) + AR17 * 12 * AR18 * ( 1 + AR19 )* ( AR21 ) )</f>
        <v>37872.997854720008</v>
      </c>
      <c r="AS22" s="130">
        <f t="shared" ref="AS22:AV22" si="1" xml:space="preserve"> IF($AR16= "% jaarsalaris INCL. VU", AS17 * 12 * AS18 * ( 1 + AS19 ) * ( 1 + AS20 ) * ( 1 + AS21 ),  AS17 * 12 * AS18 * ( 1 + AS19 ) * ( 1 + AS20 ) + AS17 * 12 * AS18 * ( 1 + AS19 )* ( AS21 ) )</f>
        <v>39786.066109440013</v>
      </c>
      <c r="AT22" s="130">
        <f t="shared" si="1"/>
        <v>41742.286279680011</v>
      </c>
      <c r="AU22" s="130">
        <f t="shared" si="1"/>
        <v>66914.236999680012</v>
      </c>
      <c r="AV22" s="131">
        <f t="shared" si="1"/>
        <v>0</v>
      </c>
      <c r="AW22" s="98"/>
      <c r="AX22" s="129">
        <f xml:space="preserve"> IF($AX16= "% jaarsalaris INCL. VU", AX17 * 12 * AX18 * ( 1 + AX19 ) * ( 1 + AX20 ) * ( 1 + AX21 ),  AX17 * 12 * AX18 * ( 1 + AX19 ) * ( 1 + AX20 ) + AX17 * 12 * AX18 * ( 1 + AX19 )* ( AX21 ) )</f>
        <v>37951.511324138497</v>
      </c>
      <c r="AY22" s="130">
        <f xml:space="preserve"> IF($AX16= "% jaarsalaris INCL. VU", AY17 * 12 * AY18 * ( 1 + AY19 ) * ( 1 + AY20 ) * ( 1 + AY21 ),  AY17 * 12 * AY18 * ( 1 + AY19 ) * ( 1 + AY20 ) + AY17 * 12 * AY18 * ( 1 + AY19 )* ( AY21 ) )</f>
        <v>40748.439467602948</v>
      </c>
      <c r="AZ22" s="130">
        <f xml:space="preserve"> IF($AX16= "% jaarsalaris INCL. VU", AZ17 * 12 * AZ18 * ( 1 + AZ19 ) * ( 1 + AZ20 ) * ( 1 + AZ21 ),  AZ17 * 12 * AZ18 * ( 1 + AZ19 ) * ( 1 + AZ20 ) + AZ17 * 12 * AZ18 * ( 1 + AZ19 )* ( AZ21 ) )</f>
        <v>43932.487695473668</v>
      </c>
      <c r="BA22" s="130">
        <f xml:space="preserve"> IF($AX16= "% jaarsalaris INCL. VU", BA17 * 12 * BA18 * ( 1 + BA19 ) * ( 1 + BA20 ) * ( 1 + BA21 ),  BA17 * 12 * BA18 * ( 1 + BA19 ) * ( 1 + BA20 ) + BA17 * 12 * BA18 * ( 1 + BA19 )* ( BA21 ) )</f>
        <v>47529.550811602945</v>
      </c>
      <c r="BB22" s="131">
        <f xml:space="preserve"> IF($AX16= "% jaarsalaris INCL. VU", BB17 * 12 * BB18 * ( 1 + BB19 ) * ( 1 + BB20 ) * ( 1 + BB21 ),  BB17 * 12 * BB18 * ( 1 + BB19 ) * ( 1 + BB20 ) + BB17 * 12 * BB18 * ( 1 + BB19 )* ( BB21 ) )</f>
        <v>70831.113022236692</v>
      </c>
      <c r="BC22" s="98"/>
      <c r="BD22" s="129">
        <f xml:space="preserve"> IF($AE16= "% jaarsalaris INCL. VU", BD17 * 12 * BD18 * ( 1 + BD19 ) * ( 1 + BD20 ) * ( 1 + BD21 ),  BD17 * 12 * BD18 * ( 1 + BD19 ) * ( 1 + BD20 ) + BD17 * 12 * BD18 * ( 1 + BD19 )* ( BD21 ) )</f>
        <v>39735.208494719998</v>
      </c>
      <c r="BE22" s="130">
        <f xml:space="preserve"> IF($AE16= "% jaarsalaris INCL. VU", BE17 * 12 * BE18 * ( 1 + BE19 ) * ( 1 + BE20 ) * ( 1 + BE21 ),  BE17 * 12 * BE18 * ( 1 + BE19 ) * ( 1 + BE20 ) + BE17 * 12 * BE18 * ( 1 + BE19 )* ( BE21 ) )</f>
        <v>41781.071632320003</v>
      </c>
      <c r="BF22" s="130">
        <f xml:space="preserve"> IF($AE16= "% jaarsalaris INCL. VU", BF17 * 12 * BF18 * ( 1 + BF19 ) * ( 1 + BF20 ) * ( 1 + BF21 ),  BF17 * 12 * BF18 * ( 1 + BF19 ) * ( 1 + BF20 ) + BF17 * 12 * BF18 * ( 1 + BF19 )* ( BF21 ) )</f>
        <v>46024.343325120004</v>
      </c>
      <c r="BG22" s="130">
        <f xml:space="preserve"> IF($AE16= "% jaarsalaris INCL. VU", BG17 * 12 * BG18 * ( 1 + BG19 ) * ( 1 + BG20 ) * ( 1 + BG21 ),  BG17 * 12 * BG18 * ( 1 + BG19 ) * ( 1 + BG20 ) + BG17 * 12 * BG18 * ( 1 + BG19 )* ( BG21 ) )</f>
        <v>50404.005893760004</v>
      </c>
      <c r="BH22" s="131">
        <f xml:space="preserve"> IF($AE16= "% jaarsalaris INCL. VU", BH17 * 12 * BH18 * ( 1 + BH19 ) * ( 1 + BH20 ) * ( 1 + BH21 ),  BH17 * 12 * BH18 * ( 1 + BH19 ) * ( 1 + BH20 ) + BH17 * 12 * BH18 * ( 1 + BH19 )* ( BH21 ) )</f>
        <v>70013.982931200007</v>
      </c>
      <c r="BI22" s="98"/>
      <c r="BJ22" s="129">
        <f xml:space="preserve"> IF($AL16= "% jaarsalaris INCL. VU", BJ17 * 12 * BJ18 * ( 1 + BJ19 ) * ( 1 + BJ20 ) * ( 1 + BJ21 ),  BJ17 * 12 * BJ18 * ( 1 + BJ19 ) * ( 1 + BJ20 ) + BJ17 * 12 * BJ18 * ( 1 + BJ19 )* ( BJ21 ) )</f>
        <v>42111.863922470395</v>
      </c>
      <c r="BK22" s="130">
        <f t="shared" ref="BK22:BN22" si="2" xml:space="preserve"> IF($AL16= "% jaarsalaris INCL. VU", BK17 * 12 * BK18 * ( 1 + BK19 ) * ( 1 + BK20 ) * ( 1 + BK21 ),  BK17 * 12 * BK18 * ( 1 + BK19 ) * ( 1 + BK20 ) + BK17 * 12 * BK18 * ( 1 + BK19 )* ( BK21 ) )</f>
        <v>44748.618341068803</v>
      </c>
      <c r="BL22" s="130">
        <f t="shared" si="2"/>
        <v>49976.403113203203</v>
      </c>
      <c r="BM22" s="130">
        <f t="shared" si="2"/>
        <v>53253.2944426752</v>
      </c>
      <c r="BN22" s="131">
        <f t="shared" si="2"/>
        <v>71817.264858009614</v>
      </c>
      <c r="BO22" s="98"/>
      <c r="BP22" s="129">
        <f xml:space="preserve"> IF($AR16= "% jaarsalaris INCL. VU", BP17 * 12 * BP18 * ( 1 + BP19 ) * ( 1 + BP20 ) * ( 1 + BP21 ),  BP17 * 12 * BP18 * ( 1 + BP19 ) * ( 1 + BP20 ) + BP17 * 12 * BP18 * ( 1 + BP19 )* ( BP21 ) )</f>
        <v>39901.908454079996</v>
      </c>
      <c r="BQ22" s="130">
        <f t="shared" ref="BQ22:BT22" si="3" xml:space="preserve"> IF($AR16= "% jaarsalaris INCL. VU", BQ17 * 12 * BQ18 * ( 1 + BQ19 ) * ( 1 + BQ20 ) * ( 1 + BQ21 ),  BQ17 * 12 * BQ18 * ( 1 + BQ19 ) * ( 1 + BQ20 ) + BQ17 * 12 * BQ18 * ( 1 + BQ19 )* ( BQ21 ) )</f>
        <v>41917.462508160002</v>
      </c>
      <c r="BR22" s="130">
        <f t="shared" si="3"/>
        <v>43978.480187519999</v>
      </c>
      <c r="BS22" s="130">
        <f t="shared" si="3"/>
        <v>70498.928267520008</v>
      </c>
      <c r="BT22" s="131">
        <f t="shared" si="3"/>
        <v>0</v>
      </c>
      <c r="BU22" s="98"/>
      <c r="BV22" s="129">
        <f xml:space="preserve"> IF($BV16= "% jaarsalaris INCL. VU", BV17 * 12 * BV18 * ( 1 + BV19 ) * ( 1 + BV20 ) * ( 1 + BV21 ),  BV17 * 12 * BV18 * ( 1 + BV19 ) * ( 1 + BV20 ) + BV17 * 12 * BV18 * ( 1 + BV19 )* ( BV21 ) )</f>
        <v>39984.628002217338</v>
      </c>
      <c r="BW22" s="130">
        <f t="shared" ref="BW22:BZ22" si="4" xml:space="preserve"> IF($BV16= "% jaarsalaris INCL. VU", BW17 * 12 * BW18 * ( 1 + BW19 ) * ( 1 + BW20 ) * ( 1 + BW21 ),  BW17 * 12 * BW18 * ( 1 + BW19 ) * ( 1 + BW20 ) + BW17 * 12 * BW18 * ( 1 + BW19 )* ( BW21 ) )</f>
        <v>42931.391581938813</v>
      </c>
      <c r="BX22" s="130">
        <f t="shared" si="4"/>
        <v>46286.013822016903</v>
      </c>
      <c r="BY22" s="130">
        <f t="shared" si="4"/>
        <v>50075.77674793882</v>
      </c>
      <c r="BZ22" s="131">
        <f t="shared" si="4"/>
        <v>74625.636934142211</v>
      </c>
      <c r="CA22" s="98"/>
      <c r="CB22" s="98"/>
    </row>
    <row r="23" spans="1:84" s="94" customFormat="1" ht="6" customHeight="1" x14ac:dyDescent="0.3">
      <c r="A23" s="107"/>
      <c r="B23" s="147"/>
      <c r="C23" s="135"/>
      <c r="D23" s="98"/>
      <c r="E23" s="90"/>
      <c r="F23" s="127"/>
      <c r="G23" s="113"/>
      <c r="H23" s="120"/>
      <c r="I23" s="120"/>
      <c r="J23" s="120"/>
      <c r="K23" s="121"/>
      <c r="L23" s="98"/>
      <c r="M23" s="113"/>
      <c r="N23" s="120"/>
      <c r="O23" s="120"/>
      <c r="P23" s="120"/>
      <c r="Q23" s="121"/>
      <c r="R23" s="98"/>
      <c r="S23" s="113"/>
      <c r="T23" s="120"/>
      <c r="U23" s="120"/>
      <c r="V23" s="120"/>
      <c r="W23" s="121"/>
      <c r="X23" s="98"/>
      <c r="Y23" s="113"/>
      <c r="Z23" s="120"/>
      <c r="AA23" s="120"/>
      <c r="AB23" s="120"/>
      <c r="AC23" s="121"/>
      <c r="AD23" s="98"/>
      <c r="AE23" s="113"/>
      <c r="AF23" s="120"/>
      <c r="AG23" s="120"/>
      <c r="AH23" s="120"/>
      <c r="AI23" s="121"/>
      <c r="AJ23" s="98"/>
      <c r="AK23" s="98"/>
      <c r="AL23" s="113"/>
      <c r="AM23" s="120"/>
      <c r="AN23" s="120"/>
      <c r="AO23" s="120"/>
      <c r="AP23" s="121"/>
      <c r="AQ23" s="98"/>
      <c r="AR23" s="113"/>
      <c r="AS23" s="120"/>
      <c r="AT23" s="120"/>
      <c r="AU23" s="120"/>
      <c r="AV23" s="121"/>
      <c r="AW23" s="98"/>
      <c r="AX23" s="113"/>
      <c r="AY23" s="120"/>
      <c r="AZ23" s="120"/>
      <c r="BA23" s="120"/>
      <c r="BB23" s="121"/>
      <c r="BC23" s="98"/>
      <c r="BD23" s="113"/>
      <c r="BE23" s="120"/>
      <c r="BF23" s="120"/>
      <c r="BG23" s="120"/>
      <c r="BH23" s="121"/>
      <c r="BI23" s="98"/>
      <c r="BJ23" s="113"/>
      <c r="BK23" s="120"/>
      <c r="BL23" s="120"/>
      <c r="BM23" s="120"/>
      <c r="BN23" s="121"/>
      <c r="BO23" s="98"/>
      <c r="BP23" s="113"/>
      <c r="BQ23" s="120"/>
      <c r="BR23" s="120"/>
      <c r="BS23" s="120"/>
      <c r="BT23" s="121"/>
      <c r="BU23" s="98"/>
      <c r="BV23" s="113"/>
      <c r="BW23" s="120"/>
      <c r="BX23" s="120"/>
      <c r="BY23" s="120"/>
      <c r="BZ23" s="121"/>
      <c r="CA23" s="98"/>
      <c r="CB23" s="98"/>
    </row>
    <row r="24" spans="1:84" s="468" customFormat="1" x14ac:dyDescent="0.3">
      <c r="A24" s="466"/>
      <c r="B24" s="467"/>
      <c r="C24" s="466"/>
      <c r="E24" s="469" t="s">
        <v>24</v>
      </c>
      <c r="F24" s="470" t="s">
        <v>20</v>
      </c>
      <c r="G24" s="472">
        <v>0.25</v>
      </c>
      <c r="H24" s="34">
        <v>0.25</v>
      </c>
      <c r="I24" s="34">
        <v>0.25</v>
      </c>
      <c r="J24" s="34">
        <v>0.25</v>
      </c>
      <c r="K24" s="34">
        <v>0.25</v>
      </c>
      <c r="M24" s="472">
        <v>0.25</v>
      </c>
      <c r="N24" s="34">
        <v>0.25</v>
      </c>
      <c r="O24" s="34">
        <v>0.25</v>
      </c>
      <c r="P24" s="34">
        <v>0.25</v>
      </c>
      <c r="Q24" s="34">
        <v>0.25</v>
      </c>
      <c r="S24" s="472">
        <v>0.25</v>
      </c>
      <c r="T24" s="34">
        <v>0.25</v>
      </c>
      <c r="U24" s="34">
        <v>0.25</v>
      </c>
      <c r="V24" s="34">
        <v>0.25</v>
      </c>
      <c r="W24" s="471"/>
      <c r="Y24" s="472">
        <v>0.25</v>
      </c>
      <c r="Z24" s="34">
        <v>0.25</v>
      </c>
      <c r="AA24" s="34">
        <v>0.25</v>
      </c>
      <c r="AB24" s="34">
        <v>0.25</v>
      </c>
      <c r="AC24" s="471">
        <v>0.25</v>
      </c>
      <c r="AE24" s="472">
        <v>0.25</v>
      </c>
      <c r="AF24" s="34">
        <v>0.25</v>
      </c>
      <c r="AG24" s="34">
        <v>0.25</v>
      </c>
      <c r="AH24" s="34">
        <v>0.25</v>
      </c>
      <c r="AI24" s="34">
        <v>0.25</v>
      </c>
      <c r="AL24" s="472">
        <v>0.25</v>
      </c>
      <c r="AM24" s="34">
        <v>0.25</v>
      </c>
      <c r="AN24" s="34">
        <v>0.25</v>
      </c>
      <c r="AO24" s="34">
        <v>0.25</v>
      </c>
      <c r="AP24" s="34">
        <v>0.25</v>
      </c>
      <c r="AR24" s="472">
        <v>0.25</v>
      </c>
      <c r="AS24" s="34">
        <v>0.25</v>
      </c>
      <c r="AT24" s="34">
        <v>0.25</v>
      </c>
      <c r="AU24" s="34">
        <v>0.25</v>
      </c>
      <c r="AV24" s="471"/>
      <c r="AX24" s="472">
        <v>0.25</v>
      </c>
      <c r="AY24" s="34">
        <v>0.25</v>
      </c>
      <c r="AZ24" s="34">
        <v>0.25</v>
      </c>
      <c r="BA24" s="34">
        <v>0.25</v>
      </c>
      <c r="BB24" s="471">
        <v>0.25</v>
      </c>
      <c r="BD24" s="472">
        <v>0.25</v>
      </c>
      <c r="BE24" s="34">
        <v>0.25</v>
      </c>
      <c r="BF24" s="34">
        <v>0.25</v>
      </c>
      <c r="BG24" s="34">
        <v>0.25</v>
      </c>
      <c r="BH24" s="34">
        <v>0.25</v>
      </c>
      <c r="BJ24" s="472">
        <v>0.25</v>
      </c>
      <c r="BK24" s="34">
        <v>0.25</v>
      </c>
      <c r="BL24" s="34">
        <v>0.25</v>
      </c>
      <c r="BM24" s="34">
        <v>0.25</v>
      </c>
      <c r="BN24" s="34">
        <v>0.25</v>
      </c>
      <c r="BP24" s="472">
        <v>0.25</v>
      </c>
      <c r="BQ24" s="34">
        <v>0.25</v>
      </c>
      <c r="BR24" s="34">
        <v>0.25</v>
      </c>
      <c r="BS24" s="34">
        <v>0.25</v>
      </c>
      <c r="BT24" s="471"/>
      <c r="BV24" s="472">
        <v>0.25</v>
      </c>
      <c r="BW24" s="34">
        <v>0.25</v>
      </c>
      <c r="BX24" s="34">
        <v>0.25</v>
      </c>
      <c r="BY24" s="34">
        <v>0.25</v>
      </c>
      <c r="BZ24" s="471">
        <v>0.25</v>
      </c>
    </row>
    <row r="25" spans="1:84" s="468" customFormat="1" x14ac:dyDescent="0.3">
      <c r="A25" s="466"/>
      <c r="B25" s="467"/>
      <c r="C25" s="466"/>
      <c r="E25" s="468" t="s">
        <v>1</v>
      </c>
      <c r="F25" s="470" t="s">
        <v>20</v>
      </c>
      <c r="G25" s="472">
        <v>0.03</v>
      </c>
      <c r="H25" s="34">
        <v>0.03</v>
      </c>
      <c r="I25" s="34">
        <v>0.03</v>
      </c>
      <c r="J25" s="34">
        <v>0.03</v>
      </c>
      <c r="K25" s="34">
        <v>0.03</v>
      </c>
      <c r="M25" s="472">
        <v>0.03</v>
      </c>
      <c r="N25" s="34">
        <v>0.03</v>
      </c>
      <c r="O25" s="34">
        <v>0.03</v>
      </c>
      <c r="P25" s="34">
        <v>0.03</v>
      </c>
      <c r="Q25" s="34">
        <v>0.03</v>
      </c>
      <c r="S25" s="472">
        <v>0.03</v>
      </c>
      <c r="T25" s="34">
        <v>0.03</v>
      </c>
      <c r="U25" s="34">
        <v>0.03</v>
      </c>
      <c r="V25" s="34">
        <v>0.03</v>
      </c>
      <c r="W25" s="471"/>
      <c r="Y25" s="472">
        <v>0.03</v>
      </c>
      <c r="Z25" s="34">
        <v>0.03</v>
      </c>
      <c r="AA25" s="34">
        <v>0.03</v>
      </c>
      <c r="AB25" s="34">
        <v>0.03</v>
      </c>
      <c r="AC25" s="471">
        <v>0.03</v>
      </c>
      <c r="AE25" s="472">
        <v>0.03</v>
      </c>
      <c r="AF25" s="34">
        <v>0.03</v>
      </c>
      <c r="AG25" s="34">
        <v>0.03</v>
      </c>
      <c r="AH25" s="34">
        <v>0.03</v>
      </c>
      <c r="AI25" s="34">
        <v>0.03</v>
      </c>
      <c r="AL25" s="472">
        <v>0.03</v>
      </c>
      <c r="AM25" s="34">
        <v>0.03</v>
      </c>
      <c r="AN25" s="34">
        <v>0.03</v>
      </c>
      <c r="AO25" s="34">
        <v>0.03</v>
      </c>
      <c r="AP25" s="34">
        <v>0.03</v>
      </c>
      <c r="AR25" s="472">
        <v>0.03</v>
      </c>
      <c r="AS25" s="34">
        <v>0.03</v>
      </c>
      <c r="AT25" s="34">
        <v>0.03</v>
      </c>
      <c r="AU25" s="34">
        <v>0.03</v>
      </c>
      <c r="AV25" s="471"/>
      <c r="AX25" s="472">
        <v>0.03</v>
      </c>
      <c r="AY25" s="34">
        <v>0.03</v>
      </c>
      <c r="AZ25" s="34">
        <v>0.03</v>
      </c>
      <c r="BA25" s="34">
        <v>0.03</v>
      </c>
      <c r="BB25" s="471">
        <v>0.03</v>
      </c>
      <c r="BD25" s="472">
        <v>0.03</v>
      </c>
      <c r="BE25" s="34">
        <v>0.03</v>
      </c>
      <c r="BF25" s="34">
        <v>0.03</v>
      </c>
      <c r="BG25" s="34">
        <v>0.03</v>
      </c>
      <c r="BH25" s="34">
        <v>0.03</v>
      </c>
      <c r="BJ25" s="472">
        <v>0.03</v>
      </c>
      <c r="BK25" s="34">
        <v>0.03</v>
      </c>
      <c r="BL25" s="34">
        <v>0.03</v>
      </c>
      <c r="BM25" s="34">
        <v>0.03</v>
      </c>
      <c r="BN25" s="34">
        <v>0.03</v>
      </c>
      <c r="BP25" s="472">
        <v>0.03</v>
      </c>
      <c r="BQ25" s="34">
        <v>0.03</v>
      </c>
      <c r="BR25" s="34">
        <v>0.03</v>
      </c>
      <c r="BS25" s="34">
        <v>0.03</v>
      </c>
      <c r="BT25" s="471"/>
      <c r="BV25" s="472">
        <v>0.03</v>
      </c>
      <c r="BW25" s="34">
        <v>0.03</v>
      </c>
      <c r="BX25" s="34">
        <v>0.03</v>
      </c>
      <c r="BY25" s="34">
        <v>0.03</v>
      </c>
      <c r="BZ25" s="471">
        <v>0.03</v>
      </c>
    </row>
    <row r="26" spans="1:84" s="94" customFormat="1" x14ac:dyDescent="0.3">
      <c r="A26" s="107"/>
      <c r="B26" s="147"/>
      <c r="C26" s="135"/>
      <c r="D26" s="98"/>
      <c r="E26" s="105" t="s">
        <v>21</v>
      </c>
      <c r="F26" s="128" t="s">
        <v>34</v>
      </c>
      <c r="G26" s="129">
        <f t="shared" ref="G26:K26" si="5" xml:space="preserve"> G22 + ( G22 * G24 ) + ( G22 * G25 )</f>
        <v>48274.910930534417</v>
      </c>
      <c r="H26" s="130">
        <f t="shared" si="5"/>
        <v>50760.461264486403</v>
      </c>
      <c r="I26" s="130">
        <f t="shared" si="5"/>
        <v>55915.67677194241</v>
      </c>
      <c r="J26" s="130">
        <f t="shared" si="5"/>
        <v>61236.59563499521</v>
      </c>
      <c r="K26" s="131">
        <f t="shared" si="5"/>
        <v>85061.055873024015</v>
      </c>
      <c r="M26" s="129">
        <f t="shared" ref="M26:Q26" si="6" xml:space="preserve"> M22 + ( M22 * M24 ) + ( M22 * M25 )</f>
        <v>51162.345863774208</v>
      </c>
      <c r="N26" s="130">
        <f t="shared" si="6"/>
        <v>54365.779028606979</v>
      </c>
      <c r="O26" s="130">
        <f t="shared" si="6"/>
        <v>60717.094494142475</v>
      </c>
      <c r="P26" s="130">
        <f t="shared" si="6"/>
        <v>64698.239756795912</v>
      </c>
      <c r="Q26" s="131">
        <f t="shared" si="6"/>
        <v>87251.89059359541</v>
      </c>
      <c r="S26" s="129">
        <f t="shared" ref="S26:W26" si="7" xml:space="preserve"> S22 + ( S22 * S24 ) + ( S22 * S25 )</f>
        <v>48477.437254041615</v>
      </c>
      <c r="T26" s="130">
        <f t="shared" si="7"/>
        <v>50926.164620083211</v>
      </c>
      <c r="U26" s="130">
        <f t="shared" si="7"/>
        <v>53430.12643799041</v>
      </c>
      <c r="V26" s="130">
        <f t="shared" si="7"/>
        <v>85650.223359590411</v>
      </c>
      <c r="W26" s="131">
        <f t="shared" si="7"/>
        <v>0</v>
      </c>
      <c r="Y26" s="129">
        <f t="shared" ref="Y26:AC26" si="8" xml:space="preserve"> Y22 + ( Y22 * Y24 ) + ( Y22 * Y25 )</f>
        <v>48577.934494897279</v>
      </c>
      <c r="Z26" s="130">
        <f t="shared" si="8"/>
        <v>52158.002518531772</v>
      </c>
      <c r="AA26" s="130">
        <f t="shared" si="8"/>
        <v>56233.584250206295</v>
      </c>
      <c r="AB26" s="130">
        <f t="shared" si="8"/>
        <v>60837.82503885177</v>
      </c>
      <c r="AC26" s="131">
        <f t="shared" si="8"/>
        <v>90663.824668462956</v>
      </c>
      <c r="AE26" s="129">
        <f t="shared" ref="AE26:AI26" si="9" xml:space="preserve"> AE22 + ( AE22 * AE24 ) + ( AE22 * AE25 )</f>
        <v>48274.910930534417</v>
      </c>
      <c r="AF26" s="130">
        <f t="shared" si="9"/>
        <v>50760.461264486403</v>
      </c>
      <c r="AG26" s="130">
        <f t="shared" si="9"/>
        <v>55915.67677194241</v>
      </c>
      <c r="AH26" s="130">
        <f t="shared" si="9"/>
        <v>61236.59563499521</v>
      </c>
      <c r="AI26" s="131">
        <f t="shared" si="9"/>
        <v>85061.055873024015</v>
      </c>
      <c r="AL26" s="129">
        <f t="shared" ref="AL26:AP26" si="10" xml:space="preserve"> AL22 + ( AL22 * AL24 ) + ( AL22 * AL25 )</f>
        <v>51162.345863774208</v>
      </c>
      <c r="AM26" s="130">
        <f t="shared" si="10"/>
        <v>54365.779028606979</v>
      </c>
      <c r="AN26" s="130">
        <f t="shared" si="10"/>
        <v>60717.094494142475</v>
      </c>
      <c r="AO26" s="130">
        <f t="shared" si="10"/>
        <v>64698.239756795912</v>
      </c>
      <c r="AP26" s="131">
        <f t="shared" si="10"/>
        <v>87251.89059359541</v>
      </c>
      <c r="AR26" s="129">
        <f t="shared" ref="AR26:AV26" si="11" xml:space="preserve"> AR22 + ( AR22 * AR24 ) + ( AR22 * AR25 )</f>
        <v>48477.437254041615</v>
      </c>
      <c r="AS26" s="130">
        <f t="shared" si="11"/>
        <v>50926.164620083211</v>
      </c>
      <c r="AT26" s="130">
        <f t="shared" si="11"/>
        <v>53430.12643799041</v>
      </c>
      <c r="AU26" s="130">
        <f t="shared" si="11"/>
        <v>85650.223359590411</v>
      </c>
      <c r="AV26" s="131">
        <f t="shared" si="11"/>
        <v>0</v>
      </c>
      <c r="AX26" s="129">
        <f t="shared" ref="AX26:BB26" si="12" xml:space="preserve"> AX22 + ( AX22 * AX24 ) + ( AX22 * AX25 )</f>
        <v>48577.934494897279</v>
      </c>
      <c r="AY26" s="130">
        <f t="shared" si="12"/>
        <v>52158.002518531772</v>
      </c>
      <c r="AZ26" s="130">
        <f t="shared" si="12"/>
        <v>56233.584250206295</v>
      </c>
      <c r="BA26" s="130">
        <f t="shared" si="12"/>
        <v>60837.82503885177</v>
      </c>
      <c r="BB26" s="131">
        <f t="shared" si="12"/>
        <v>90663.824668462956</v>
      </c>
      <c r="BD26" s="129">
        <f t="shared" ref="BD26:BH26" si="13" xml:space="preserve"> BD22 + ( BD22 * BD24 ) + ( BD22 * BD25 )</f>
        <v>50861.066873241594</v>
      </c>
      <c r="BE26" s="130">
        <f t="shared" si="13"/>
        <v>53479.771689369605</v>
      </c>
      <c r="BF26" s="130">
        <f t="shared" si="13"/>
        <v>58911.159456153604</v>
      </c>
      <c r="BG26" s="130">
        <f t="shared" si="13"/>
        <v>64517.127544012808</v>
      </c>
      <c r="BH26" s="131">
        <f t="shared" si="13"/>
        <v>89617.89815193601</v>
      </c>
      <c r="BJ26" s="129">
        <f t="shared" ref="BJ26:BN26" si="14" xml:space="preserve"> BJ22 + ( BJ22 * BJ24 ) + ( BJ22 * BJ25 )</f>
        <v>53903.185820762104</v>
      </c>
      <c r="BK26" s="130">
        <f t="shared" si="14"/>
        <v>57278.231476568064</v>
      </c>
      <c r="BL26" s="130">
        <f t="shared" si="14"/>
        <v>63969.795984900105</v>
      </c>
      <c r="BM26" s="130">
        <f t="shared" si="14"/>
        <v>68164.216886624257</v>
      </c>
      <c r="BN26" s="131">
        <f t="shared" si="14"/>
        <v>91926.099018252309</v>
      </c>
      <c r="BP26" s="129">
        <f t="shared" ref="BP26:BT26" si="15" xml:space="preserve"> BP22 + ( BP22 * BP24 ) + ( BP22 * BP25 )</f>
        <v>51074.442821222394</v>
      </c>
      <c r="BQ26" s="130">
        <f t="shared" si="15"/>
        <v>53654.352010444803</v>
      </c>
      <c r="BR26" s="130">
        <f t="shared" si="15"/>
        <v>56292.4546400256</v>
      </c>
      <c r="BS26" s="130">
        <f t="shared" si="15"/>
        <v>90238.628182425615</v>
      </c>
      <c r="BT26" s="131">
        <f t="shared" si="15"/>
        <v>0</v>
      </c>
      <c r="BV26" s="129">
        <f t="shared" ref="BV26:BZ26" si="16" xml:space="preserve"> BV22 + ( BV22 * BV24 ) + ( BV22 * BV25 )</f>
        <v>51180.323842838188</v>
      </c>
      <c r="BW26" s="130">
        <f t="shared" si="16"/>
        <v>54952.181224881679</v>
      </c>
      <c r="BX26" s="130">
        <f t="shared" si="16"/>
        <v>59246.097692181633</v>
      </c>
      <c r="BY26" s="130">
        <f t="shared" si="16"/>
        <v>64096.994237361694</v>
      </c>
      <c r="BZ26" s="131">
        <f t="shared" si="16"/>
        <v>95520.815275702029</v>
      </c>
    </row>
    <row r="27" spans="1:84" s="94" customFormat="1" ht="6" customHeight="1" x14ac:dyDescent="0.3">
      <c r="A27" s="107"/>
      <c r="B27" s="147"/>
      <c r="C27" s="135"/>
      <c r="D27" s="98"/>
      <c r="E27" s="90"/>
      <c r="F27" s="127"/>
      <c r="G27" s="113"/>
      <c r="H27" s="120"/>
      <c r="I27" s="120"/>
      <c r="J27" s="120"/>
      <c r="K27" s="121"/>
      <c r="L27" s="98"/>
      <c r="M27" s="113"/>
      <c r="N27" s="120"/>
      <c r="O27" s="120"/>
      <c r="P27" s="120"/>
      <c r="Q27" s="121"/>
      <c r="R27" s="98"/>
      <c r="S27" s="113"/>
      <c r="T27" s="120"/>
      <c r="U27" s="120"/>
      <c r="V27" s="120"/>
      <c r="W27" s="121"/>
      <c r="X27" s="98"/>
      <c r="Y27" s="113"/>
      <c r="Z27" s="120"/>
      <c r="AA27" s="120"/>
      <c r="AB27" s="120"/>
      <c r="AC27" s="121"/>
      <c r="AD27" s="98"/>
      <c r="AE27" s="113"/>
      <c r="AF27" s="120"/>
      <c r="AG27" s="120"/>
      <c r="AH27" s="120"/>
      <c r="AI27" s="121"/>
      <c r="AJ27" s="98"/>
      <c r="AK27" s="98"/>
      <c r="AL27" s="113"/>
      <c r="AM27" s="120"/>
      <c r="AN27" s="120"/>
      <c r="AO27" s="120"/>
      <c r="AP27" s="121"/>
      <c r="AQ27" s="98"/>
      <c r="AR27" s="113"/>
      <c r="AS27" s="120"/>
      <c r="AT27" s="120"/>
      <c r="AU27" s="120"/>
      <c r="AV27" s="121"/>
      <c r="AW27" s="98"/>
      <c r="AX27" s="113"/>
      <c r="AY27" s="120"/>
      <c r="AZ27" s="120"/>
      <c r="BA27" s="120"/>
      <c r="BB27" s="121"/>
      <c r="BC27" s="98"/>
      <c r="BD27" s="113"/>
      <c r="BE27" s="120"/>
      <c r="BF27" s="120"/>
      <c r="BG27" s="120"/>
      <c r="BH27" s="121"/>
      <c r="BI27" s="98"/>
      <c r="BJ27" s="113"/>
      <c r="BK27" s="120"/>
      <c r="BL27" s="120"/>
      <c r="BM27" s="120"/>
      <c r="BN27" s="121"/>
      <c r="BO27" s="98"/>
      <c r="BP27" s="113"/>
      <c r="BQ27" s="120"/>
      <c r="BR27" s="120"/>
      <c r="BS27" s="120"/>
      <c r="BT27" s="121"/>
      <c r="BU27" s="98"/>
      <c r="BV27" s="113"/>
      <c r="BW27" s="120"/>
      <c r="BX27" s="120"/>
      <c r="BY27" s="120"/>
      <c r="BZ27" s="121"/>
      <c r="CA27" s="98"/>
      <c r="CB27" s="98"/>
    </row>
    <row r="28" spans="1:84" s="468" customFormat="1" x14ac:dyDescent="0.3">
      <c r="A28" s="466"/>
      <c r="B28" s="467"/>
      <c r="C28" s="466"/>
      <c r="E28" s="474" t="s">
        <v>23</v>
      </c>
      <c r="F28" s="473" t="s">
        <v>22</v>
      </c>
      <c r="G28" s="472">
        <v>0.01</v>
      </c>
      <c r="H28" s="34">
        <v>0.01</v>
      </c>
      <c r="I28" s="34">
        <v>0.01</v>
      </c>
      <c r="J28" s="34">
        <v>0.01</v>
      </c>
      <c r="K28" s="471">
        <v>0.01</v>
      </c>
      <c r="M28" s="472">
        <v>0.01</v>
      </c>
      <c r="N28" s="34">
        <v>0.01</v>
      </c>
      <c r="O28" s="34">
        <v>0.01</v>
      </c>
      <c r="P28" s="34">
        <v>0.01</v>
      </c>
      <c r="Q28" s="471">
        <v>0.01</v>
      </c>
      <c r="S28" s="472">
        <v>0.01</v>
      </c>
      <c r="T28" s="34">
        <v>0.01</v>
      </c>
      <c r="U28" s="34">
        <v>0.01</v>
      </c>
      <c r="V28" s="34">
        <v>0.01</v>
      </c>
      <c r="W28" s="471"/>
      <c r="Y28" s="472">
        <v>0.01</v>
      </c>
      <c r="Z28" s="34">
        <v>0.01</v>
      </c>
      <c r="AA28" s="34">
        <v>0.01</v>
      </c>
      <c r="AB28" s="34">
        <v>0.01</v>
      </c>
      <c r="AC28" s="471">
        <v>0.01</v>
      </c>
      <c r="AE28" s="472">
        <v>0.01</v>
      </c>
      <c r="AF28" s="34">
        <v>0.01</v>
      </c>
      <c r="AG28" s="34">
        <v>0.01</v>
      </c>
      <c r="AH28" s="34">
        <v>0.01</v>
      </c>
      <c r="AI28" s="471">
        <v>0.01</v>
      </c>
      <c r="AL28" s="472">
        <v>0.01</v>
      </c>
      <c r="AM28" s="34">
        <v>0.01</v>
      </c>
      <c r="AN28" s="34">
        <v>0.01</v>
      </c>
      <c r="AO28" s="34">
        <v>0.01</v>
      </c>
      <c r="AP28" s="471">
        <v>0.01</v>
      </c>
      <c r="AR28" s="472">
        <v>0.01</v>
      </c>
      <c r="AS28" s="34">
        <v>0.01</v>
      </c>
      <c r="AT28" s="34">
        <v>0.01</v>
      </c>
      <c r="AU28" s="34">
        <v>0.01</v>
      </c>
      <c r="AV28" s="471"/>
      <c r="AX28" s="472">
        <v>0.01</v>
      </c>
      <c r="AY28" s="34">
        <v>0.01</v>
      </c>
      <c r="AZ28" s="34">
        <v>0.01</v>
      </c>
      <c r="BA28" s="34">
        <v>0.01</v>
      </c>
      <c r="BB28" s="471">
        <v>0.01</v>
      </c>
      <c r="BD28" s="472">
        <v>0.01</v>
      </c>
      <c r="BE28" s="34">
        <v>0.01</v>
      </c>
      <c r="BF28" s="34">
        <v>0.01</v>
      </c>
      <c r="BG28" s="34">
        <v>0.01</v>
      </c>
      <c r="BH28" s="471">
        <v>0.01</v>
      </c>
      <c r="BJ28" s="472">
        <v>0.01</v>
      </c>
      <c r="BK28" s="34">
        <v>0.01</v>
      </c>
      <c r="BL28" s="34">
        <v>0.01</v>
      </c>
      <c r="BM28" s="34">
        <v>0.01</v>
      </c>
      <c r="BN28" s="471">
        <v>0.01</v>
      </c>
      <c r="BP28" s="472">
        <v>0.01</v>
      </c>
      <c r="BQ28" s="34">
        <v>0.01</v>
      </c>
      <c r="BR28" s="34">
        <v>0.01</v>
      </c>
      <c r="BS28" s="34">
        <v>0.01</v>
      </c>
      <c r="BT28" s="471"/>
      <c r="BV28" s="472">
        <v>0.01</v>
      </c>
      <c r="BW28" s="34">
        <v>0.01</v>
      </c>
      <c r="BX28" s="34">
        <v>0.01</v>
      </c>
      <c r="BY28" s="34">
        <v>0.01</v>
      </c>
      <c r="BZ28" s="471">
        <v>0.01</v>
      </c>
    </row>
    <row r="29" spans="1:84" s="94" customFormat="1" x14ac:dyDescent="0.3">
      <c r="A29" s="107"/>
      <c r="B29" s="147"/>
      <c r="C29" s="135"/>
      <c r="D29" s="98"/>
      <c r="E29" s="105" t="s">
        <v>26</v>
      </c>
      <c r="F29" s="128" t="s">
        <v>34</v>
      </c>
      <c r="G29" s="129">
        <f t="shared" ref="G29:K29" si="17" xml:space="preserve"> G26 * ( 1 + G28 )</f>
        <v>48757.660039839764</v>
      </c>
      <c r="H29" s="130">
        <f t="shared" si="17"/>
        <v>51268.065877131266</v>
      </c>
      <c r="I29" s="130">
        <f t="shared" si="17"/>
        <v>56474.833539661835</v>
      </c>
      <c r="J29" s="130">
        <f t="shared" si="17"/>
        <v>61848.961591345163</v>
      </c>
      <c r="K29" s="131">
        <f t="shared" si="17"/>
        <v>85911.66643175426</v>
      </c>
      <c r="M29" s="129">
        <f t="shared" ref="M29:Q29" si="18" xml:space="preserve"> M26 * ( 1 + M28 )</f>
        <v>51673.969322411947</v>
      </c>
      <c r="N29" s="130">
        <f t="shared" si="18"/>
        <v>54909.436818893053</v>
      </c>
      <c r="O29" s="130">
        <f t="shared" si="18"/>
        <v>61324.265439083902</v>
      </c>
      <c r="P29" s="130">
        <f t="shared" si="18"/>
        <v>65345.222154363873</v>
      </c>
      <c r="Q29" s="131">
        <f t="shared" si="18"/>
        <v>88124.409499531364</v>
      </c>
      <c r="S29" s="129">
        <f t="shared" ref="S29:W29" si="19" xml:space="preserve"> S26 * ( 1 + S28 )</f>
        <v>48962.21162658203</v>
      </c>
      <c r="T29" s="130">
        <f t="shared" si="19"/>
        <v>51435.426266284041</v>
      </c>
      <c r="U29" s="130">
        <f t="shared" si="19"/>
        <v>53964.427702370311</v>
      </c>
      <c r="V29" s="130">
        <f t="shared" si="19"/>
        <v>86506.725593186318</v>
      </c>
      <c r="W29" s="131">
        <f t="shared" si="19"/>
        <v>0</v>
      </c>
      <c r="Y29" s="129">
        <f t="shared" ref="Y29:AC29" si="20" xml:space="preserve"> Y26 * ( 1 + Y28 )</f>
        <v>49063.713839846256</v>
      </c>
      <c r="Z29" s="130">
        <f t="shared" si="20"/>
        <v>52679.582543717093</v>
      </c>
      <c r="AA29" s="130">
        <f t="shared" si="20"/>
        <v>56795.920092708358</v>
      </c>
      <c r="AB29" s="130">
        <f t="shared" si="20"/>
        <v>61446.203289240286</v>
      </c>
      <c r="AC29" s="131">
        <f t="shared" si="20"/>
        <v>91570.462915147582</v>
      </c>
      <c r="AE29" s="129">
        <f t="shared" ref="AE29:AI29" si="21" xml:space="preserve"> AE26 * ( 1 + AE28 )</f>
        <v>48757.660039839764</v>
      </c>
      <c r="AF29" s="130">
        <f t="shared" si="21"/>
        <v>51268.065877131266</v>
      </c>
      <c r="AG29" s="130">
        <f t="shared" si="21"/>
        <v>56474.833539661835</v>
      </c>
      <c r="AH29" s="130">
        <f t="shared" si="21"/>
        <v>61848.961591345163</v>
      </c>
      <c r="AI29" s="131">
        <f t="shared" si="21"/>
        <v>85911.66643175426</v>
      </c>
      <c r="AL29" s="129">
        <f t="shared" ref="AL29:AP29" si="22" xml:space="preserve"> AL26 * ( 1 + AL28 )</f>
        <v>51673.969322411947</v>
      </c>
      <c r="AM29" s="130">
        <f t="shared" si="22"/>
        <v>54909.436818893053</v>
      </c>
      <c r="AN29" s="130">
        <f t="shared" si="22"/>
        <v>61324.265439083902</v>
      </c>
      <c r="AO29" s="130">
        <f t="shared" si="22"/>
        <v>65345.222154363873</v>
      </c>
      <c r="AP29" s="131">
        <f t="shared" si="22"/>
        <v>88124.409499531364</v>
      </c>
      <c r="AR29" s="129">
        <f t="shared" ref="AR29:AV29" si="23" xml:space="preserve"> AR26 * ( 1 + AR28 )</f>
        <v>48962.21162658203</v>
      </c>
      <c r="AS29" s="130">
        <f t="shared" si="23"/>
        <v>51435.426266284041</v>
      </c>
      <c r="AT29" s="130">
        <f t="shared" si="23"/>
        <v>53964.427702370311</v>
      </c>
      <c r="AU29" s="130">
        <f t="shared" si="23"/>
        <v>86506.725593186318</v>
      </c>
      <c r="AV29" s="131">
        <f t="shared" si="23"/>
        <v>0</v>
      </c>
      <c r="AX29" s="129">
        <f t="shared" ref="AX29:BB29" si="24" xml:space="preserve"> AX26 * ( 1 + AX28 )</f>
        <v>49063.713839846256</v>
      </c>
      <c r="AY29" s="130">
        <f t="shared" si="24"/>
        <v>52679.582543717093</v>
      </c>
      <c r="AZ29" s="130">
        <f t="shared" si="24"/>
        <v>56795.920092708358</v>
      </c>
      <c r="BA29" s="130">
        <f t="shared" si="24"/>
        <v>61446.203289240286</v>
      </c>
      <c r="BB29" s="131">
        <f t="shared" si="24"/>
        <v>91570.462915147582</v>
      </c>
      <c r="BD29" s="129">
        <f t="shared" ref="BD29:BH29" si="25" xml:space="preserve"> BD26 * ( 1 + BD28 )</f>
        <v>51369.677541974008</v>
      </c>
      <c r="BE29" s="130">
        <f t="shared" si="25"/>
        <v>54014.569406263305</v>
      </c>
      <c r="BF29" s="130">
        <f t="shared" si="25"/>
        <v>59500.271050715142</v>
      </c>
      <c r="BG29" s="130">
        <f t="shared" si="25"/>
        <v>65162.298819452939</v>
      </c>
      <c r="BH29" s="131">
        <f t="shared" si="25"/>
        <v>90514.077133455372</v>
      </c>
      <c r="BJ29" s="129">
        <f t="shared" ref="BJ29:BN29" si="26" xml:space="preserve"> BJ26 * ( 1 + BJ28 )</f>
        <v>54442.217678969726</v>
      </c>
      <c r="BK29" s="130">
        <f t="shared" si="26"/>
        <v>57851.013791333746</v>
      </c>
      <c r="BL29" s="130">
        <f t="shared" si="26"/>
        <v>64609.493944749105</v>
      </c>
      <c r="BM29" s="130">
        <f t="shared" si="26"/>
        <v>68845.859055490495</v>
      </c>
      <c r="BN29" s="131">
        <f t="shared" si="26"/>
        <v>92845.360008434829</v>
      </c>
      <c r="BP29" s="129">
        <f t="shared" ref="BP29:BT29" si="27" xml:space="preserve"> BP26 * ( 1 + BP28 )</f>
        <v>51585.187249434617</v>
      </c>
      <c r="BQ29" s="130">
        <f t="shared" si="27"/>
        <v>54190.895530549249</v>
      </c>
      <c r="BR29" s="130">
        <f t="shared" si="27"/>
        <v>56855.37918642586</v>
      </c>
      <c r="BS29" s="130">
        <f t="shared" si="27"/>
        <v>91141.014464249878</v>
      </c>
      <c r="BT29" s="131">
        <f t="shared" si="27"/>
        <v>0</v>
      </c>
      <c r="BV29" s="129">
        <f t="shared" ref="BV29:BZ29" si="28" xml:space="preserve"> BV26 * ( 1 + BV28 )</f>
        <v>51692.127081266568</v>
      </c>
      <c r="BW29" s="130">
        <f t="shared" si="28"/>
        <v>55501.703037130494</v>
      </c>
      <c r="BX29" s="130">
        <f t="shared" si="28"/>
        <v>59838.558669103448</v>
      </c>
      <c r="BY29" s="130">
        <f t="shared" si="28"/>
        <v>64737.964179735311</v>
      </c>
      <c r="BZ29" s="131">
        <f t="shared" si="28"/>
        <v>96476.023428459055</v>
      </c>
    </row>
    <row r="30" spans="1:84" s="94" customFormat="1" ht="6" customHeight="1" x14ac:dyDescent="0.3">
      <c r="A30" s="107"/>
      <c r="B30" s="147"/>
      <c r="C30" s="135"/>
      <c r="D30" s="98"/>
      <c r="E30" s="90"/>
      <c r="F30" s="127"/>
      <c r="G30" s="113"/>
      <c r="H30" s="120"/>
      <c r="I30" s="120"/>
      <c r="J30" s="120"/>
      <c r="K30" s="121"/>
      <c r="L30" s="98"/>
      <c r="M30" s="113"/>
      <c r="N30" s="120"/>
      <c r="O30" s="120"/>
      <c r="P30" s="120"/>
      <c r="Q30" s="121"/>
      <c r="R30" s="98"/>
      <c r="S30" s="113"/>
      <c r="T30" s="120"/>
      <c r="U30" s="120"/>
      <c r="V30" s="120"/>
      <c r="W30" s="121"/>
      <c r="X30" s="98"/>
      <c r="Y30" s="113"/>
      <c r="Z30" s="120"/>
      <c r="AA30" s="120"/>
      <c r="AB30" s="120"/>
      <c r="AC30" s="121"/>
      <c r="AD30" s="98"/>
      <c r="AE30" s="113"/>
      <c r="AF30" s="120"/>
      <c r="AG30" s="120"/>
      <c r="AH30" s="120"/>
      <c r="AI30" s="121"/>
      <c r="AJ30" s="98"/>
      <c r="AK30" s="98"/>
      <c r="AL30" s="113"/>
      <c r="AM30" s="120"/>
      <c r="AN30" s="120"/>
      <c r="AO30" s="120"/>
      <c r="AP30" s="121"/>
      <c r="AQ30" s="98"/>
      <c r="AR30" s="113"/>
      <c r="AS30" s="120"/>
      <c r="AT30" s="120"/>
      <c r="AU30" s="120"/>
      <c r="AV30" s="121"/>
      <c r="AW30" s="98"/>
      <c r="AX30" s="113"/>
      <c r="AY30" s="120"/>
      <c r="AZ30" s="120"/>
      <c r="BA30" s="120"/>
      <c r="BB30" s="121"/>
      <c r="BC30" s="98"/>
      <c r="BD30" s="113"/>
      <c r="BE30" s="120"/>
      <c r="BF30" s="120"/>
      <c r="BG30" s="120"/>
      <c r="BH30" s="121"/>
      <c r="BI30" s="98"/>
      <c r="BJ30" s="113"/>
      <c r="BK30" s="120"/>
      <c r="BL30" s="120"/>
      <c r="BM30" s="120"/>
      <c r="BN30" s="121"/>
      <c r="BO30" s="98"/>
      <c r="BP30" s="113"/>
      <c r="BQ30" s="120"/>
      <c r="BR30" s="120"/>
      <c r="BS30" s="120"/>
      <c r="BT30" s="121"/>
      <c r="BU30" s="98"/>
      <c r="BV30" s="113"/>
      <c r="BW30" s="120"/>
      <c r="BX30" s="120"/>
      <c r="BY30" s="120"/>
      <c r="BZ30" s="121"/>
      <c r="CA30" s="98"/>
      <c r="CB30" s="98"/>
    </row>
    <row r="31" spans="1:84" s="108" customFormat="1" x14ac:dyDescent="0.3">
      <c r="A31" s="107"/>
      <c r="B31" s="147"/>
      <c r="C31" s="135"/>
      <c r="D31" s="135"/>
      <c r="E31" s="136" t="s">
        <v>103</v>
      </c>
      <c r="F31" s="137" t="s">
        <v>225</v>
      </c>
      <c r="G31" s="138"/>
      <c r="H31" s="19"/>
      <c r="I31" s="19">
        <f xml:space="preserve"> SUMPRODUCT(G14:K14, G29:K29)</f>
        <v>54642.237278439017</v>
      </c>
      <c r="J31" s="19"/>
      <c r="K31" s="20"/>
      <c r="L31" s="141"/>
      <c r="M31" s="138"/>
      <c r="N31" s="19"/>
      <c r="O31" s="19">
        <f xml:space="preserve"> SUMPRODUCT(M14:Q14, M29:Q29)</f>
        <v>58483.412764427951</v>
      </c>
      <c r="P31" s="19"/>
      <c r="Q31" s="20"/>
      <c r="R31" s="141"/>
      <c r="S31" s="138"/>
      <c r="T31" s="19"/>
      <c r="U31" s="19">
        <f xml:space="preserve"> SUMPRODUCT(S14:W14, S29:W29)</f>
        <v>52390.775154364426</v>
      </c>
      <c r="V31" s="19"/>
      <c r="W31" s="20"/>
      <c r="X31" s="141"/>
      <c r="Y31" s="138"/>
      <c r="Z31" s="19"/>
      <c r="AA31" s="19">
        <f xml:space="preserve"> SUMPRODUCT(Y14:AC14, Y29:AC29)</f>
        <v>55440.203105310015</v>
      </c>
      <c r="AB31" s="19"/>
      <c r="AC31" s="20"/>
      <c r="AD31" s="141"/>
      <c r="AE31" s="138"/>
      <c r="AF31" s="19"/>
      <c r="AG31" s="19">
        <f xml:space="preserve"> SUMPRODUCT(AE14:AI14, AE29:AI29)</f>
        <v>54642.237278439017</v>
      </c>
      <c r="AH31" s="19"/>
      <c r="AI31" s="20"/>
      <c r="AJ31" s="141"/>
      <c r="AK31" s="141"/>
      <c r="AL31" s="138"/>
      <c r="AM31" s="19"/>
      <c r="AN31" s="19">
        <f xml:space="preserve"> SUMPRODUCT(AL14:AP14, AL29:AP29)</f>
        <v>58483.412764427951</v>
      </c>
      <c r="AO31" s="19"/>
      <c r="AP31" s="20"/>
      <c r="AQ31" s="141"/>
      <c r="AR31" s="138"/>
      <c r="AS31" s="19"/>
      <c r="AT31" s="19">
        <f xml:space="preserve"> SUMPRODUCT(AR14:AV14, AR29:AV29)</f>
        <v>52390.775154364426</v>
      </c>
      <c r="AU31" s="19"/>
      <c r="AV31" s="20"/>
      <c r="AW31" s="141"/>
      <c r="AX31" s="138"/>
      <c r="AY31" s="19"/>
      <c r="AZ31" s="19">
        <f xml:space="preserve"> SUMPRODUCT(AX14:BB14, AX29:BB29)</f>
        <v>55440.203105310015</v>
      </c>
      <c r="BA31" s="19"/>
      <c r="BB31" s="20"/>
      <c r="BC31" s="141"/>
      <c r="BD31" s="138"/>
      <c r="BE31" s="19"/>
      <c r="BF31" s="19">
        <f xml:space="preserve"> SUMPRODUCT(BD14:BH14, BD29:BH29)</f>
        <v>57569.499989783966</v>
      </c>
      <c r="BG31" s="19"/>
      <c r="BH31" s="20"/>
      <c r="BI31" s="141"/>
      <c r="BJ31" s="138"/>
      <c r="BK31" s="19"/>
      <c r="BL31" s="19">
        <f xml:space="preserve"> SUMPRODUCT(BJ14:BN14, BJ29:BN29)</f>
        <v>61616.452733950871</v>
      </c>
      <c r="BM31" s="19"/>
      <c r="BN31" s="20"/>
      <c r="BO31" s="141"/>
      <c r="BP31" s="138"/>
      <c r="BQ31" s="19"/>
      <c r="BR31" s="19">
        <f xml:space="preserve"> SUMPRODUCT(BP14:BT14, BP29:BT29)</f>
        <v>55197.423823348225</v>
      </c>
      <c r="BS31" s="19"/>
      <c r="BT31" s="20"/>
      <c r="BU31" s="141"/>
      <c r="BV31" s="138"/>
      <c r="BW31" s="19"/>
      <c r="BX31" s="19">
        <f xml:space="preserve"> SUMPRODUCT(BV14:BZ14, BV29:BZ29)</f>
        <v>58410.21398595161</v>
      </c>
      <c r="BY31" s="19"/>
      <c r="BZ31" s="20"/>
      <c r="CA31" s="141"/>
      <c r="CB31" s="191"/>
      <c r="CC31" s="20"/>
      <c r="CD31" s="141"/>
      <c r="CE31" s="67"/>
      <c r="CF31" s="107"/>
    </row>
    <row r="32" spans="1:84" s="99" customFormat="1" x14ac:dyDescent="0.3">
      <c r="A32" s="108"/>
      <c r="B32" s="148"/>
      <c r="C32" s="149"/>
      <c r="D32" s="101"/>
      <c r="E32" s="96"/>
      <c r="F32" s="145"/>
      <c r="G32" s="115"/>
      <c r="H32" s="13"/>
      <c r="I32" s="13"/>
      <c r="J32" s="13"/>
      <c r="K32" s="125"/>
      <c r="L32" s="101"/>
      <c r="M32" s="115"/>
      <c r="N32" s="13"/>
      <c r="O32" s="13"/>
      <c r="P32" s="13"/>
      <c r="Q32" s="125"/>
      <c r="R32" s="101"/>
      <c r="S32" s="115"/>
      <c r="T32" s="13"/>
      <c r="U32" s="13"/>
      <c r="V32" s="13"/>
      <c r="W32" s="125"/>
      <c r="X32" s="101"/>
      <c r="Y32" s="115"/>
      <c r="Z32" s="13"/>
      <c r="AA32" s="13"/>
      <c r="AB32" s="13"/>
      <c r="AC32" s="125"/>
      <c r="AD32" s="101"/>
      <c r="AE32" s="115"/>
      <c r="AF32" s="13"/>
      <c r="AG32" s="13"/>
      <c r="AH32" s="13"/>
      <c r="AI32" s="125"/>
      <c r="AJ32" s="101"/>
      <c r="AK32" s="101"/>
      <c r="AL32" s="115"/>
      <c r="AM32" s="13"/>
      <c r="AN32" s="13"/>
      <c r="AO32" s="13"/>
      <c r="AP32" s="125"/>
      <c r="AQ32" s="101"/>
      <c r="AR32" s="115"/>
      <c r="AS32" s="13"/>
      <c r="AT32" s="13"/>
      <c r="AU32" s="13"/>
      <c r="AV32" s="125"/>
      <c r="AW32" s="101"/>
      <c r="AX32" s="115"/>
      <c r="AY32" s="13"/>
      <c r="AZ32" s="13"/>
      <c r="BA32" s="13"/>
      <c r="BB32" s="125"/>
      <c r="BC32" s="101"/>
      <c r="BD32" s="115"/>
      <c r="BE32" s="13"/>
      <c r="BF32" s="13"/>
      <c r="BG32" s="13"/>
      <c r="BH32" s="125"/>
      <c r="BI32" s="101"/>
      <c r="BJ32" s="115"/>
      <c r="BK32" s="13"/>
      <c r="BL32" s="13"/>
      <c r="BM32" s="13"/>
      <c r="BN32" s="125"/>
      <c r="BO32" s="101"/>
      <c r="BP32" s="115"/>
      <c r="BQ32" s="13"/>
      <c r="BR32" s="13"/>
      <c r="BS32" s="13"/>
      <c r="BT32" s="125"/>
      <c r="BU32" s="101"/>
      <c r="BV32" s="115"/>
      <c r="BW32" s="13"/>
      <c r="BX32" s="13"/>
      <c r="BY32" s="13"/>
      <c r="BZ32" s="125"/>
      <c r="CA32" s="101"/>
      <c r="CB32" s="191"/>
    </row>
    <row r="33" spans="1:80" s="99" customFormat="1" x14ac:dyDescent="0.3">
      <c r="A33" s="108"/>
      <c r="B33" s="148"/>
      <c r="C33" s="149"/>
      <c r="D33" s="110" t="s">
        <v>51</v>
      </c>
      <c r="E33" s="96"/>
      <c r="F33" s="145"/>
      <c r="G33" s="115"/>
      <c r="H33" s="13"/>
      <c r="I33" s="13"/>
      <c r="J33" s="13"/>
      <c r="K33" s="125"/>
      <c r="L33" s="101"/>
      <c r="M33" s="115"/>
      <c r="N33" s="13"/>
      <c r="O33" s="13"/>
      <c r="P33" s="13"/>
      <c r="Q33" s="125"/>
      <c r="R33" s="101"/>
      <c r="S33" s="115"/>
      <c r="T33" s="13"/>
      <c r="U33" s="13"/>
      <c r="V33" s="13"/>
      <c r="W33" s="125"/>
      <c r="X33" s="101"/>
      <c r="Y33" s="115"/>
      <c r="Z33" s="13"/>
      <c r="AA33" s="13"/>
      <c r="AB33" s="13"/>
      <c r="AC33" s="125"/>
      <c r="AD33" s="101"/>
      <c r="AE33" s="115"/>
      <c r="AF33" s="13"/>
      <c r="AG33" s="13"/>
      <c r="AH33" s="13"/>
      <c r="AI33" s="125"/>
      <c r="AJ33" s="101"/>
      <c r="AK33" s="101"/>
      <c r="AL33" s="115"/>
      <c r="AM33" s="13"/>
      <c r="AN33" s="13"/>
      <c r="AO33" s="13"/>
      <c r="AP33" s="125"/>
      <c r="AQ33" s="101"/>
      <c r="AR33" s="115"/>
      <c r="AS33" s="13"/>
      <c r="AT33" s="13"/>
      <c r="AU33" s="13"/>
      <c r="AV33" s="125"/>
      <c r="AW33" s="101"/>
      <c r="AX33" s="115"/>
      <c r="AY33" s="13"/>
      <c r="AZ33" s="13"/>
      <c r="BA33" s="13"/>
      <c r="BB33" s="125"/>
      <c r="BC33" s="101"/>
      <c r="BD33" s="115"/>
      <c r="BE33" s="13"/>
      <c r="BF33" s="13"/>
      <c r="BG33" s="13"/>
      <c r="BH33" s="125"/>
      <c r="BI33" s="101"/>
      <c r="BJ33" s="115"/>
      <c r="BK33" s="13"/>
      <c r="BL33" s="13"/>
      <c r="BM33" s="13"/>
      <c r="BN33" s="125"/>
      <c r="BO33" s="101"/>
      <c r="BP33" s="115"/>
      <c r="BQ33" s="13"/>
      <c r="BR33" s="13"/>
      <c r="BS33" s="13"/>
      <c r="BT33" s="125"/>
      <c r="BU33" s="101"/>
      <c r="BV33" s="115"/>
      <c r="BW33" s="13"/>
      <c r="BX33" s="13"/>
      <c r="BY33" s="13"/>
      <c r="BZ33" s="125"/>
      <c r="CA33" s="101"/>
      <c r="CB33" s="101"/>
    </row>
    <row r="34" spans="1:80" s="94" customFormat="1" x14ac:dyDescent="0.3">
      <c r="A34" s="107"/>
      <c r="B34" s="147"/>
      <c r="C34" s="135"/>
      <c r="D34" s="98"/>
      <c r="E34" s="91" t="s">
        <v>3</v>
      </c>
      <c r="F34" s="91" t="s">
        <v>45</v>
      </c>
      <c r="G34" s="124">
        <v>1878</v>
      </c>
      <c r="H34" s="132">
        <v>1878</v>
      </c>
      <c r="I34" s="132">
        <v>1878</v>
      </c>
      <c r="J34" s="132">
        <v>1878</v>
      </c>
      <c r="K34" s="133">
        <v>1878</v>
      </c>
      <c r="L34" s="98"/>
      <c r="M34" s="124">
        <v>1878</v>
      </c>
      <c r="N34" s="132">
        <v>1878</v>
      </c>
      <c r="O34" s="132">
        <v>1878</v>
      </c>
      <c r="P34" s="132">
        <v>1878</v>
      </c>
      <c r="Q34" s="133">
        <v>1878</v>
      </c>
      <c r="R34" s="98"/>
      <c r="S34" s="124">
        <v>1878</v>
      </c>
      <c r="T34" s="132">
        <v>1878</v>
      </c>
      <c r="U34" s="132">
        <v>1878</v>
      </c>
      <c r="V34" s="132">
        <v>1878</v>
      </c>
      <c r="W34" s="133">
        <v>1878</v>
      </c>
      <c r="X34" s="98"/>
      <c r="Y34" s="124">
        <v>1878</v>
      </c>
      <c r="Z34" s="132">
        <v>1878</v>
      </c>
      <c r="AA34" s="132">
        <v>1878</v>
      </c>
      <c r="AB34" s="132">
        <v>1878</v>
      </c>
      <c r="AC34" s="133">
        <v>1878</v>
      </c>
      <c r="AD34" s="98"/>
      <c r="AE34" s="124">
        <v>1878</v>
      </c>
      <c r="AF34" s="132">
        <v>1878</v>
      </c>
      <c r="AG34" s="132">
        <v>1878</v>
      </c>
      <c r="AH34" s="132">
        <v>1878</v>
      </c>
      <c r="AI34" s="133">
        <v>1878</v>
      </c>
      <c r="AJ34" s="98"/>
      <c r="AK34" s="98"/>
      <c r="AL34" s="124">
        <v>1878</v>
      </c>
      <c r="AM34" s="132">
        <v>1878</v>
      </c>
      <c r="AN34" s="132">
        <v>1878</v>
      </c>
      <c r="AO34" s="132">
        <v>1878</v>
      </c>
      <c r="AP34" s="133">
        <v>1878</v>
      </c>
      <c r="AQ34" s="98"/>
      <c r="AR34" s="124">
        <v>1878</v>
      </c>
      <c r="AS34" s="132">
        <v>1878</v>
      </c>
      <c r="AT34" s="132">
        <v>1878</v>
      </c>
      <c r="AU34" s="132">
        <v>1878</v>
      </c>
      <c r="AV34" s="133">
        <v>1878</v>
      </c>
      <c r="AW34" s="98"/>
      <c r="AX34" s="124">
        <v>1878</v>
      </c>
      <c r="AY34" s="132">
        <v>1878</v>
      </c>
      <c r="AZ34" s="132">
        <v>1878</v>
      </c>
      <c r="BA34" s="132">
        <v>1878</v>
      </c>
      <c r="BB34" s="133">
        <v>1878</v>
      </c>
      <c r="BC34" s="98"/>
      <c r="BD34" s="124">
        <v>1878</v>
      </c>
      <c r="BE34" s="132">
        <v>1878</v>
      </c>
      <c r="BF34" s="132">
        <v>1878</v>
      </c>
      <c r="BG34" s="132">
        <v>1878</v>
      </c>
      <c r="BH34" s="133">
        <v>1878</v>
      </c>
      <c r="BI34" s="98"/>
      <c r="BJ34" s="124">
        <v>1878</v>
      </c>
      <c r="BK34" s="132">
        <v>1878</v>
      </c>
      <c r="BL34" s="132">
        <v>1878</v>
      </c>
      <c r="BM34" s="132">
        <v>1878</v>
      </c>
      <c r="BN34" s="133">
        <v>1878</v>
      </c>
      <c r="BO34" s="98"/>
      <c r="BP34" s="124">
        <v>1878</v>
      </c>
      <c r="BQ34" s="132">
        <v>1878</v>
      </c>
      <c r="BR34" s="132">
        <v>1878</v>
      </c>
      <c r="BS34" s="132">
        <v>1878</v>
      </c>
      <c r="BT34" s="133">
        <v>1878</v>
      </c>
      <c r="BU34" s="98"/>
      <c r="BV34" s="124">
        <v>1878</v>
      </c>
      <c r="BW34" s="132">
        <v>1878</v>
      </c>
      <c r="BX34" s="132">
        <v>1878</v>
      </c>
      <c r="BY34" s="132">
        <v>1878</v>
      </c>
      <c r="BZ34" s="133">
        <v>1878</v>
      </c>
      <c r="CA34" s="98"/>
      <c r="CB34" s="98"/>
    </row>
    <row r="35" spans="1:80" s="94" customFormat="1" x14ac:dyDescent="0.3">
      <c r="A35" s="107"/>
      <c r="B35" s="147"/>
      <c r="C35" s="135"/>
      <c r="D35" s="98"/>
      <c r="E35" s="91" t="s">
        <v>4</v>
      </c>
      <c r="F35" s="91" t="s">
        <v>45</v>
      </c>
      <c r="G35" s="286">
        <f xml:space="preserve"> 166 + 50 + 35</f>
        <v>251</v>
      </c>
      <c r="H35" s="319">
        <f xml:space="preserve"> 166 + 50 + 35</f>
        <v>251</v>
      </c>
      <c r="I35" s="319">
        <f t="shared" ref="I35:K35" si="29" xml:space="preserve"> 166 + 50 + 35</f>
        <v>251</v>
      </c>
      <c r="J35" s="319">
        <f t="shared" si="29"/>
        <v>251</v>
      </c>
      <c r="K35" s="288">
        <f t="shared" si="29"/>
        <v>251</v>
      </c>
      <c r="L35" s="98"/>
      <c r="M35" s="286">
        <v>220</v>
      </c>
      <c r="N35" s="122">
        <v>220</v>
      </c>
      <c r="O35" s="122">
        <v>220</v>
      </c>
      <c r="P35" s="122">
        <v>220</v>
      </c>
      <c r="Q35" s="288">
        <v>220</v>
      </c>
      <c r="R35" s="98"/>
      <c r="S35" s="286">
        <v>251</v>
      </c>
      <c r="T35" s="122">
        <v>251</v>
      </c>
      <c r="U35" s="122">
        <v>251</v>
      </c>
      <c r="V35" s="122">
        <v>251</v>
      </c>
      <c r="W35" s="123"/>
      <c r="X35" s="98"/>
      <c r="Y35" s="114">
        <v>250</v>
      </c>
      <c r="Z35" s="122">
        <v>250</v>
      </c>
      <c r="AA35" s="122">
        <v>250</v>
      </c>
      <c r="AB35" s="122">
        <v>250</v>
      </c>
      <c r="AC35" s="288">
        <v>250</v>
      </c>
      <c r="AD35" s="98"/>
      <c r="AE35" s="286">
        <f xml:space="preserve"> 166 + 50 + 35</f>
        <v>251</v>
      </c>
      <c r="AF35" s="319">
        <f xml:space="preserve"> 166 + 50 + 35</f>
        <v>251</v>
      </c>
      <c r="AG35" s="319">
        <f t="shared" ref="AG35:AI35" si="30" xml:space="preserve"> 166 + 50 + 35</f>
        <v>251</v>
      </c>
      <c r="AH35" s="319">
        <f t="shared" si="30"/>
        <v>251</v>
      </c>
      <c r="AI35" s="288">
        <f t="shared" si="30"/>
        <v>251</v>
      </c>
      <c r="AJ35" s="98"/>
      <c r="AK35" s="98"/>
      <c r="AL35" s="286">
        <v>220</v>
      </c>
      <c r="AM35" s="122">
        <v>220</v>
      </c>
      <c r="AN35" s="122">
        <v>220</v>
      </c>
      <c r="AO35" s="122">
        <v>220</v>
      </c>
      <c r="AP35" s="288">
        <v>220</v>
      </c>
      <c r="AQ35" s="98"/>
      <c r="AR35" s="286">
        <v>251</v>
      </c>
      <c r="AS35" s="122">
        <v>251</v>
      </c>
      <c r="AT35" s="122">
        <v>251</v>
      </c>
      <c r="AU35" s="122">
        <v>251</v>
      </c>
      <c r="AV35" s="123"/>
      <c r="AW35" s="98"/>
      <c r="AX35" s="114">
        <v>250</v>
      </c>
      <c r="AY35" s="122">
        <v>250</v>
      </c>
      <c r="AZ35" s="122">
        <v>250</v>
      </c>
      <c r="BA35" s="122">
        <v>250</v>
      </c>
      <c r="BB35" s="288">
        <v>250</v>
      </c>
      <c r="BC35" s="520"/>
      <c r="BD35" s="286">
        <f xml:space="preserve"> 166 + 50 + 35</f>
        <v>251</v>
      </c>
      <c r="BE35" s="319">
        <f xml:space="preserve"> 166 + 50 + 35</f>
        <v>251</v>
      </c>
      <c r="BF35" s="319">
        <f t="shared" ref="BF35:BH35" si="31" xml:space="preserve"> 166 + 50 + 35</f>
        <v>251</v>
      </c>
      <c r="BG35" s="319">
        <f t="shared" si="31"/>
        <v>251</v>
      </c>
      <c r="BH35" s="288">
        <f t="shared" si="31"/>
        <v>251</v>
      </c>
      <c r="BI35" s="98"/>
      <c r="BJ35" s="286">
        <v>220</v>
      </c>
      <c r="BK35" s="122">
        <v>220</v>
      </c>
      <c r="BL35" s="122">
        <v>220</v>
      </c>
      <c r="BM35" s="122">
        <v>220</v>
      </c>
      <c r="BN35" s="288">
        <v>220</v>
      </c>
      <c r="BO35" s="98"/>
      <c r="BP35" s="286">
        <v>251</v>
      </c>
      <c r="BQ35" s="122">
        <v>251</v>
      </c>
      <c r="BR35" s="122">
        <v>251</v>
      </c>
      <c r="BS35" s="122">
        <v>251</v>
      </c>
      <c r="BT35" s="123"/>
      <c r="BU35" s="98"/>
      <c r="BV35" s="114">
        <v>250</v>
      </c>
      <c r="BW35" s="122">
        <v>250</v>
      </c>
      <c r="BX35" s="122">
        <v>250</v>
      </c>
      <c r="BY35" s="122">
        <v>250</v>
      </c>
      <c r="BZ35" s="288">
        <v>250</v>
      </c>
      <c r="CA35" s="98"/>
      <c r="CB35" s="98"/>
    </row>
    <row r="36" spans="1:80" s="94" customFormat="1" x14ac:dyDescent="0.3">
      <c r="A36" s="107"/>
      <c r="B36" s="147"/>
      <c r="C36" s="135"/>
      <c r="D36" s="98"/>
      <c r="E36" s="91" t="s">
        <v>5</v>
      </c>
      <c r="F36" s="91" t="s">
        <v>45</v>
      </c>
      <c r="G36" s="286">
        <f xml:space="preserve"> 6.8%*G34</f>
        <v>127.70400000000001</v>
      </c>
      <c r="H36" s="122">
        <f t="shared" ref="H36:K36" si="32" xml:space="preserve"> 6.8%*H34</f>
        <v>127.70400000000001</v>
      </c>
      <c r="I36" s="122">
        <f t="shared" si="32"/>
        <v>127.70400000000001</v>
      </c>
      <c r="J36" s="122">
        <f t="shared" si="32"/>
        <v>127.70400000000001</v>
      </c>
      <c r="K36" s="288">
        <f t="shared" si="32"/>
        <v>127.70400000000001</v>
      </c>
      <c r="L36" s="98"/>
      <c r="M36" s="286">
        <f xml:space="preserve"> 6.8%*M34</f>
        <v>127.70400000000001</v>
      </c>
      <c r="N36" s="122">
        <f t="shared" ref="N36:Q36" si="33" xml:space="preserve"> 6.8%*N34</f>
        <v>127.70400000000001</v>
      </c>
      <c r="O36" s="122">
        <f t="shared" si="33"/>
        <v>127.70400000000001</v>
      </c>
      <c r="P36" s="122">
        <f t="shared" si="33"/>
        <v>127.70400000000001</v>
      </c>
      <c r="Q36" s="288">
        <f t="shared" si="33"/>
        <v>127.70400000000001</v>
      </c>
      <c r="R36" s="98"/>
      <c r="S36" s="286">
        <f xml:space="preserve"> 6.8%*S34</f>
        <v>127.70400000000001</v>
      </c>
      <c r="T36" s="122">
        <f t="shared" ref="T36:V36" si="34" xml:space="preserve"> 6.8%*T34</f>
        <v>127.70400000000001</v>
      </c>
      <c r="U36" s="122">
        <f t="shared" si="34"/>
        <v>127.70400000000001</v>
      </c>
      <c r="V36" s="122">
        <f t="shared" si="34"/>
        <v>127.70400000000001</v>
      </c>
      <c r="W36" s="288"/>
      <c r="X36" s="98"/>
      <c r="Y36" s="114">
        <v>128</v>
      </c>
      <c r="Z36" s="122">
        <f t="shared" ref="Z36:AC36" si="35" xml:space="preserve"> 6.8%*Z34</f>
        <v>127.70400000000001</v>
      </c>
      <c r="AA36" s="122">
        <f t="shared" ref="AA36:AB36" si="36" xml:space="preserve"> 6.8%*AA34</f>
        <v>127.70400000000001</v>
      </c>
      <c r="AB36" s="122">
        <f t="shared" si="36"/>
        <v>127.70400000000001</v>
      </c>
      <c r="AC36" s="288">
        <f t="shared" si="35"/>
        <v>127.70400000000001</v>
      </c>
      <c r="AD36" s="98"/>
      <c r="AE36" s="286">
        <f xml:space="preserve"> 6.8%*AE34</f>
        <v>127.70400000000001</v>
      </c>
      <c r="AF36" s="122">
        <f t="shared" ref="AF36:AI36" si="37" xml:space="preserve"> 6.8%*AF34</f>
        <v>127.70400000000001</v>
      </c>
      <c r="AG36" s="122">
        <f t="shared" si="37"/>
        <v>127.70400000000001</v>
      </c>
      <c r="AH36" s="122">
        <f t="shared" si="37"/>
        <v>127.70400000000001</v>
      </c>
      <c r="AI36" s="288">
        <f t="shared" si="37"/>
        <v>127.70400000000001</v>
      </c>
      <c r="AJ36" s="98"/>
      <c r="AK36" s="98"/>
      <c r="AL36" s="286">
        <f xml:space="preserve"> 6.8%*AL34</f>
        <v>127.70400000000001</v>
      </c>
      <c r="AM36" s="122">
        <f t="shared" ref="AM36:AP36" si="38" xml:space="preserve"> 6.8%*AM34</f>
        <v>127.70400000000001</v>
      </c>
      <c r="AN36" s="122">
        <f t="shared" si="38"/>
        <v>127.70400000000001</v>
      </c>
      <c r="AO36" s="122">
        <f t="shared" si="38"/>
        <v>127.70400000000001</v>
      </c>
      <c r="AP36" s="288">
        <f t="shared" si="38"/>
        <v>127.70400000000001</v>
      </c>
      <c r="AQ36" s="98"/>
      <c r="AR36" s="286">
        <f xml:space="preserve"> 6.8%*AR34</f>
        <v>127.70400000000001</v>
      </c>
      <c r="AS36" s="122">
        <f t="shared" ref="AS36:AU36" si="39" xml:space="preserve"> 6.8%*AS34</f>
        <v>127.70400000000001</v>
      </c>
      <c r="AT36" s="122">
        <f t="shared" si="39"/>
        <v>127.70400000000001</v>
      </c>
      <c r="AU36" s="122">
        <f t="shared" si="39"/>
        <v>127.70400000000001</v>
      </c>
      <c r="AV36" s="288"/>
      <c r="AW36" s="98"/>
      <c r="AX36" s="114">
        <v>128</v>
      </c>
      <c r="AY36" s="122">
        <f t="shared" ref="AY36:BB36" si="40" xml:space="preserve"> 6.8%*AY34</f>
        <v>127.70400000000001</v>
      </c>
      <c r="AZ36" s="122">
        <f t="shared" si="40"/>
        <v>127.70400000000001</v>
      </c>
      <c r="BA36" s="122">
        <f t="shared" si="40"/>
        <v>127.70400000000001</v>
      </c>
      <c r="BB36" s="288">
        <f t="shared" si="40"/>
        <v>127.70400000000001</v>
      </c>
      <c r="BC36" s="98"/>
      <c r="BD36" s="286">
        <f xml:space="preserve"> 6.8%*BD34</f>
        <v>127.70400000000001</v>
      </c>
      <c r="BE36" s="122">
        <f t="shared" ref="BE36:BH36" si="41" xml:space="preserve"> 6.8%*BE34</f>
        <v>127.70400000000001</v>
      </c>
      <c r="BF36" s="122">
        <f t="shared" si="41"/>
        <v>127.70400000000001</v>
      </c>
      <c r="BG36" s="122">
        <f t="shared" si="41"/>
        <v>127.70400000000001</v>
      </c>
      <c r="BH36" s="288">
        <f t="shared" si="41"/>
        <v>127.70400000000001</v>
      </c>
      <c r="BI36" s="98"/>
      <c r="BJ36" s="286">
        <f xml:space="preserve"> 6.8%*BJ34</f>
        <v>127.70400000000001</v>
      </c>
      <c r="BK36" s="122">
        <f t="shared" ref="BK36:BN36" si="42" xml:space="preserve"> 6.8%*BK34</f>
        <v>127.70400000000001</v>
      </c>
      <c r="BL36" s="122">
        <f t="shared" si="42"/>
        <v>127.70400000000001</v>
      </c>
      <c r="BM36" s="122">
        <f t="shared" si="42"/>
        <v>127.70400000000001</v>
      </c>
      <c r="BN36" s="288">
        <f t="shared" si="42"/>
        <v>127.70400000000001</v>
      </c>
      <c r="BO36" s="98"/>
      <c r="BP36" s="286">
        <f xml:space="preserve"> 6.8%*BP34</f>
        <v>127.70400000000001</v>
      </c>
      <c r="BQ36" s="122">
        <f t="shared" ref="BQ36:BS36" si="43" xml:space="preserve"> 6.8%*BQ34</f>
        <v>127.70400000000001</v>
      </c>
      <c r="BR36" s="122">
        <f t="shared" si="43"/>
        <v>127.70400000000001</v>
      </c>
      <c r="BS36" s="122">
        <f t="shared" si="43"/>
        <v>127.70400000000001</v>
      </c>
      <c r="BT36" s="288"/>
      <c r="BU36" s="98"/>
      <c r="BV36" s="114">
        <v>128</v>
      </c>
      <c r="BW36" s="122">
        <f t="shared" ref="BW36:BZ36" si="44" xml:space="preserve"> 6.8%*BW34</f>
        <v>127.70400000000001</v>
      </c>
      <c r="BX36" s="122">
        <f t="shared" si="44"/>
        <v>127.70400000000001</v>
      </c>
      <c r="BY36" s="122">
        <f t="shared" si="44"/>
        <v>127.70400000000001</v>
      </c>
      <c r="BZ36" s="288">
        <f t="shared" si="44"/>
        <v>127.70400000000001</v>
      </c>
      <c r="CA36" s="98"/>
      <c r="CB36" s="98"/>
    </row>
    <row r="37" spans="1:80" s="94" customFormat="1" x14ac:dyDescent="0.3">
      <c r="A37" s="107"/>
      <c r="B37" s="147"/>
      <c r="C37" s="135"/>
      <c r="D37" s="98"/>
      <c r="E37" s="91" t="s">
        <v>35</v>
      </c>
      <c r="F37" s="91" t="s">
        <v>45</v>
      </c>
      <c r="G37" s="286">
        <v>78</v>
      </c>
      <c r="H37" s="122">
        <v>78</v>
      </c>
      <c r="I37" s="122">
        <v>78</v>
      </c>
      <c r="J37" s="122">
        <v>78</v>
      </c>
      <c r="K37" s="288">
        <v>78</v>
      </c>
      <c r="L37" s="98"/>
      <c r="M37" s="286">
        <v>78</v>
      </c>
      <c r="N37" s="122">
        <v>78</v>
      </c>
      <c r="O37" s="122">
        <v>78</v>
      </c>
      <c r="P37" s="122">
        <v>78</v>
      </c>
      <c r="Q37" s="288">
        <v>78</v>
      </c>
      <c r="R37" s="98"/>
      <c r="S37" s="286">
        <v>78</v>
      </c>
      <c r="T37" s="122">
        <v>78</v>
      </c>
      <c r="U37" s="122">
        <v>78</v>
      </c>
      <c r="V37" s="122">
        <v>78</v>
      </c>
      <c r="W37" s="123"/>
      <c r="X37" s="98"/>
      <c r="Y37" s="114">
        <v>78</v>
      </c>
      <c r="Z37" s="122">
        <v>78</v>
      </c>
      <c r="AA37" s="122">
        <v>78</v>
      </c>
      <c r="AB37" s="122">
        <v>78</v>
      </c>
      <c r="AC37" s="288">
        <v>78</v>
      </c>
      <c r="AD37" s="98"/>
      <c r="AE37" s="286">
        <v>78</v>
      </c>
      <c r="AF37" s="122">
        <v>78</v>
      </c>
      <c r="AG37" s="122">
        <v>78</v>
      </c>
      <c r="AH37" s="122">
        <v>78</v>
      </c>
      <c r="AI37" s="288">
        <v>78</v>
      </c>
      <c r="AJ37" s="98"/>
      <c r="AK37" s="98"/>
      <c r="AL37" s="286">
        <v>78</v>
      </c>
      <c r="AM37" s="122">
        <v>78</v>
      </c>
      <c r="AN37" s="122">
        <v>78</v>
      </c>
      <c r="AO37" s="122">
        <v>78</v>
      </c>
      <c r="AP37" s="288">
        <v>78</v>
      </c>
      <c r="AQ37" s="98"/>
      <c r="AR37" s="286">
        <v>78</v>
      </c>
      <c r="AS37" s="122">
        <v>78</v>
      </c>
      <c r="AT37" s="122">
        <v>78</v>
      </c>
      <c r="AU37" s="122">
        <v>78</v>
      </c>
      <c r="AV37" s="123"/>
      <c r="AW37" s="98"/>
      <c r="AX37" s="114">
        <v>78</v>
      </c>
      <c r="AY37" s="122">
        <v>78</v>
      </c>
      <c r="AZ37" s="122">
        <v>78</v>
      </c>
      <c r="BA37" s="122">
        <v>78</v>
      </c>
      <c r="BB37" s="288">
        <v>78</v>
      </c>
      <c r="BC37" s="98"/>
      <c r="BD37" s="286">
        <v>78</v>
      </c>
      <c r="BE37" s="122">
        <v>78</v>
      </c>
      <c r="BF37" s="122">
        <v>78</v>
      </c>
      <c r="BG37" s="122">
        <v>78</v>
      </c>
      <c r="BH37" s="288">
        <v>78</v>
      </c>
      <c r="BI37" s="98"/>
      <c r="BJ37" s="286">
        <v>78</v>
      </c>
      <c r="BK37" s="122">
        <v>78</v>
      </c>
      <c r="BL37" s="122">
        <v>78</v>
      </c>
      <c r="BM37" s="122">
        <v>78</v>
      </c>
      <c r="BN37" s="288">
        <v>78</v>
      </c>
      <c r="BO37" s="98"/>
      <c r="BP37" s="286">
        <v>78</v>
      </c>
      <c r="BQ37" s="122">
        <v>78</v>
      </c>
      <c r="BR37" s="122">
        <v>78</v>
      </c>
      <c r="BS37" s="122">
        <v>78</v>
      </c>
      <c r="BT37" s="123"/>
      <c r="BU37" s="98"/>
      <c r="BV37" s="114">
        <v>78</v>
      </c>
      <c r="BW37" s="122">
        <v>78</v>
      </c>
      <c r="BX37" s="122">
        <v>78</v>
      </c>
      <c r="BY37" s="122">
        <v>78</v>
      </c>
      <c r="BZ37" s="288">
        <v>78</v>
      </c>
      <c r="CA37" s="98"/>
      <c r="CB37" s="98"/>
    </row>
    <row r="38" spans="1:80" s="94" customFormat="1" x14ac:dyDescent="0.3">
      <c r="A38" s="107"/>
      <c r="B38" s="147"/>
      <c r="C38" s="135"/>
      <c r="D38" s="98"/>
      <c r="E38" s="91" t="s">
        <v>36</v>
      </c>
      <c r="F38" s="91" t="s">
        <v>45</v>
      </c>
      <c r="G38" s="286">
        <v>105</v>
      </c>
      <c r="H38" s="122">
        <v>105</v>
      </c>
      <c r="I38" s="122">
        <v>105</v>
      </c>
      <c r="J38" s="122">
        <v>105</v>
      </c>
      <c r="K38" s="288">
        <v>105</v>
      </c>
      <c r="L38" s="98"/>
      <c r="M38" s="286">
        <v>105</v>
      </c>
      <c r="N38" s="122">
        <v>105</v>
      </c>
      <c r="O38" s="122">
        <v>105</v>
      </c>
      <c r="P38" s="122">
        <v>105</v>
      </c>
      <c r="Q38" s="288">
        <v>105</v>
      </c>
      <c r="R38" s="98"/>
      <c r="S38" s="286">
        <v>105</v>
      </c>
      <c r="T38" s="122">
        <v>105</v>
      </c>
      <c r="U38" s="122">
        <v>105</v>
      </c>
      <c r="V38" s="122">
        <v>105</v>
      </c>
      <c r="W38" s="288"/>
      <c r="X38" s="98"/>
      <c r="Y38" s="114">
        <v>105</v>
      </c>
      <c r="Z38" s="122">
        <v>105</v>
      </c>
      <c r="AA38" s="122">
        <v>105</v>
      </c>
      <c r="AB38" s="122">
        <v>105</v>
      </c>
      <c r="AC38" s="288">
        <v>105</v>
      </c>
      <c r="AD38" s="98"/>
      <c r="AE38" s="286">
        <v>63</v>
      </c>
      <c r="AF38" s="122">
        <v>63</v>
      </c>
      <c r="AG38" s="122">
        <v>63</v>
      </c>
      <c r="AH38" s="122">
        <v>63</v>
      </c>
      <c r="AI38" s="288">
        <v>63</v>
      </c>
      <c r="AJ38" s="98"/>
      <c r="AK38" s="98"/>
      <c r="AL38" s="286">
        <v>63</v>
      </c>
      <c r="AM38" s="122">
        <v>63</v>
      </c>
      <c r="AN38" s="122">
        <v>63</v>
      </c>
      <c r="AO38" s="122">
        <v>63</v>
      </c>
      <c r="AP38" s="288">
        <v>63</v>
      </c>
      <c r="AQ38" s="98"/>
      <c r="AR38" s="286">
        <v>63</v>
      </c>
      <c r="AS38" s="287">
        <v>63</v>
      </c>
      <c r="AT38" s="287">
        <v>63</v>
      </c>
      <c r="AU38" s="287">
        <v>63</v>
      </c>
      <c r="AV38" s="288"/>
      <c r="AW38" s="98"/>
      <c r="AX38" s="114">
        <v>63</v>
      </c>
      <c r="AY38" s="122">
        <v>63</v>
      </c>
      <c r="AZ38" s="122">
        <v>63</v>
      </c>
      <c r="BA38" s="122">
        <v>63</v>
      </c>
      <c r="BB38" s="288">
        <v>63</v>
      </c>
      <c r="BC38" s="98"/>
      <c r="BD38" s="286">
        <v>0</v>
      </c>
      <c r="BE38" s="122">
        <v>0</v>
      </c>
      <c r="BF38" s="122">
        <v>0</v>
      </c>
      <c r="BG38" s="122">
        <v>0</v>
      </c>
      <c r="BH38" s="288">
        <v>0</v>
      </c>
      <c r="BI38" s="98"/>
      <c r="BJ38" s="286">
        <v>0</v>
      </c>
      <c r="BK38" s="122">
        <v>0</v>
      </c>
      <c r="BL38" s="122">
        <v>0</v>
      </c>
      <c r="BM38" s="122">
        <v>0</v>
      </c>
      <c r="BN38" s="288">
        <v>0</v>
      </c>
      <c r="BO38" s="98"/>
      <c r="BP38" s="286">
        <v>0</v>
      </c>
      <c r="BQ38" s="287">
        <v>0</v>
      </c>
      <c r="BR38" s="287">
        <v>0</v>
      </c>
      <c r="BS38" s="287">
        <v>0</v>
      </c>
      <c r="BT38" s="288"/>
      <c r="BU38" s="98"/>
      <c r="BV38" s="114">
        <v>0</v>
      </c>
      <c r="BW38" s="122">
        <v>0</v>
      </c>
      <c r="BX38" s="122">
        <v>0</v>
      </c>
      <c r="BY38" s="122">
        <v>0</v>
      </c>
      <c r="BZ38" s="288">
        <v>0</v>
      </c>
      <c r="CA38" s="98"/>
      <c r="CB38" s="98"/>
    </row>
    <row r="39" spans="1:80" s="94" customFormat="1" x14ac:dyDescent="0.3">
      <c r="A39" s="107"/>
      <c r="B39" s="147"/>
      <c r="C39" s="135"/>
      <c r="D39" s="98"/>
      <c r="E39" s="91" t="s">
        <v>65</v>
      </c>
      <c r="F39" s="91" t="s">
        <v>45</v>
      </c>
      <c r="G39" s="286">
        <v>45</v>
      </c>
      <c r="H39" s="122">
        <v>45</v>
      </c>
      <c r="I39" s="122">
        <v>45</v>
      </c>
      <c r="J39" s="122">
        <v>45</v>
      </c>
      <c r="K39" s="288">
        <v>45</v>
      </c>
      <c r="L39" s="98"/>
      <c r="M39" s="286">
        <v>45</v>
      </c>
      <c r="N39" s="122">
        <v>45</v>
      </c>
      <c r="O39" s="122">
        <v>45</v>
      </c>
      <c r="P39" s="122">
        <v>45</v>
      </c>
      <c r="Q39" s="288">
        <v>45</v>
      </c>
      <c r="R39" s="98"/>
      <c r="S39" s="286">
        <v>45</v>
      </c>
      <c r="T39" s="287">
        <v>45</v>
      </c>
      <c r="U39" s="287">
        <v>45</v>
      </c>
      <c r="V39" s="287">
        <v>45</v>
      </c>
      <c r="W39" s="288"/>
      <c r="X39" s="98"/>
      <c r="Y39" s="114">
        <v>45</v>
      </c>
      <c r="Z39" s="122">
        <v>45</v>
      </c>
      <c r="AA39" s="122">
        <v>45</v>
      </c>
      <c r="AB39" s="122">
        <v>45</v>
      </c>
      <c r="AC39" s="288">
        <v>45</v>
      </c>
      <c r="AD39" s="98"/>
      <c r="AE39" s="286">
        <v>0</v>
      </c>
      <c r="AF39" s="122">
        <v>0</v>
      </c>
      <c r="AG39" s="122">
        <v>0</v>
      </c>
      <c r="AH39" s="122">
        <v>0</v>
      </c>
      <c r="AI39" s="288">
        <v>0</v>
      </c>
      <c r="AJ39" s="98"/>
      <c r="AK39" s="98"/>
      <c r="AL39" s="286">
        <v>0</v>
      </c>
      <c r="AM39" s="122">
        <v>0</v>
      </c>
      <c r="AN39" s="122">
        <v>0</v>
      </c>
      <c r="AO39" s="122">
        <v>0</v>
      </c>
      <c r="AP39" s="288">
        <v>0</v>
      </c>
      <c r="AQ39" s="98"/>
      <c r="AR39" s="286">
        <v>0</v>
      </c>
      <c r="AS39" s="287">
        <v>0</v>
      </c>
      <c r="AT39" s="287">
        <v>0</v>
      </c>
      <c r="AU39" s="287">
        <v>0</v>
      </c>
      <c r="AV39" s="288"/>
      <c r="AW39" s="98"/>
      <c r="AX39" s="114">
        <v>0</v>
      </c>
      <c r="AY39" s="122">
        <v>0</v>
      </c>
      <c r="AZ39" s="122">
        <v>0</v>
      </c>
      <c r="BA39" s="122">
        <v>0</v>
      </c>
      <c r="BB39" s="288">
        <v>0</v>
      </c>
      <c r="BC39" s="98"/>
      <c r="BD39" s="286">
        <v>0</v>
      </c>
      <c r="BE39" s="122">
        <v>0</v>
      </c>
      <c r="BF39" s="122">
        <v>0</v>
      </c>
      <c r="BG39" s="122">
        <v>0</v>
      </c>
      <c r="BH39" s="288">
        <v>0</v>
      </c>
      <c r="BI39" s="98"/>
      <c r="BJ39" s="286">
        <v>0</v>
      </c>
      <c r="BK39" s="122">
        <v>0</v>
      </c>
      <c r="BL39" s="122">
        <v>0</v>
      </c>
      <c r="BM39" s="122">
        <v>0</v>
      </c>
      <c r="BN39" s="288">
        <v>0</v>
      </c>
      <c r="BO39" s="98"/>
      <c r="BP39" s="286">
        <v>0</v>
      </c>
      <c r="BQ39" s="287">
        <v>0</v>
      </c>
      <c r="BR39" s="287">
        <v>0</v>
      </c>
      <c r="BS39" s="287">
        <v>0</v>
      </c>
      <c r="BT39" s="288"/>
      <c r="BU39" s="98"/>
      <c r="BV39" s="114">
        <v>0</v>
      </c>
      <c r="BW39" s="122">
        <v>0</v>
      </c>
      <c r="BX39" s="122">
        <v>0</v>
      </c>
      <c r="BY39" s="122">
        <v>0</v>
      </c>
      <c r="BZ39" s="288">
        <v>0</v>
      </c>
      <c r="CA39" s="98"/>
      <c r="CB39" s="98"/>
    </row>
    <row r="40" spans="1:80" s="94" customFormat="1" x14ac:dyDescent="0.3">
      <c r="A40" s="107"/>
      <c r="B40" s="147"/>
      <c r="C40" s="135"/>
      <c r="D40" s="98"/>
      <c r="E40" s="150" t="s">
        <v>72</v>
      </c>
      <c r="F40" s="150" t="s">
        <v>45</v>
      </c>
      <c r="G40" s="151">
        <f xml:space="preserve"> G34 - SUM( G35:G39 )</f>
        <v>1271.296</v>
      </c>
      <c r="H40" s="152">
        <f xml:space="preserve"> H34 - SUM( H35:H39 )</f>
        <v>1271.296</v>
      </c>
      <c r="I40" s="152">
        <f xml:space="preserve"> I34 - SUM( I35:I39 )</f>
        <v>1271.296</v>
      </c>
      <c r="J40" s="152">
        <f xml:space="preserve"> J34 - SUM( J35:J39 )</f>
        <v>1271.296</v>
      </c>
      <c r="K40" s="153">
        <f xml:space="preserve"> K34 - SUM( K35:K39 )</f>
        <v>1271.296</v>
      </c>
      <c r="L40" s="98"/>
      <c r="M40" s="151">
        <f xml:space="preserve"> M34 - SUM( M35:M39 )</f>
        <v>1302.296</v>
      </c>
      <c r="N40" s="152">
        <f xml:space="preserve"> N34 - SUM( N35:N39 )</f>
        <v>1302.296</v>
      </c>
      <c r="O40" s="152">
        <f xml:space="preserve"> O34 - SUM( O35:O39 )</f>
        <v>1302.296</v>
      </c>
      <c r="P40" s="152">
        <f xml:space="preserve"> P34 - SUM( P35:P39 )</f>
        <v>1302.296</v>
      </c>
      <c r="Q40" s="153">
        <f xml:space="preserve"> Q34 - SUM( Q35:Q39 )</f>
        <v>1302.296</v>
      </c>
      <c r="R40" s="98"/>
      <c r="S40" s="151">
        <f xml:space="preserve"> S34 - SUM( S35:S39 )</f>
        <v>1271.296</v>
      </c>
      <c r="T40" s="152">
        <f xml:space="preserve"> T34 - SUM( T35:T39 )</f>
        <v>1271.296</v>
      </c>
      <c r="U40" s="152">
        <f t="shared" ref="U40:V40" si="45" xml:space="preserve"> U34 - SUM( U35:U39 )</f>
        <v>1271.296</v>
      </c>
      <c r="V40" s="152">
        <f t="shared" si="45"/>
        <v>1271.296</v>
      </c>
      <c r="W40" s="153">
        <f xml:space="preserve"> W34 - SUM( W35:W39 )</f>
        <v>1878</v>
      </c>
      <c r="X40" s="98"/>
      <c r="Y40" s="151">
        <f xml:space="preserve"> Y34 - SUM( Y35:Y39 )</f>
        <v>1272</v>
      </c>
      <c r="Z40" s="152">
        <f t="shared" ref="Z40:AA40" si="46" xml:space="preserve"> Z34 - SUM( Z35:Z39 )</f>
        <v>1272.296</v>
      </c>
      <c r="AA40" s="152">
        <f t="shared" si="46"/>
        <v>1272.296</v>
      </c>
      <c r="AB40" s="152">
        <f xml:space="preserve"> AB34 - SUM( AB35:AB39 )</f>
        <v>1272.296</v>
      </c>
      <c r="AC40" s="153">
        <f xml:space="preserve"> AC34 - SUM( AC35:AC39 )</f>
        <v>1272.296</v>
      </c>
      <c r="AD40" s="98"/>
      <c r="AE40" s="151">
        <f xml:space="preserve"> AE34 - SUM( AE35:AE39 )</f>
        <v>1358.296</v>
      </c>
      <c r="AF40" s="152">
        <f xml:space="preserve"> AF34 - SUM( AF35:AF39 )</f>
        <v>1358.296</v>
      </c>
      <c r="AG40" s="152">
        <f xml:space="preserve"> AG34 - SUM( AG35:AG39 )</f>
        <v>1358.296</v>
      </c>
      <c r="AH40" s="152">
        <f xml:space="preserve"> AH34 - SUM( AH35:AH39 )</f>
        <v>1358.296</v>
      </c>
      <c r="AI40" s="153">
        <f xml:space="preserve"> AI34 - SUM( AI35:AI39 )</f>
        <v>1358.296</v>
      </c>
      <c r="AJ40" s="98"/>
      <c r="AK40" s="98"/>
      <c r="AL40" s="151">
        <f xml:space="preserve"> AL34 - SUM( AL35:AL39 )</f>
        <v>1389.296</v>
      </c>
      <c r="AM40" s="152">
        <f xml:space="preserve"> AM34 - SUM( AM35:AM39 )</f>
        <v>1389.296</v>
      </c>
      <c r="AN40" s="152">
        <f xml:space="preserve"> AN34 - SUM( AN35:AN39 )</f>
        <v>1389.296</v>
      </c>
      <c r="AO40" s="152">
        <f xml:space="preserve"> AO34 - SUM( AO35:AO39 )</f>
        <v>1389.296</v>
      </c>
      <c r="AP40" s="153">
        <f xml:space="preserve"> AP34 - SUM( AP35:AP39 )</f>
        <v>1389.296</v>
      </c>
      <c r="AQ40" s="98"/>
      <c r="AR40" s="151">
        <f xml:space="preserve"> AR34 - SUM( AR35:AR39 )</f>
        <v>1358.296</v>
      </c>
      <c r="AS40" s="152">
        <f xml:space="preserve"> AS34 - SUM( AS35:AS39 )</f>
        <v>1358.296</v>
      </c>
      <c r="AT40" s="152">
        <f t="shared" ref="AT40:AU40" si="47" xml:space="preserve"> AT34 - SUM( AT35:AT39 )</f>
        <v>1358.296</v>
      </c>
      <c r="AU40" s="152">
        <f t="shared" si="47"/>
        <v>1358.296</v>
      </c>
      <c r="AV40" s="153">
        <f xml:space="preserve"> AV34 - SUM( AV35:AV39 )</f>
        <v>1878</v>
      </c>
      <c r="AW40" s="98"/>
      <c r="AX40" s="151">
        <f xml:space="preserve"> AX34 - SUM( AX35:AX39 )</f>
        <v>1359</v>
      </c>
      <c r="AY40" s="152">
        <f t="shared" ref="AY40:AZ40" si="48" xml:space="preserve"> AY34 - SUM( AY35:AY39 )</f>
        <v>1359.296</v>
      </c>
      <c r="AZ40" s="152">
        <f t="shared" si="48"/>
        <v>1359.296</v>
      </c>
      <c r="BA40" s="152">
        <f xml:space="preserve"> BA34 - SUM( BA35:BA39 )</f>
        <v>1359.296</v>
      </c>
      <c r="BB40" s="153">
        <f xml:space="preserve"> BB34 - SUM( BB35:BB39 )</f>
        <v>1359.296</v>
      </c>
      <c r="BC40" s="98"/>
      <c r="BD40" s="151">
        <f xml:space="preserve"> BD34 - SUM( BD35:BD39 )</f>
        <v>1421.296</v>
      </c>
      <c r="BE40" s="152">
        <f xml:space="preserve"> BE34 - SUM( BE35:BE39 )</f>
        <v>1421.296</v>
      </c>
      <c r="BF40" s="152">
        <f xml:space="preserve"> BF34 - SUM( BF35:BF39 )</f>
        <v>1421.296</v>
      </c>
      <c r="BG40" s="152">
        <f xml:space="preserve"> BG34 - SUM( BG35:BG39 )</f>
        <v>1421.296</v>
      </c>
      <c r="BH40" s="153">
        <f xml:space="preserve"> BH34 - SUM( BH35:BH39 )</f>
        <v>1421.296</v>
      </c>
      <c r="BI40" s="98"/>
      <c r="BJ40" s="151">
        <f xml:space="preserve"> BJ34 - SUM( BJ35:BJ39 )</f>
        <v>1452.296</v>
      </c>
      <c r="BK40" s="152">
        <f xml:space="preserve"> BK34 - SUM( BK35:BK39 )</f>
        <v>1452.296</v>
      </c>
      <c r="BL40" s="152">
        <f xml:space="preserve"> BL34 - SUM( BL35:BL39 )</f>
        <v>1452.296</v>
      </c>
      <c r="BM40" s="152">
        <f xml:space="preserve"> BM34 - SUM( BM35:BM39 )</f>
        <v>1452.296</v>
      </c>
      <c r="BN40" s="153">
        <f xml:space="preserve"> BN34 - SUM( BN35:BN39 )</f>
        <v>1452.296</v>
      </c>
      <c r="BO40" s="98"/>
      <c r="BP40" s="151">
        <f xml:space="preserve"> BP34 - SUM( BP35:BP39 )</f>
        <v>1421.296</v>
      </c>
      <c r="BQ40" s="152">
        <f xml:space="preserve"> BQ34 - SUM( BQ35:BQ39 )</f>
        <v>1421.296</v>
      </c>
      <c r="BR40" s="152">
        <f t="shared" ref="BR40:BS40" si="49" xml:space="preserve"> BR34 - SUM( BR35:BR39 )</f>
        <v>1421.296</v>
      </c>
      <c r="BS40" s="152">
        <f t="shared" si="49"/>
        <v>1421.296</v>
      </c>
      <c r="BT40" s="153">
        <f xml:space="preserve"> BT34 - SUM( BT35:BT39 )</f>
        <v>1878</v>
      </c>
      <c r="BU40" s="98"/>
      <c r="BV40" s="151">
        <f xml:space="preserve"> BV34 - SUM( BV35:BV39 )</f>
        <v>1422</v>
      </c>
      <c r="BW40" s="152">
        <f t="shared" ref="BW40:BX40" si="50" xml:space="preserve"> BW34 - SUM( BW35:BW39 )</f>
        <v>1422.296</v>
      </c>
      <c r="BX40" s="152">
        <f t="shared" si="50"/>
        <v>1422.296</v>
      </c>
      <c r="BY40" s="152">
        <f xml:space="preserve"> BY34 - SUM( BY35:BY39 )</f>
        <v>1422.296</v>
      </c>
      <c r="BZ40" s="153">
        <f xml:space="preserve"> BZ34 - SUM( BZ35:BZ39 )</f>
        <v>1422.296</v>
      </c>
      <c r="CA40" s="98"/>
      <c r="CB40" s="98"/>
    </row>
    <row r="41" spans="1:80" s="94" customFormat="1" ht="6" customHeight="1" x14ac:dyDescent="0.3">
      <c r="A41" s="107"/>
      <c r="B41" s="147"/>
      <c r="C41" s="135"/>
      <c r="D41" s="98"/>
      <c r="E41" s="90"/>
      <c r="F41" s="127"/>
      <c r="G41" s="113"/>
      <c r="H41" s="120"/>
      <c r="I41" s="120"/>
      <c r="J41" s="120"/>
      <c r="K41" s="121"/>
      <c r="L41" s="98"/>
      <c r="M41" s="113"/>
      <c r="N41" s="120"/>
      <c r="O41" s="120"/>
      <c r="P41" s="120"/>
      <c r="Q41" s="121"/>
      <c r="R41" s="98"/>
      <c r="S41" s="113"/>
      <c r="T41" s="120"/>
      <c r="U41" s="120"/>
      <c r="V41" s="120"/>
      <c r="W41" s="121"/>
      <c r="X41" s="98"/>
      <c r="Y41" s="113"/>
      <c r="Z41" s="120"/>
      <c r="AA41" s="120"/>
      <c r="AB41" s="120"/>
      <c r="AC41" s="121"/>
      <c r="AD41" s="98"/>
      <c r="AE41" s="113"/>
      <c r="AF41" s="120"/>
      <c r="AG41" s="120"/>
      <c r="AH41" s="120"/>
      <c r="AI41" s="121"/>
      <c r="AJ41" s="98"/>
      <c r="AK41" s="98"/>
      <c r="AL41" s="113"/>
      <c r="AM41" s="120"/>
      <c r="AN41" s="120"/>
      <c r="AO41" s="120"/>
      <c r="AP41" s="121"/>
      <c r="AQ41" s="98"/>
      <c r="AR41" s="113"/>
      <c r="AS41" s="120"/>
      <c r="AT41" s="120"/>
      <c r="AU41" s="120"/>
      <c r="AV41" s="121"/>
      <c r="AW41" s="98"/>
      <c r="AX41" s="113"/>
      <c r="AY41" s="120"/>
      <c r="AZ41" s="120"/>
      <c r="BA41" s="120"/>
      <c r="BB41" s="121"/>
      <c r="BC41" s="98"/>
      <c r="BD41" s="113"/>
      <c r="BE41" s="120"/>
      <c r="BF41" s="120"/>
      <c r="BG41" s="120"/>
      <c r="BH41" s="121"/>
      <c r="BI41" s="98"/>
      <c r="BJ41" s="113"/>
      <c r="BK41" s="120"/>
      <c r="BL41" s="120"/>
      <c r="BM41" s="120"/>
      <c r="BN41" s="121"/>
      <c r="BO41" s="98"/>
      <c r="BP41" s="113"/>
      <c r="BQ41" s="120"/>
      <c r="BR41" s="120"/>
      <c r="BS41" s="120"/>
      <c r="BT41" s="121"/>
      <c r="BU41" s="98"/>
      <c r="BV41" s="113"/>
      <c r="BW41" s="120"/>
      <c r="BX41" s="120"/>
      <c r="BY41" s="120"/>
      <c r="BZ41" s="121"/>
      <c r="CA41" s="98"/>
      <c r="CB41" s="98"/>
    </row>
    <row r="42" spans="1:80" s="94" customFormat="1" x14ac:dyDescent="0.3">
      <c r="B42" s="59"/>
      <c r="C42" s="98"/>
      <c r="D42" s="98"/>
      <c r="E42" s="77" t="s">
        <v>74</v>
      </c>
      <c r="F42" s="77" t="s">
        <v>30</v>
      </c>
      <c r="G42" s="28">
        <f>G29 / G40</f>
        <v>38.352720404877985</v>
      </c>
      <c r="H42" s="29">
        <f t="shared" ref="H42:K42" si="51">H29 / H40</f>
        <v>40.327402805586793</v>
      </c>
      <c r="I42" s="29">
        <f t="shared" si="51"/>
        <v>44.423040377427313</v>
      </c>
      <c r="J42" s="29">
        <f t="shared" si="51"/>
        <v>48.650323442648414</v>
      </c>
      <c r="K42" s="30">
        <f t="shared" si="51"/>
        <v>67.578019935368516</v>
      </c>
      <c r="L42" s="98"/>
      <c r="M42" s="28">
        <f>M29 / M40</f>
        <v>39.679127727038974</v>
      </c>
      <c r="N42" s="29">
        <f t="shared" ref="N42:Q42" si="52">N29 / N40</f>
        <v>42.163560986821011</v>
      </c>
      <c r="O42" s="29">
        <f t="shared" si="52"/>
        <v>47.089344848700989</v>
      </c>
      <c r="P42" s="29">
        <f t="shared" si="52"/>
        <v>50.176935316060153</v>
      </c>
      <c r="Q42" s="30">
        <f t="shared" si="52"/>
        <v>67.668494335797206</v>
      </c>
      <c r="R42" s="98"/>
      <c r="S42" s="28">
        <f>S29 / S40</f>
        <v>38.51362045234314</v>
      </c>
      <c r="T42" s="29">
        <f t="shared" ref="T42:W42" si="53">T29 / T40</f>
        <v>40.459048298967382</v>
      </c>
      <c r="U42" s="29">
        <f t="shared" si="53"/>
        <v>42.448357976718491</v>
      </c>
      <c r="V42" s="29">
        <f t="shared" si="53"/>
        <v>68.046092800721709</v>
      </c>
      <c r="W42" s="30">
        <f t="shared" si="53"/>
        <v>0</v>
      </c>
      <c r="X42" s="98"/>
      <c r="Y42" s="28">
        <f>Y29 / Y40</f>
        <v>38.572102075350827</v>
      </c>
      <c r="Z42" s="29">
        <f t="shared" ref="Z42:AC42" si="54">Z29 / Z40</f>
        <v>41.405130994451838</v>
      </c>
      <c r="AA42" s="29">
        <f t="shared" si="54"/>
        <v>44.640492536884778</v>
      </c>
      <c r="AB42" s="29">
        <f t="shared" si="54"/>
        <v>48.295525010878194</v>
      </c>
      <c r="AC42" s="30">
        <f t="shared" si="54"/>
        <v>71.972609294651221</v>
      </c>
      <c r="AD42" s="98"/>
      <c r="AE42" s="28">
        <f>AE29 / AE40</f>
        <v>35.896196440127753</v>
      </c>
      <c r="AF42" s="29">
        <f t="shared" ref="AF42:AI42" si="55">AF29 / AF40</f>
        <v>37.744398774001588</v>
      </c>
      <c r="AG42" s="29">
        <f t="shared" si="55"/>
        <v>41.57770731833255</v>
      </c>
      <c r="AH42" s="29">
        <f t="shared" si="55"/>
        <v>45.534229351588429</v>
      </c>
      <c r="AI42" s="30">
        <f t="shared" si="55"/>
        <v>63.249590981460784</v>
      </c>
      <c r="AJ42" s="98"/>
      <c r="AK42" s="98"/>
      <c r="AL42" s="28">
        <f>AL29 / AL40</f>
        <v>37.194355502651661</v>
      </c>
      <c r="AM42" s="29">
        <f t="shared" ref="AM42:AP42" si="56">AM29 / AM40</f>
        <v>39.523209466444193</v>
      </c>
      <c r="AN42" s="29">
        <f t="shared" si="56"/>
        <v>44.140532643212026</v>
      </c>
      <c r="AO42" s="29">
        <f t="shared" si="56"/>
        <v>47.034773118445507</v>
      </c>
      <c r="AP42" s="30">
        <f t="shared" si="56"/>
        <v>63.430981950233331</v>
      </c>
      <c r="AQ42" s="98"/>
      <c r="AR42" s="28">
        <f>AR29 / AR40</f>
        <v>36.046790704369322</v>
      </c>
      <c r="AS42" s="29">
        <f t="shared" ref="AS42:AV42" si="57">AS29 / AS40</f>
        <v>37.867612262926521</v>
      </c>
      <c r="AT42" s="29">
        <f t="shared" si="57"/>
        <v>39.729504984458693</v>
      </c>
      <c r="AU42" s="29">
        <f t="shared" si="57"/>
        <v>63.687683386527176</v>
      </c>
      <c r="AV42" s="30">
        <f t="shared" si="57"/>
        <v>0</v>
      </c>
      <c r="AW42" s="98"/>
      <c r="AX42" s="28">
        <f>AX29 / AX40</f>
        <v>36.102806357502764</v>
      </c>
      <c r="AY42" s="29">
        <f t="shared" ref="AY42:BB42" si="58">AY29 / AY40</f>
        <v>38.755048601420953</v>
      </c>
      <c r="AZ42" s="29">
        <f t="shared" si="58"/>
        <v>41.783334970976412</v>
      </c>
      <c r="BA42" s="29">
        <f t="shared" si="58"/>
        <v>45.204431771476031</v>
      </c>
      <c r="BB42" s="30">
        <f t="shared" si="58"/>
        <v>67.366094592456378</v>
      </c>
      <c r="BC42" s="98"/>
      <c r="BD42" s="28">
        <f>BD29 / BD40</f>
        <v>36.142842547909801</v>
      </c>
      <c r="BE42" s="29">
        <f t="shared" ref="BE42:BH42" si="59">BE29 / BE40</f>
        <v>38.003744052092813</v>
      </c>
      <c r="BF42" s="29">
        <f t="shared" si="59"/>
        <v>41.863391616324215</v>
      </c>
      <c r="BG42" s="29">
        <f t="shared" si="59"/>
        <v>45.847099280834492</v>
      </c>
      <c r="BH42" s="30">
        <f t="shared" si="59"/>
        <v>63.684184809818198</v>
      </c>
      <c r="BI42" s="98"/>
      <c r="BJ42" s="28">
        <f>BJ29 / BJ40</f>
        <v>37.486998297158237</v>
      </c>
      <c r="BK42" s="29">
        <f t="shared" ref="BK42:BN42" si="60">BK29 / BK40</f>
        <v>39.83417553400529</v>
      </c>
      <c r="BL42" s="29">
        <f t="shared" si="60"/>
        <v>44.487827512262726</v>
      </c>
      <c r="BM42" s="29">
        <f t="shared" si="60"/>
        <v>47.40483968522291</v>
      </c>
      <c r="BN42" s="30">
        <f t="shared" si="60"/>
        <v>63.930052832504408</v>
      </c>
      <c r="BO42" s="98"/>
      <c r="BP42" s="28">
        <f>BP29 / BP40</f>
        <v>36.294471559361746</v>
      </c>
      <c r="BQ42" s="29">
        <f t="shared" ref="BQ42:BT42" si="61">BQ29 / BQ40</f>
        <v>38.127804152371674</v>
      </c>
      <c r="BR42" s="29">
        <f t="shared" si="61"/>
        <v>40.00249011214121</v>
      </c>
      <c r="BS42" s="29">
        <f t="shared" si="61"/>
        <v>64.125287388587509</v>
      </c>
      <c r="BT42" s="30">
        <f t="shared" si="61"/>
        <v>0</v>
      </c>
      <c r="BU42" s="98"/>
      <c r="BV42" s="28">
        <f>BV29 / BV40</f>
        <v>36.351706808204341</v>
      </c>
      <c r="BW42" s="29">
        <f t="shared" ref="BW42:BZ42" si="62">BW29 / BW40</f>
        <v>39.022610650054908</v>
      </c>
      <c r="BX42" s="29">
        <f t="shared" si="62"/>
        <v>42.071804089376222</v>
      </c>
      <c r="BY42" s="29">
        <f t="shared" si="62"/>
        <v>45.516519894406869</v>
      </c>
      <c r="BZ42" s="30">
        <f t="shared" si="62"/>
        <v>67.831185230401445</v>
      </c>
      <c r="CA42" s="98"/>
      <c r="CB42" s="98"/>
    </row>
    <row r="43" spans="1:80" s="94" customFormat="1" x14ac:dyDescent="0.3">
      <c r="A43" s="107"/>
      <c r="B43" s="147"/>
      <c r="C43" s="135"/>
      <c r="D43" s="98"/>
      <c r="E43" s="142"/>
      <c r="F43" s="142"/>
      <c r="G43" s="115"/>
      <c r="H43" s="13"/>
      <c r="I43" s="13"/>
      <c r="J43" s="13"/>
      <c r="K43" s="125"/>
      <c r="L43" s="98"/>
      <c r="M43" s="115"/>
      <c r="N43" s="13"/>
      <c r="O43" s="13"/>
      <c r="P43" s="13"/>
      <c r="Q43" s="125"/>
      <c r="R43" s="98"/>
      <c r="S43" s="115"/>
      <c r="T43" s="13"/>
      <c r="U43" s="13"/>
      <c r="V43" s="13"/>
      <c r="W43" s="125"/>
      <c r="X43" s="98"/>
      <c r="Y43" s="115"/>
      <c r="Z43" s="13"/>
      <c r="AA43" s="13"/>
      <c r="AB43" s="13"/>
      <c r="AC43" s="125"/>
      <c r="AD43" s="98"/>
      <c r="AE43" s="115"/>
      <c r="AF43" s="13"/>
      <c r="AG43" s="13"/>
      <c r="AH43" s="13"/>
      <c r="AI43" s="125"/>
      <c r="AJ43" s="98"/>
      <c r="AK43" s="98"/>
      <c r="AL43" s="115"/>
      <c r="AM43" s="13"/>
      <c r="AN43" s="13"/>
      <c r="AO43" s="13"/>
      <c r="AP43" s="125"/>
      <c r="AQ43" s="98"/>
      <c r="AR43" s="115"/>
      <c r="AS43" s="13"/>
      <c r="AT43" s="13"/>
      <c r="AU43" s="13"/>
      <c r="AV43" s="125"/>
      <c r="AW43" s="98"/>
      <c r="AX43" s="115"/>
      <c r="AY43" s="13"/>
      <c r="AZ43" s="13"/>
      <c r="BA43" s="13"/>
      <c r="BB43" s="125"/>
      <c r="BC43" s="98"/>
      <c r="BD43" s="115"/>
      <c r="BE43" s="13"/>
      <c r="BF43" s="13"/>
      <c r="BG43" s="13"/>
      <c r="BH43" s="125"/>
      <c r="BI43" s="98"/>
      <c r="BJ43" s="115"/>
      <c r="BK43" s="13"/>
      <c r="BL43" s="13"/>
      <c r="BM43" s="13"/>
      <c r="BN43" s="125"/>
      <c r="BO43" s="98"/>
      <c r="BP43" s="115"/>
      <c r="BQ43" s="13"/>
      <c r="BR43" s="13"/>
      <c r="BS43" s="13"/>
      <c r="BT43" s="125"/>
      <c r="BU43" s="98"/>
      <c r="BV43" s="115"/>
      <c r="BW43" s="13"/>
      <c r="BX43" s="13"/>
      <c r="BY43" s="13"/>
      <c r="BZ43" s="125"/>
      <c r="CA43" s="98"/>
      <c r="CB43" s="98"/>
    </row>
    <row r="44" spans="1:80" s="107" customFormat="1" x14ac:dyDescent="0.3">
      <c r="B44" s="147"/>
      <c r="C44" s="135"/>
      <c r="D44" s="135"/>
      <c r="E44" s="160" t="s">
        <v>75</v>
      </c>
      <c r="F44" s="160" t="s">
        <v>30</v>
      </c>
      <c r="G44" s="163"/>
      <c r="H44" s="162"/>
      <c r="I44" s="162">
        <f xml:space="preserve"> SUMPRODUCT(G14:K14, G42:K42)</f>
        <v>42.981522224909874</v>
      </c>
      <c r="J44" s="162"/>
      <c r="K44" s="165"/>
      <c r="L44" s="135"/>
      <c r="M44" s="163"/>
      <c r="N44" s="162"/>
      <c r="O44" s="162">
        <f xml:space="preserve"> SUMPRODUCT(M14:Q14, M42:Q42)</f>
        <v>44.907926281297001</v>
      </c>
      <c r="P44" s="162"/>
      <c r="Q44" s="165"/>
      <c r="R44" s="135"/>
      <c r="S44" s="163"/>
      <c r="T44" s="162"/>
      <c r="U44" s="162">
        <f xml:space="preserve"> SUMPRODUCT(S14:W14, S42:W42)</f>
        <v>41.210524657014901</v>
      </c>
      <c r="V44" s="162"/>
      <c r="W44" s="165"/>
      <c r="X44" s="135"/>
      <c r="Y44" s="163"/>
      <c r="Z44" s="162"/>
      <c r="AA44" s="162">
        <f xml:space="preserve"> SUMPRODUCT(Y14:AC14, Y42:AC42)</f>
        <v>43.576271328874846</v>
      </c>
      <c r="AB44" s="162"/>
      <c r="AC44" s="165"/>
      <c r="AD44" s="135"/>
      <c r="AE44" s="163"/>
      <c r="AF44" s="162"/>
      <c r="AG44" s="162">
        <f xml:space="preserve"> SUMPRODUCT(AE14:AI14, AE42:AI42)</f>
        <v>40.228519614604636</v>
      </c>
      <c r="AH44" s="162"/>
      <c r="AI44" s="165"/>
      <c r="AJ44" s="135"/>
      <c r="AK44" s="135"/>
      <c r="AL44" s="163"/>
      <c r="AM44" s="162"/>
      <c r="AN44" s="162">
        <f xml:space="preserve"> SUMPRODUCT(AL14:AP14, AL42:AP42)</f>
        <v>42.095718093500558</v>
      </c>
      <c r="AO44" s="162"/>
      <c r="AP44" s="165"/>
      <c r="AQ44" s="135"/>
      <c r="AR44" s="163"/>
      <c r="AS44" s="162"/>
      <c r="AT44" s="162">
        <f xml:space="preserve"> SUMPRODUCT(AR14:AV14, AR42:AV42)</f>
        <v>38.570955928872962</v>
      </c>
      <c r="AU44" s="162"/>
      <c r="AV44" s="165"/>
      <c r="AW44" s="135"/>
      <c r="AX44" s="163"/>
      <c r="AY44" s="162"/>
      <c r="AZ44" s="162">
        <f xml:space="preserve"> SUMPRODUCT(AX14:BB14, AX42:BB42)</f>
        <v>40.787147221732639</v>
      </c>
      <c r="BA44" s="162"/>
      <c r="BB44" s="165"/>
      <c r="BC44" s="135"/>
      <c r="BD44" s="163"/>
      <c r="BE44" s="162"/>
      <c r="BF44" s="162">
        <f xml:space="preserve"> SUMPRODUCT(BD14:BH14, BD42:BH42)</f>
        <v>40.504933518270626</v>
      </c>
      <c r="BG44" s="162"/>
      <c r="BH44" s="165"/>
      <c r="BI44" s="135"/>
      <c r="BJ44" s="163"/>
      <c r="BK44" s="162"/>
      <c r="BL44" s="162">
        <f xml:space="preserve"> SUMPRODUCT(BJ14:BN14, BJ42:BN42)</f>
        <v>42.426924493320136</v>
      </c>
      <c r="BM44" s="162"/>
      <c r="BN44" s="165"/>
      <c r="BO44" s="135"/>
      <c r="BP44" s="163"/>
      <c r="BQ44" s="162"/>
      <c r="BR44" s="162">
        <f xml:space="preserve"> SUMPRODUCT(BP14:BT14, BP42:BT42)</f>
        <v>38.835980558130203</v>
      </c>
      <c r="BS44" s="162"/>
      <c r="BT44" s="165"/>
      <c r="BU44" s="135"/>
      <c r="BV44" s="163"/>
      <c r="BW44" s="162"/>
      <c r="BX44" s="162">
        <f xml:space="preserve"> SUMPRODUCT(BV14:BZ14, BV42:BZ42)</f>
        <v>41.068686125626378</v>
      </c>
      <c r="BY44" s="162"/>
      <c r="BZ44" s="165"/>
      <c r="CA44" s="135"/>
      <c r="CB44" s="135"/>
    </row>
    <row r="45" spans="1:80" s="99" customFormat="1" x14ac:dyDescent="0.3">
      <c r="A45" s="108"/>
      <c r="B45" s="148"/>
      <c r="C45" s="149"/>
      <c r="D45" s="101"/>
      <c r="E45" s="95"/>
      <c r="F45" s="95"/>
      <c r="G45" s="115"/>
      <c r="H45" s="13"/>
      <c r="I45" s="13"/>
      <c r="J45" s="13"/>
      <c r="K45" s="125"/>
      <c r="L45" s="101"/>
      <c r="M45" s="115"/>
      <c r="N45" s="13"/>
      <c r="O45" s="13"/>
      <c r="P45" s="13"/>
      <c r="Q45" s="125"/>
      <c r="R45" s="101"/>
      <c r="S45" s="115"/>
      <c r="T45" s="13"/>
      <c r="U45" s="13"/>
      <c r="V45" s="13"/>
      <c r="W45" s="125"/>
      <c r="X45" s="101"/>
      <c r="Y45" s="115"/>
      <c r="Z45" s="13"/>
      <c r="AA45" s="13"/>
      <c r="AB45" s="13"/>
      <c r="AC45" s="125"/>
      <c r="AD45" s="101"/>
      <c r="AE45" s="115"/>
      <c r="AF45" s="13"/>
      <c r="AG45" s="13"/>
      <c r="AH45" s="13"/>
      <c r="AI45" s="125"/>
      <c r="AJ45" s="101"/>
      <c r="AK45" s="101"/>
      <c r="AL45" s="115"/>
      <c r="AM45" s="13"/>
      <c r="AN45" s="13"/>
      <c r="AO45" s="13"/>
      <c r="AP45" s="125"/>
      <c r="AQ45" s="101"/>
      <c r="AR45" s="115"/>
      <c r="AS45" s="13"/>
      <c r="AT45" s="13"/>
      <c r="AU45" s="13"/>
      <c r="AV45" s="125"/>
      <c r="AW45" s="101"/>
      <c r="AX45" s="115"/>
      <c r="AY45" s="13"/>
      <c r="AZ45" s="13"/>
      <c r="BA45" s="13"/>
      <c r="BB45" s="125"/>
      <c r="BC45" s="101"/>
      <c r="BD45" s="115"/>
      <c r="BE45" s="13"/>
      <c r="BF45" s="13"/>
      <c r="BG45" s="13"/>
      <c r="BH45" s="125"/>
      <c r="BI45" s="101"/>
      <c r="BJ45" s="115"/>
      <c r="BK45" s="13"/>
      <c r="BL45" s="13"/>
      <c r="BM45" s="13"/>
      <c r="BN45" s="125"/>
      <c r="BO45" s="101"/>
      <c r="BP45" s="115"/>
      <c r="BQ45" s="13"/>
      <c r="BR45" s="13"/>
      <c r="BS45" s="13"/>
      <c r="BT45" s="125"/>
      <c r="BU45" s="101"/>
      <c r="BV45" s="115"/>
      <c r="BW45" s="13"/>
      <c r="BX45" s="13"/>
      <c r="BY45" s="13"/>
      <c r="BZ45" s="125"/>
      <c r="CA45" s="101"/>
      <c r="CB45" s="101"/>
    </row>
    <row r="46" spans="1:80" x14ac:dyDescent="0.3">
      <c r="D46" s="110" t="s">
        <v>55</v>
      </c>
      <c r="G46" s="12"/>
      <c r="H46" s="126"/>
      <c r="I46" s="126"/>
      <c r="J46" s="126"/>
      <c r="K46" s="15"/>
      <c r="M46" s="12"/>
      <c r="N46" s="126"/>
      <c r="O46" s="126"/>
      <c r="P46" s="126"/>
      <c r="Q46" s="15"/>
      <c r="S46" s="12"/>
      <c r="T46" s="126"/>
      <c r="U46" s="126"/>
      <c r="V46" s="126"/>
      <c r="W46" s="15"/>
      <c r="Y46" s="12"/>
      <c r="Z46" s="126"/>
      <c r="AA46" s="126"/>
      <c r="AB46" s="126"/>
      <c r="AC46" s="15"/>
      <c r="AE46" s="12"/>
      <c r="AF46" s="126"/>
      <c r="AG46" s="126"/>
      <c r="AH46" s="126"/>
      <c r="AI46" s="15"/>
      <c r="AL46" s="12"/>
      <c r="AM46" s="126"/>
      <c r="AN46" s="126"/>
      <c r="AO46" s="126"/>
      <c r="AP46" s="15"/>
      <c r="AR46" s="12"/>
      <c r="AS46" s="126"/>
      <c r="AT46" s="126"/>
      <c r="AU46" s="126"/>
      <c r="AV46" s="15"/>
      <c r="AX46" s="12"/>
      <c r="AY46" s="126"/>
      <c r="AZ46" s="126"/>
      <c r="BA46" s="126"/>
      <c r="BB46" s="15"/>
      <c r="BD46" s="12"/>
      <c r="BE46" s="126"/>
      <c r="BF46" s="126"/>
      <c r="BG46" s="126"/>
      <c r="BH46" s="15"/>
      <c r="BJ46" s="12"/>
      <c r="BK46" s="126"/>
      <c r="BL46" s="126"/>
      <c r="BM46" s="126"/>
      <c r="BN46" s="15"/>
      <c r="BP46" s="12"/>
      <c r="BQ46" s="126"/>
      <c r="BR46" s="126"/>
      <c r="BS46" s="126"/>
      <c r="BT46" s="15"/>
      <c r="BV46" s="12"/>
      <c r="BW46" s="126"/>
      <c r="BX46" s="126"/>
      <c r="BY46" s="126"/>
      <c r="BZ46" s="15"/>
    </row>
    <row r="47" spans="1:80" x14ac:dyDescent="0.3">
      <c r="E47" s="2" t="s">
        <v>83</v>
      </c>
      <c r="F47" s="95" t="s">
        <v>71</v>
      </c>
      <c r="G47" s="12"/>
      <c r="I47" s="187">
        <v>24</v>
      </c>
      <c r="J47" s="3"/>
      <c r="K47" s="15"/>
      <c r="L47" s="186"/>
      <c r="M47" s="12"/>
      <c r="O47" s="187">
        <v>24</v>
      </c>
      <c r="P47" s="3"/>
      <c r="Q47" s="15"/>
      <c r="R47" s="186"/>
      <c r="S47" s="301"/>
      <c r="T47" s="186"/>
      <c r="U47" s="187">
        <v>24</v>
      </c>
      <c r="V47" s="186"/>
      <c r="W47" s="300"/>
      <c r="X47" s="186"/>
      <c r="Y47" s="301"/>
      <c r="Z47" s="186"/>
      <c r="AA47" s="187">
        <v>24</v>
      </c>
      <c r="AB47" s="186"/>
      <c r="AC47" s="300"/>
      <c r="AD47" s="186"/>
      <c r="AE47" s="12"/>
      <c r="AG47" s="187">
        <v>24</v>
      </c>
      <c r="AH47" s="3"/>
      <c r="AI47" s="15"/>
      <c r="AJ47" s="186"/>
      <c r="AK47" s="186"/>
      <c r="AL47" s="12"/>
      <c r="AN47" s="187">
        <v>24</v>
      </c>
      <c r="AO47" s="3"/>
      <c r="AP47" s="15"/>
      <c r="AQ47" s="186"/>
      <c r="AR47" s="301"/>
      <c r="AS47" s="186"/>
      <c r="AT47" s="187">
        <v>24</v>
      </c>
      <c r="AU47" s="186"/>
      <c r="AV47" s="300"/>
      <c r="AW47" s="186"/>
      <c r="AX47" s="301"/>
      <c r="AY47" s="186"/>
      <c r="AZ47" s="187">
        <v>24</v>
      </c>
      <c r="BA47" s="93"/>
      <c r="BB47" s="15"/>
      <c r="BC47" s="186"/>
      <c r="BD47" s="12"/>
      <c r="BF47" s="187">
        <v>24</v>
      </c>
      <c r="BG47" s="3"/>
      <c r="BH47" s="15"/>
      <c r="BI47" s="186"/>
      <c r="BJ47" s="12"/>
      <c r="BL47" s="187">
        <v>24</v>
      </c>
      <c r="BM47" s="3"/>
      <c r="BN47" s="15"/>
      <c r="BO47" s="186"/>
      <c r="BP47" s="301"/>
      <c r="BQ47" s="186"/>
      <c r="BR47" s="187">
        <v>24</v>
      </c>
      <c r="BS47" s="186"/>
      <c r="BT47" s="300"/>
      <c r="BV47" s="12"/>
      <c r="BW47" s="93"/>
      <c r="BX47" s="187">
        <v>24</v>
      </c>
      <c r="BY47" s="93"/>
      <c r="BZ47" s="15"/>
    </row>
    <row r="48" spans="1:80" x14ac:dyDescent="0.3">
      <c r="E48" s="96" t="s">
        <v>84</v>
      </c>
      <c r="F48" s="95" t="s">
        <v>82</v>
      </c>
      <c r="G48" s="12"/>
      <c r="I48" s="187">
        <f xml:space="preserve"> 24 / 7</f>
        <v>3.4285714285714284</v>
      </c>
      <c r="J48" s="3"/>
      <c r="K48" s="15"/>
      <c r="M48" s="12"/>
      <c r="O48" s="187">
        <f xml:space="preserve"> 24 / 7</f>
        <v>3.4285714285714284</v>
      </c>
      <c r="P48" s="3"/>
      <c r="Q48" s="15"/>
      <c r="S48" s="12"/>
      <c r="T48" s="93"/>
      <c r="U48" s="187">
        <f xml:space="preserve"> 24 / 7</f>
        <v>3.4285714285714284</v>
      </c>
      <c r="V48" s="93"/>
      <c r="W48" s="15"/>
      <c r="Y48" s="12"/>
      <c r="Z48" s="93"/>
      <c r="AA48" s="187">
        <f xml:space="preserve"> 24 / 7</f>
        <v>3.4285714285714284</v>
      </c>
      <c r="AB48" s="93"/>
      <c r="AC48" s="15"/>
      <c r="AE48" s="12"/>
      <c r="AG48" s="187">
        <f xml:space="preserve"> 56 / 7</f>
        <v>8</v>
      </c>
      <c r="AH48" s="3"/>
      <c r="AI48" s="15"/>
      <c r="AL48" s="12"/>
      <c r="AN48" s="187">
        <f xml:space="preserve"> 56 / 7</f>
        <v>8</v>
      </c>
      <c r="AO48" s="3"/>
      <c r="AP48" s="15"/>
      <c r="AR48" s="12"/>
      <c r="AS48" s="93"/>
      <c r="AT48" s="187">
        <f xml:space="preserve"> 56 / 7</f>
        <v>8</v>
      </c>
      <c r="AU48" s="93"/>
      <c r="AV48" s="15"/>
      <c r="AX48" s="12"/>
      <c r="AY48" s="93"/>
      <c r="AZ48" s="187">
        <f xml:space="preserve"> 56 / 7</f>
        <v>8</v>
      </c>
      <c r="BA48" s="93"/>
      <c r="BB48" s="15"/>
      <c r="BD48" s="12"/>
      <c r="BF48" s="187">
        <f xml:space="preserve"> 109 / 7</f>
        <v>15.571428571428571</v>
      </c>
      <c r="BG48" s="3"/>
      <c r="BH48" s="15"/>
      <c r="BJ48" s="12"/>
      <c r="BL48" s="187">
        <f xml:space="preserve"> 109 / 7</f>
        <v>15.571428571428571</v>
      </c>
      <c r="BM48" s="3"/>
      <c r="BN48" s="15"/>
      <c r="BP48" s="12"/>
      <c r="BQ48" s="93"/>
      <c r="BR48" s="187">
        <f xml:space="preserve"> 109 / 7</f>
        <v>15.571428571428571</v>
      </c>
      <c r="BS48" s="93"/>
      <c r="BT48" s="15"/>
      <c r="BV48" s="12"/>
      <c r="BW48" s="93"/>
      <c r="BX48" s="187">
        <f xml:space="preserve"> 109 / 7</f>
        <v>15.571428571428571</v>
      </c>
      <c r="BY48" s="93"/>
      <c r="BZ48" s="15"/>
    </row>
    <row r="49" spans="1:80" s="3" customFormat="1" x14ac:dyDescent="0.3">
      <c r="A49" s="1"/>
      <c r="B49" s="21"/>
      <c r="C49" s="22"/>
      <c r="D49" s="4"/>
      <c r="E49" s="90" t="s">
        <v>52</v>
      </c>
      <c r="F49" s="95" t="s">
        <v>64</v>
      </c>
      <c r="G49" s="12"/>
      <c r="I49" s="34">
        <v>1</v>
      </c>
      <c r="K49" s="15"/>
      <c r="L49" s="4"/>
      <c r="M49" s="12"/>
      <c r="O49" s="34">
        <v>1</v>
      </c>
      <c r="Q49" s="15"/>
      <c r="R49" s="4"/>
      <c r="S49" s="12"/>
      <c r="U49" s="34">
        <v>1</v>
      </c>
      <c r="W49" s="15"/>
      <c r="X49" s="4"/>
      <c r="Y49" s="12"/>
      <c r="AA49" s="34">
        <v>0.95</v>
      </c>
      <c r="AC49" s="15"/>
      <c r="AD49" s="4"/>
      <c r="AE49" s="12"/>
      <c r="AG49" s="34">
        <v>0.95</v>
      </c>
      <c r="AI49" s="15"/>
      <c r="AJ49" s="4"/>
      <c r="AK49" s="4"/>
      <c r="AL49" s="12"/>
      <c r="AN49" s="34">
        <v>0.95</v>
      </c>
      <c r="AP49" s="15"/>
      <c r="AQ49" s="4"/>
      <c r="AR49" s="12"/>
      <c r="AT49" s="34">
        <v>0.95</v>
      </c>
      <c r="AV49" s="15"/>
      <c r="AW49" s="4"/>
      <c r="AX49" s="12"/>
      <c r="AZ49" s="34">
        <v>0.95</v>
      </c>
      <c r="BB49" s="15"/>
      <c r="BC49" s="4"/>
      <c r="BD49" s="12"/>
      <c r="BF49" s="34">
        <v>0.95</v>
      </c>
      <c r="BH49" s="15"/>
      <c r="BI49" s="4"/>
      <c r="BJ49" s="12"/>
      <c r="BL49" s="34">
        <v>0.95</v>
      </c>
      <c r="BN49" s="15"/>
      <c r="BO49" s="4"/>
      <c r="BP49" s="12"/>
      <c r="BR49" s="34">
        <v>0.95</v>
      </c>
      <c r="BT49" s="15"/>
      <c r="BU49" s="4"/>
      <c r="BV49" s="12"/>
      <c r="BX49" s="34">
        <v>0.95</v>
      </c>
      <c r="BZ49" s="15"/>
      <c r="CA49" s="4"/>
      <c r="CB49" s="4"/>
    </row>
    <row r="50" spans="1:80" x14ac:dyDescent="0.3">
      <c r="E50" s="76" t="s">
        <v>85</v>
      </c>
      <c r="F50" s="95" t="s">
        <v>48</v>
      </c>
      <c r="G50" s="112"/>
      <c r="I50" s="55">
        <v>0</v>
      </c>
      <c r="K50" s="15"/>
      <c r="M50" s="112"/>
      <c r="O50" s="55">
        <v>0</v>
      </c>
      <c r="Q50" s="15"/>
      <c r="S50" s="112"/>
      <c r="T50" s="93"/>
      <c r="U50" s="55">
        <v>0</v>
      </c>
      <c r="V50" s="93"/>
      <c r="W50" s="15"/>
      <c r="Y50" s="112"/>
      <c r="Z50" s="93"/>
      <c r="AA50" s="55">
        <v>0</v>
      </c>
      <c r="AB50" s="93"/>
      <c r="AC50" s="15"/>
      <c r="AE50" s="112"/>
      <c r="AG50" s="55">
        <v>7.5</v>
      </c>
      <c r="AI50" s="15"/>
      <c r="AL50" s="112"/>
      <c r="AN50" s="55">
        <v>7.5</v>
      </c>
      <c r="AP50" s="15"/>
      <c r="AR50" s="112"/>
      <c r="AS50" s="93"/>
      <c r="AT50" s="55">
        <v>7.5</v>
      </c>
      <c r="AU50" s="93"/>
      <c r="AV50" s="15"/>
      <c r="AX50" s="112"/>
      <c r="AY50" s="93"/>
      <c r="AZ50" s="55">
        <v>7.5</v>
      </c>
      <c r="BA50" s="93"/>
      <c r="BB50" s="15"/>
      <c r="BD50" s="112"/>
      <c r="BF50" s="55">
        <v>7.5</v>
      </c>
      <c r="BH50" s="15"/>
      <c r="BJ50" s="112"/>
      <c r="BL50" s="55">
        <v>7.5</v>
      </c>
      <c r="BN50" s="15"/>
      <c r="BP50" s="112"/>
      <c r="BQ50" s="93"/>
      <c r="BR50" s="55">
        <v>7.5</v>
      </c>
      <c r="BS50" s="93"/>
      <c r="BT50" s="15"/>
      <c r="BV50" s="112"/>
      <c r="BW50" s="93"/>
      <c r="BX50" s="55">
        <v>7.5</v>
      </c>
      <c r="BY50" s="93"/>
      <c r="BZ50" s="15"/>
    </row>
    <row r="51" spans="1:80" s="95" customFormat="1" x14ac:dyDescent="0.3">
      <c r="A51" s="93"/>
      <c r="B51" s="72"/>
      <c r="C51" s="98"/>
      <c r="D51" s="98"/>
      <c r="E51" s="105" t="s">
        <v>76</v>
      </c>
      <c r="F51" s="23" t="s">
        <v>38</v>
      </c>
      <c r="G51" s="73"/>
      <c r="H51" s="83"/>
      <c r="I51" s="74">
        <f xml:space="preserve"> IF(I47="", 0, ( I44 * I48 / I47 / I49 ) + I50)</f>
        <v>6.1402174607014102</v>
      </c>
      <c r="J51" s="83"/>
      <c r="K51" s="75"/>
      <c r="L51" s="98"/>
      <c r="M51" s="73"/>
      <c r="N51" s="83"/>
      <c r="O51" s="74">
        <f xml:space="preserve"> IF(O47="", 0, ( O44 * O48 / O47 / O49 ) + O50)</f>
        <v>6.4154180401852861</v>
      </c>
      <c r="P51" s="83"/>
      <c r="Q51" s="75"/>
      <c r="R51" s="98"/>
      <c r="S51" s="73"/>
      <c r="T51" s="83"/>
      <c r="U51" s="74">
        <f xml:space="preserve"> IF(U47="", 0, ( U44 * U48 / U47 / U49 ) + U50)</f>
        <v>5.8872178081449853</v>
      </c>
      <c r="V51" s="83"/>
      <c r="W51" s="75"/>
      <c r="Y51" s="73"/>
      <c r="Z51" s="83"/>
      <c r="AA51" s="74">
        <f xml:space="preserve"> IF(AA47="", 0, ( AA44 * AA48 / AA47 / AA49 ) + AA50)</f>
        <v>6.5528227562217811</v>
      </c>
      <c r="AB51" s="83"/>
      <c r="AC51" s="75"/>
      <c r="AD51" s="98"/>
      <c r="AE51" s="73"/>
      <c r="AF51" s="83"/>
      <c r="AG51" s="74">
        <f xml:space="preserve"> IF(AG47="", 0, ( AG44 * AG48 / AG47 / AG49 ) + AG50)</f>
        <v>21.615270040212152</v>
      </c>
      <c r="AH51" s="83"/>
      <c r="AI51" s="75"/>
      <c r="AJ51" s="98"/>
      <c r="AK51" s="98"/>
      <c r="AL51" s="73"/>
      <c r="AM51" s="83"/>
      <c r="AN51" s="74">
        <f xml:space="preserve"> IF(AN47="", 0, ( AN44 * AN48 / AN47 / AN49 ) + AN50)</f>
        <v>22.270427401228268</v>
      </c>
      <c r="AO51" s="83"/>
      <c r="AP51" s="75"/>
      <c r="AQ51" s="98"/>
      <c r="AR51" s="73"/>
      <c r="AS51" s="83"/>
      <c r="AT51" s="74">
        <f xml:space="preserve"> IF(AT47="", 0, ( AT44 * AT48 / AT47 / AT49 ) + AT50)</f>
        <v>21.033668746972971</v>
      </c>
      <c r="AU51" s="83"/>
      <c r="AV51" s="75"/>
      <c r="AX51" s="73"/>
      <c r="AY51" s="83"/>
      <c r="AZ51" s="74">
        <f xml:space="preserve"> IF(AZ47="", 0, ( AZ44 * AZ48 / AZ47 / AZ49 ) + AZ50)</f>
        <v>21.811279726923733</v>
      </c>
      <c r="BA51" s="83"/>
      <c r="BB51" s="75"/>
      <c r="BD51" s="73"/>
      <c r="BE51" s="83"/>
      <c r="BF51" s="74">
        <f xml:space="preserve"> IF(BF47="", 0, ( BF44 * BF48 / BF47 / BF49 ) + BF50)</f>
        <v>35.163143818869038</v>
      </c>
      <c r="BG51" s="83"/>
      <c r="BH51" s="75"/>
      <c r="BJ51" s="73"/>
      <c r="BK51" s="83"/>
      <c r="BL51" s="74">
        <f xml:space="preserve"> IF(BL47="", 0, ( BL44 * BL48 / BL47 / BL49 ) + BL50)</f>
        <v>36.475781765488065</v>
      </c>
      <c r="BM51" s="83"/>
      <c r="BN51" s="75"/>
      <c r="BP51" s="73"/>
      <c r="BQ51" s="83"/>
      <c r="BR51" s="74">
        <f xml:space="preserve"> IF(BR47="", 0, ( BR44 * BR48 / BR47 / BR49 ) + BR50)</f>
        <v>34.023320055364607</v>
      </c>
      <c r="BS51" s="83"/>
      <c r="BT51" s="75"/>
      <c r="BV51" s="73"/>
      <c r="BW51" s="83"/>
      <c r="BX51" s="74">
        <f xml:space="preserve"> IF(BX47="", 0, ( BX44 * BX48 / BX47 / BX49 ) + BX50)</f>
        <v>35.548162830158361</v>
      </c>
      <c r="BY51" s="83"/>
      <c r="BZ51" s="75"/>
      <c r="CA51" s="98"/>
    </row>
    <row r="52" spans="1:80" s="95" customFormat="1" ht="6" customHeight="1" x14ac:dyDescent="0.3">
      <c r="A52" s="92"/>
      <c r="B52" s="109"/>
      <c r="C52" s="135"/>
      <c r="D52" s="98"/>
      <c r="E52" s="142"/>
      <c r="F52" s="60"/>
      <c r="G52" s="70"/>
      <c r="H52" s="81"/>
      <c r="I52" s="61"/>
      <c r="J52" s="81"/>
      <c r="K52" s="71"/>
      <c r="L52" s="98"/>
      <c r="M52" s="70"/>
      <c r="N52" s="81"/>
      <c r="O52" s="61"/>
      <c r="P52" s="81"/>
      <c r="Q52" s="71"/>
      <c r="R52" s="98"/>
      <c r="S52" s="70"/>
      <c r="T52" s="81"/>
      <c r="U52" s="61"/>
      <c r="V52" s="81"/>
      <c r="W52" s="71"/>
      <c r="Y52" s="70"/>
      <c r="Z52" s="81"/>
      <c r="AA52" s="61"/>
      <c r="AB52" s="81"/>
      <c r="AC52" s="71"/>
      <c r="AD52" s="98"/>
      <c r="AE52" s="70"/>
      <c r="AF52" s="81"/>
      <c r="AG52" s="61"/>
      <c r="AH52" s="81"/>
      <c r="AI52" s="71"/>
      <c r="AJ52" s="98"/>
      <c r="AK52" s="98"/>
      <c r="AL52" s="70"/>
      <c r="AM52" s="81"/>
      <c r="AN52" s="61"/>
      <c r="AO52" s="81"/>
      <c r="AP52" s="71"/>
      <c r="AQ52" s="98"/>
      <c r="AR52" s="70"/>
      <c r="AS52" s="81"/>
      <c r="AT52" s="61"/>
      <c r="AU52" s="81"/>
      <c r="AV52" s="71"/>
      <c r="AX52" s="70"/>
      <c r="AY52" s="81"/>
      <c r="AZ52" s="61"/>
      <c r="BA52" s="81"/>
      <c r="BB52" s="71"/>
      <c r="BD52" s="70"/>
      <c r="BE52" s="81"/>
      <c r="BF52" s="61"/>
      <c r="BG52" s="81"/>
      <c r="BH52" s="71"/>
      <c r="BJ52" s="70"/>
      <c r="BK52" s="81"/>
      <c r="BL52" s="61"/>
      <c r="BM52" s="81"/>
      <c r="BN52" s="71"/>
      <c r="BP52" s="70"/>
      <c r="BQ52" s="81"/>
      <c r="BR52" s="61"/>
      <c r="BS52" s="81"/>
      <c r="BT52" s="71"/>
      <c r="BV52" s="70"/>
      <c r="BW52" s="81"/>
      <c r="BX52" s="61"/>
      <c r="BY52" s="81"/>
      <c r="BZ52" s="71"/>
      <c r="CA52" s="98"/>
    </row>
    <row r="53" spans="1:80" s="195" customFormat="1" x14ac:dyDescent="0.3">
      <c r="A53" s="189"/>
      <c r="B53" s="190"/>
      <c r="C53" s="189"/>
      <c r="D53" s="191"/>
      <c r="E53" s="195" t="s">
        <v>27</v>
      </c>
      <c r="F53" s="127" t="s">
        <v>77</v>
      </c>
      <c r="G53" s="12"/>
      <c r="H53" s="3"/>
      <c r="I53" s="193">
        <f xml:space="preserve"> 29% / ( 1 - 29% )</f>
        <v>0.40845070422535212</v>
      </c>
      <c r="J53" s="3"/>
      <c r="K53" s="15"/>
      <c r="L53" s="4"/>
      <c r="M53" s="12"/>
      <c r="N53" s="3"/>
      <c r="O53" s="193">
        <v>0.253</v>
      </c>
      <c r="P53" s="3"/>
      <c r="Q53" s="15"/>
      <c r="R53" s="4"/>
      <c r="S53" s="12"/>
      <c r="T53" s="3"/>
      <c r="U53" s="193">
        <v>0.253</v>
      </c>
      <c r="V53" s="3"/>
      <c r="W53" s="15"/>
      <c r="X53" s="4"/>
      <c r="Y53" s="12"/>
      <c r="Z53" s="3"/>
      <c r="AA53" s="193">
        <f xml:space="preserve"> (24.7% / ( 1 - 24.7%))</f>
        <v>0.32802124833997343</v>
      </c>
      <c r="AB53" s="3"/>
      <c r="AC53" s="15"/>
      <c r="AD53" s="4"/>
      <c r="AE53" s="12"/>
      <c r="AF53" s="3"/>
      <c r="AG53" s="193">
        <f xml:space="preserve"> 29% / ( 1 - 29% )</f>
        <v>0.40845070422535212</v>
      </c>
      <c r="AH53" s="3"/>
      <c r="AI53" s="15"/>
      <c r="AJ53" s="4"/>
      <c r="AK53" s="4"/>
      <c r="AL53" s="12"/>
      <c r="AM53" s="3"/>
      <c r="AN53" s="193">
        <v>0.253</v>
      </c>
      <c r="AO53" s="3"/>
      <c r="AP53" s="15"/>
      <c r="AQ53" s="4"/>
      <c r="AR53" s="12"/>
      <c r="AS53" s="3"/>
      <c r="AT53" s="193">
        <v>0.253</v>
      </c>
      <c r="AU53" s="3"/>
      <c r="AV53" s="15"/>
      <c r="AW53" s="4"/>
      <c r="AX53" s="12"/>
      <c r="AY53" s="3"/>
      <c r="AZ53" s="193">
        <f xml:space="preserve"> (24.7% / ( 1 - 24.7%))</f>
        <v>0.32802124833997343</v>
      </c>
      <c r="BA53" s="3"/>
      <c r="BB53" s="15"/>
      <c r="BC53" s="4"/>
      <c r="BD53" s="12"/>
      <c r="BE53" s="3"/>
      <c r="BF53" s="193">
        <f xml:space="preserve"> 29% / ( 1 - 29% )</f>
        <v>0.40845070422535212</v>
      </c>
      <c r="BG53" s="3"/>
      <c r="BH53" s="15"/>
      <c r="BI53" s="4"/>
      <c r="BJ53" s="12"/>
      <c r="BK53" s="3"/>
      <c r="BL53" s="193">
        <v>0.253</v>
      </c>
      <c r="BM53" s="3"/>
      <c r="BN53" s="15"/>
      <c r="BO53" s="4"/>
      <c r="BP53" s="12"/>
      <c r="BQ53" s="3"/>
      <c r="BR53" s="193">
        <v>0.253</v>
      </c>
      <c r="BS53" s="3"/>
      <c r="BT53" s="15"/>
      <c r="BU53" s="4"/>
      <c r="BV53" s="12"/>
      <c r="BW53" s="3"/>
      <c r="BX53" s="193">
        <f xml:space="preserve"> (24.7% / ( 1 - 24.7%))</f>
        <v>0.32802124833997343</v>
      </c>
      <c r="BY53" s="3"/>
      <c r="BZ53" s="15"/>
      <c r="CA53" s="4"/>
      <c r="CB53" s="4"/>
    </row>
    <row r="54" spans="1:80" s="95" customFormat="1" x14ac:dyDescent="0.3">
      <c r="A54" s="93"/>
      <c r="B54" s="72"/>
      <c r="C54" s="98"/>
      <c r="D54" s="98"/>
      <c r="E54" s="128" t="s">
        <v>105</v>
      </c>
      <c r="F54" s="23" t="str">
        <f>F51</f>
        <v>EUR / etmaal</v>
      </c>
      <c r="G54" s="73"/>
      <c r="H54" s="83"/>
      <c r="I54" s="74">
        <f xml:space="preserve"> I51 * ( 1 + I53 )</f>
        <v>8.6481936066217031</v>
      </c>
      <c r="J54" s="83"/>
      <c r="K54" s="75"/>
      <c r="L54" s="98"/>
      <c r="M54" s="73"/>
      <c r="N54" s="83"/>
      <c r="O54" s="74">
        <f xml:space="preserve"> O51 * ( 1 + O53 )</f>
        <v>8.0385188043521634</v>
      </c>
      <c r="P54" s="83"/>
      <c r="Q54" s="75"/>
      <c r="R54" s="98"/>
      <c r="S54" s="73"/>
      <c r="T54" s="83"/>
      <c r="U54" s="74">
        <f xml:space="preserve"> U51 * ( 1 + U53 )</f>
        <v>7.3766839136056674</v>
      </c>
      <c r="V54" s="83"/>
      <c r="W54" s="75"/>
      <c r="Y54" s="73"/>
      <c r="Z54" s="83"/>
      <c r="AA54" s="74">
        <f xml:space="preserve"> AA51 * ( 1 + AA53 )</f>
        <v>8.7022878568682351</v>
      </c>
      <c r="AB54" s="83"/>
      <c r="AC54" s="75"/>
      <c r="AD54" s="98"/>
      <c r="AE54" s="73"/>
      <c r="AF54" s="83"/>
      <c r="AG54" s="74">
        <f xml:space="preserve"> AG51 * ( 1 + AG53 )</f>
        <v>30.444042310157958</v>
      </c>
      <c r="AH54" s="83"/>
      <c r="AI54" s="75"/>
      <c r="AJ54" s="98"/>
      <c r="AK54" s="98"/>
      <c r="AL54" s="73"/>
      <c r="AM54" s="83"/>
      <c r="AN54" s="74">
        <f xml:space="preserve"> AN51 * ( 1 + AN53 )</f>
        <v>27.904845533739021</v>
      </c>
      <c r="AO54" s="83"/>
      <c r="AP54" s="75"/>
      <c r="AQ54" s="98"/>
      <c r="AR54" s="73"/>
      <c r="AS54" s="83"/>
      <c r="AT54" s="74">
        <f xml:space="preserve"> AT51 * ( 1 + AT53 )</f>
        <v>26.355186939957136</v>
      </c>
      <c r="AU54" s="83"/>
      <c r="AV54" s="75"/>
      <c r="AX54" s="73"/>
      <c r="AY54" s="83"/>
      <c r="AZ54" s="74">
        <f xml:space="preserve"> AZ51 * ( 1 + AZ53 )</f>
        <v>28.96584293084161</v>
      </c>
      <c r="BA54" s="83"/>
      <c r="BB54" s="75"/>
      <c r="BD54" s="73"/>
      <c r="BE54" s="83"/>
      <c r="BF54" s="74">
        <f xml:space="preserve"> BF51 * ( 1 + BF53 )</f>
        <v>49.525554674463429</v>
      </c>
      <c r="BG54" s="83"/>
      <c r="BH54" s="75"/>
      <c r="BJ54" s="73"/>
      <c r="BK54" s="83"/>
      <c r="BL54" s="74">
        <f xml:space="preserve"> BL51 * ( 1 + BL53 )</f>
        <v>45.704154552156552</v>
      </c>
      <c r="BM54" s="83"/>
      <c r="BN54" s="75"/>
      <c r="BP54" s="73"/>
      <c r="BQ54" s="83"/>
      <c r="BR54" s="74">
        <f xml:space="preserve"> BR51 * ( 1 + BR53 )</f>
        <v>42.631220029371853</v>
      </c>
      <c r="BS54" s="83"/>
      <c r="BT54" s="75"/>
      <c r="BV54" s="73"/>
      <c r="BW54" s="83"/>
      <c r="BX54" s="74">
        <f xml:space="preserve"> BX51 * ( 1 + BX53 )</f>
        <v>47.208715577899547</v>
      </c>
      <c r="BY54" s="83"/>
      <c r="BZ54" s="75"/>
      <c r="CA54" s="98"/>
    </row>
    <row r="55" spans="1:80" s="95" customFormat="1" ht="6" customHeight="1" x14ac:dyDescent="0.3">
      <c r="A55" s="161"/>
      <c r="B55" s="27"/>
      <c r="C55" s="149"/>
      <c r="D55" s="101"/>
      <c r="E55" s="96"/>
      <c r="G55" s="112"/>
      <c r="I55" s="61"/>
      <c r="K55" s="133"/>
      <c r="L55" s="101"/>
      <c r="M55" s="112"/>
      <c r="O55" s="61"/>
      <c r="Q55" s="133"/>
      <c r="R55" s="101"/>
      <c r="S55" s="112"/>
      <c r="U55" s="61"/>
      <c r="W55" s="133"/>
      <c r="X55" s="101"/>
      <c r="Y55" s="112"/>
      <c r="AA55" s="61"/>
      <c r="AC55" s="133"/>
      <c r="AD55" s="101"/>
      <c r="AE55" s="112"/>
      <c r="AG55" s="61"/>
      <c r="AI55" s="133"/>
      <c r="AJ55" s="101"/>
      <c r="AK55" s="101"/>
      <c r="AL55" s="112"/>
      <c r="AN55" s="61"/>
      <c r="AP55" s="133"/>
      <c r="AQ55" s="101"/>
      <c r="AR55" s="112"/>
      <c r="AT55" s="61"/>
      <c r="AV55" s="133"/>
      <c r="AW55" s="101"/>
      <c r="AX55" s="112"/>
      <c r="AZ55" s="61"/>
      <c r="BB55" s="133"/>
      <c r="BC55" s="101"/>
      <c r="BD55" s="112"/>
      <c r="BF55" s="61"/>
      <c r="BH55" s="133"/>
      <c r="BI55" s="101"/>
      <c r="BJ55" s="112"/>
      <c r="BL55" s="61"/>
      <c r="BN55" s="133"/>
      <c r="BO55" s="101"/>
      <c r="BP55" s="112"/>
      <c r="BR55" s="61"/>
      <c r="BT55" s="133"/>
      <c r="BU55" s="101"/>
      <c r="BV55" s="112"/>
      <c r="BX55" s="61"/>
      <c r="BZ55" s="133"/>
      <c r="CA55" s="101"/>
      <c r="CB55" s="101"/>
    </row>
    <row r="56" spans="1:80" s="469" customFormat="1" x14ac:dyDescent="0.3">
      <c r="A56" s="466"/>
      <c r="B56" s="467"/>
      <c r="C56" s="466"/>
      <c r="D56" s="468"/>
      <c r="E56" s="468" t="s">
        <v>2</v>
      </c>
      <c r="F56" s="470" t="s">
        <v>77</v>
      </c>
      <c r="G56" s="476"/>
      <c r="H56" s="480"/>
      <c r="I56" s="34">
        <v>0.01</v>
      </c>
      <c r="J56" s="480"/>
      <c r="K56" s="477"/>
      <c r="L56" s="468"/>
      <c r="M56" s="476"/>
      <c r="N56" s="480"/>
      <c r="O56" s="34">
        <v>0.01</v>
      </c>
      <c r="P56" s="480"/>
      <c r="Q56" s="477"/>
      <c r="R56" s="468"/>
      <c r="S56" s="476"/>
      <c r="T56" s="480"/>
      <c r="U56" s="34">
        <v>0.01</v>
      </c>
      <c r="V56" s="480"/>
      <c r="W56" s="477"/>
      <c r="Y56" s="476"/>
      <c r="Z56" s="480"/>
      <c r="AA56" s="34">
        <v>0.01</v>
      </c>
      <c r="AB56" s="480"/>
      <c r="AC56" s="477"/>
      <c r="AD56" s="468"/>
      <c r="AE56" s="476"/>
      <c r="AF56" s="480"/>
      <c r="AG56" s="34">
        <v>0.01</v>
      </c>
      <c r="AH56" s="480"/>
      <c r="AI56" s="477"/>
      <c r="AJ56" s="468"/>
      <c r="AK56" s="468"/>
      <c r="AL56" s="476"/>
      <c r="AM56" s="480"/>
      <c r="AN56" s="34">
        <v>0.01</v>
      </c>
      <c r="AO56" s="480"/>
      <c r="AP56" s="477"/>
      <c r="AQ56" s="468"/>
      <c r="AR56" s="476"/>
      <c r="AS56" s="480"/>
      <c r="AT56" s="34">
        <v>0.01</v>
      </c>
      <c r="AU56" s="480"/>
      <c r="AV56" s="477"/>
      <c r="AX56" s="476"/>
      <c r="AY56" s="480"/>
      <c r="AZ56" s="34">
        <v>0.01</v>
      </c>
      <c r="BA56" s="480"/>
      <c r="BB56" s="477"/>
      <c r="BD56" s="476"/>
      <c r="BE56" s="480"/>
      <c r="BF56" s="34">
        <v>0.01</v>
      </c>
      <c r="BG56" s="480"/>
      <c r="BH56" s="477"/>
      <c r="BJ56" s="476"/>
      <c r="BK56" s="480"/>
      <c r="BL56" s="34">
        <v>0.01</v>
      </c>
      <c r="BM56" s="480"/>
      <c r="BN56" s="477"/>
      <c r="BP56" s="476"/>
      <c r="BQ56" s="480"/>
      <c r="BR56" s="34">
        <v>0.01</v>
      </c>
      <c r="BS56" s="480"/>
      <c r="BT56" s="477"/>
      <c r="BV56" s="476"/>
      <c r="BW56" s="480"/>
      <c r="BX56" s="34">
        <v>0.01</v>
      </c>
      <c r="BY56" s="480"/>
      <c r="BZ56" s="477"/>
      <c r="CA56" s="468"/>
    </row>
    <row r="57" spans="1:80" x14ac:dyDescent="0.3">
      <c r="E57" s="136" t="s">
        <v>43</v>
      </c>
      <c r="F57" s="23" t="s">
        <v>38</v>
      </c>
      <c r="G57" s="26"/>
      <c r="H57" s="24"/>
      <c r="I57" s="465">
        <f xml:space="preserve"> I54 * ( 1 + I56 )</f>
        <v>8.7346755426879206</v>
      </c>
      <c r="J57" s="24"/>
      <c r="K57" s="25"/>
      <c r="M57" s="26"/>
      <c r="N57" s="24"/>
      <c r="O57" s="465">
        <f xml:space="preserve"> O54 * ( 1 + O56 )</f>
        <v>8.1189039923956852</v>
      </c>
      <c r="P57" s="24"/>
      <c r="Q57" s="25"/>
      <c r="S57" s="26"/>
      <c r="T57" s="24"/>
      <c r="U57" s="465">
        <f xml:space="preserve"> U54 * ( 1 + U56 )</f>
        <v>7.4504507527417241</v>
      </c>
      <c r="V57" s="24"/>
      <c r="W57" s="25"/>
      <c r="Y57" s="26"/>
      <c r="Z57" s="24"/>
      <c r="AA57" s="465">
        <f xml:space="preserve"> AA54 * ( 1 + AA56 )</f>
        <v>8.7893107354369171</v>
      </c>
      <c r="AB57" s="24"/>
      <c r="AC57" s="25"/>
      <c r="AE57" s="26"/>
      <c r="AF57" s="24"/>
      <c r="AG57" s="465">
        <f xml:space="preserve"> AG54 * ( 1 + AG56 )</f>
        <v>30.748482733259536</v>
      </c>
      <c r="AH57" s="24"/>
      <c r="AI57" s="25"/>
      <c r="AL57" s="26"/>
      <c r="AM57" s="24"/>
      <c r="AN57" s="465">
        <f xml:space="preserve"> AN54 * ( 1 + AN56 )</f>
        <v>28.183893989076413</v>
      </c>
      <c r="AO57" s="24"/>
      <c r="AP57" s="25"/>
      <c r="AR57" s="26"/>
      <c r="AS57" s="24"/>
      <c r="AT57" s="465">
        <f xml:space="preserve"> AT54 * ( 1 + AT56 )</f>
        <v>26.618738809356707</v>
      </c>
      <c r="AU57" s="24"/>
      <c r="AV57" s="25"/>
      <c r="AX57" s="26"/>
      <c r="AY57" s="24"/>
      <c r="AZ57" s="465">
        <f xml:space="preserve"> AZ54 * ( 1 + AZ56 )</f>
        <v>29.255501360150028</v>
      </c>
      <c r="BA57" s="24"/>
      <c r="BB57" s="25"/>
      <c r="BD57" s="26"/>
      <c r="BE57" s="24"/>
      <c r="BF57" s="465">
        <f xml:space="preserve"> BF54 * ( 1 + BF56 )</f>
        <v>50.020810221208066</v>
      </c>
      <c r="BG57" s="24"/>
      <c r="BH57" s="25"/>
      <c r="BJ57" s="26"/>
      <c r="BK57" s="24"/>
      <c r="BL57" s="465">
        <f xml:space="preserve"> BL54 * ( 1 + BL56 )</f>
        <v>46.161196097678115</v>
      </c>
      <c r="BM57" s="24"/>
      <c r="BN57" s="25"/>
      <c r="BP57" s="26"/>
      <c r="BQ57" s="24"/>
      <c r="BR57" s="465">
        <f xml:space="preserve"> BR54 * ( 1 + BR56 )</f>
        <v>43.057532229665576</v>
      </c>
      <c r="BS57" s="24"/>
      <c r="BT57" s="25"/>
      <c r="BV57" s="26"/>
      <c r="BW57" s="24"/>
      <c r="BX57" s="465">
        <f xml:space="preserve"> BX54 * ( 1 + BX56 )</f>
        <v>47.68080273367854</v>
      </c>
      <c r="BY57" s="24"/>
      <c r="BZ57" s="25"/>
    </row>
    <row r="58" spans="1:80" x14ac:dyDescent="0.3">
      <c r="L58" s="93"/>
      <c r="R58" s="93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3"/>
      <c r="AJ58" s="93"/>
      <c r="AK58" s="93"/>
      <c r="AQ58" s="93"/>
      <c r="AR58" s="95"/>
      <c r="AS58" s="95"/>
      <c r="AT58" s="95"/>
      <c r="AU58" s="95"/>
      <c r="AV58" s="95"/>
      <c r="AW58" s="95"/>
      <c r="AX58" s="95"/>
      <c r="AY58" s="95"/>
      <c r="AZ58" s="95"/>
      <c r="BA58" s="95"/>
      <c r="BB58" s="95"/>
      <c r="BC58" s="95"/>
      <c r="BI58" s="95"/>
      <c r="BO58" s="95"/>
      <c r="BP58" s="95"/>
      <c r="BQ58" s="95"/>
      <c r="BR58" s="95"/>
      <c r="BS58" s="95"/>
      <c r="BT58" s="95"/>
      <c r="BU58" s="95"/>
      <c r="BV58" s="95"/>
      <c r="BW58" s="95"/>
      <c r="BX58" s="95"/>
      <c r="BY58" s="95"/>
      <c r="BZ58" s="95"/>
      <c r="CA58" s="95"/>
      <c r="CB58" s="95"/>
    </row>
    <row r="59" spans="1:80" x14ac:dyDescent="0.3">
      <c r="E59" s="76" t="s">
        <v>86</v>
      </c>
      <c r="F59" s="95" t="s">
        <v>48</v>
      </c>
      <c r="G59" s="112"/>
      <c r="I59" s="55"/>
      <c r="K59" s="15"/>
      <c r="M59" s="112"/>
      <c r="O59" s="55"/>
      <c r="Q59" s="15"/>
      <c r="S59" s="112"/>
      <c r="T59" s="93"/>
      <c r="U59" s="55"/>
      <c r="V59" s="93"/>
      <c r="W59" s="15"/>
      <c r="Y59" s="112"/>
      <c r="Z59" s="93"/>
      <c r="AA59" s="55"/>
      <c r="AB59" s="93"/>
      <c r="AC59" s="15"/>
      <c r="AE59" s="112"/>
      <c r="AG59" s="55">
        <v>25</v>
      </c>
      <c r="AI59" s="15"/>
      <c r="AL59" s="112"/>
      <c r="AN59" s="55">
        <v>25</v>
      </c>
      <c r="AP59" s="15"/>
      <c r="AR59" s="112"/>
      <c r="AS59" s="93"/>
      <c r="AT59" s="55">
        <v>25</v>
      </c>
      <c r="AU59" s="93"/>
      <c r="AV59" s="15"/>
      <c r="AX59" s="112"/>
      <c r="AY59" s="93"/>
      <c r="AZ59" s="55">
        <v>25</v>
      </c>
      <c r="BA59" s="93"/>
      <c r="BB59" s="15"/>
      <c r="BD59" s="112"/>
      <c r="BF59" s="55">
        <v>25</v>
      </c>
      <c r="BH59" s="15"/>
      <c r="BJ59" s="112"/>
      <c r="BL59" s="55">
        <v>25</v>
      </c>
      <c r="BN59" s="15"/>
      <c r="BP59" s="112"/>
      <c r="BQ59" s="93"/>
      <c r="BR59" s="55">
        <v>25</v>
      </c>
      <c r="BS59" s="93"/>
      <c r="BT59" s="15"/>
      <c r="BV59" s="112"/>
      <c r="BW59" s="93"/>
      <c r="BX59" s="55">
        <v>25</v>
      </c>
      <c r="BY59" s="93"/>
      <c r="BZ59" s="15"/>
    </row>
    <row r="60" spans="1:80" x14ac:dyDescent="0.3">
      <c r="E60" s="91" t="s">
        <v>42</v>
      </c>
      <c r="F60" s="95" t="s">
        <v>48</v>
      </c>
      <c r="G60" s="112"/>
      <c r="I60" s="55"/>
      <c r="K60" s="15"/>
      <c r="M60" s="112"/>
      <c r="O60" s="55"/>
      <c r="Q60" s="15"/>
      <c r="S60" s="112"/>
      <c r="T60" s="93"/>
      <c r="U60" s="55"/>
      <c r="V60" s="93"/>
      <c r="W60" s="15"/>
      <c r="Y60" s="112"/>
      <c r="Z60" s="93"/>
      <c r="AA60" s="55"/>
      <c r="AB60" s="93"/>
      <c r="AC60" s="15"/>
      <c r="AE60" s="112"/>
      <c r="AG60" s="55">
        <v>14</v>
      </c>
      <c r="AI60" s="15"/>
      <c r="AL60" s="112"/>
      <c r="AN60" s="55">
        <v>14</v>
      </c>
      <c r="AP60" s="15"/>
      <c r="AR60" s="112"/>
      <c r="AS60" s="93"/>
      <c r="AT60" s="55">
        <v>14</v>
      </c>
      <c r="AU60" s="93"/>
      <c r="AV60" s="15"/>
      <c r="AX60" s="112"/>
      <c r="AY60" s="93"/>
      <c r="AZ60" s="55">
        <v>14</v>
      </c>
      <c r="BA60" s="93"/>
      <c r="BB60" s="15"/>
      <c r="BD60" s="112"/>
      <c r="BF60" s="55">
        <v>14</v>
      </c>
      <c r="BH60" s="15"/>
      <c r="BJ60" s="112"/>
      <c r="BL60" s="55">
        <v>14</v>
      </c>
      <c r="BN60" s="15"/>
      <c r="BP60" s="112"/>
      <c r="BQ60" s="93"/>
      <c r="BR60" s="55">
        <v>14</v>
      </c>
      <c r="BS60" s="93"/>
      <c r="BT60" s="15"/>
      <c r="BV60" s="112"/>
      <c r="BW60" s="93"/>
      <c r="BX60" s="55">
        <v>14</v>
      </c>
      <c r="BY60" s="93"/>
      <c r="BZ60" s="15"/>
    </row>
    <row r="61" spans="1:80" s="95" customFormat="1" x14ac:dyDescent="0.3">
      <c r="A61" s="161"/>
      <c r="B61" s="27"/>
      <c r="C61" s="149"/>
      <c r="D61" s="101"/>
      <c r="E61" s="96"/>
      <c r="G61" s="118"/>
      <c r="I61" s="481"/>
      <c r="K61" s="132"/>
      <c r="L61" s="101"/>
      <c r="M61" s="118"/>
      <c r="O61" s="481"/>
      <c r="Q61" s="132"/>
      <c r="R61" s="101"/>
      <c r="S61" s="118"/>
      <c r="U61" s="481"/>
      <c r="W61" s="132"/>
      <c r="X61" s="101"/>
      <c r="Y61" s="118"/>
      <c r="AA61" s="481"/>
      <c r="AC61" s="132"/>
      <c r="AD61" s="101"/>
      <c r="AE61" s="118"/>
      <c r="AG61" s="481"/>
      <c r="AI61" s="132"/>
      <c r="AJ61" s="101"/>
      <c r="AK61" s="101"/>
      <c r="AL61" s="118"/>
      <c r="AN61" s="481"/>
      <c r="AP61" s="132"/>
      <c r="AQ61" s="101"/>
      <c r="AR61" s="118"/>
      <c r="AT61" s="481"/>
      <c r="AV61" s="132"/>
      <c r="AW61" s="101"/>
      <c r="AX61" s="118"/>
      <c r="AZ61" s="481"/>
      <c r="BB61" s="132"/>
      <c r="BC61" s="101"/>
      <c r="BD61" s="118"/>
      <c r="BF61" s="481"/>
      <c r="BH61" s="132"/>
      <c r="BI61" s="101"/>
      <c r="BJ61" s="118"/>
      <c r="BL61" s="481"/>
      <c r="BN61" s="132"/>
      <c r="BO61" s="101"/>
      <c r="BP61" s="118"/>
      <c r="BR61" s="481"/>
      <c r="BT61" s="132"/>
      <c r="BU61" s="101"/>
      <c r="BV61" s="118"/>
      <c r="BX61" s="481"/>
      <c r="BZ61" s="132"/>
      <c r="CA61" s="101"/>
      <c r="CB61" s="101"/>
    </row>
    <row r="62" spans="1:80" x14ac:dyDescent="0.3">
      <c r="A62" s="173" t="s">
        <v>63</v>
      </c>
      <c r="B62" s="173" t="s">
        <v>63</v>
      </c>
      <c r="C62" s="173" t="s">
        <v>63</v>
      </c>
      <c r="D62" s="173" t="s">
        <v>63</v>
      </c>
      <c r="E62" s="173" t="s">
        <v>63</v>
      </c>
      <c r="F62" s="173" t="s">
        <v>63</v>
      </c>
      <c r="G62" s="173" t="s">
        <v>63</v>
      </c>
      <c r="H62" s="173" t="s">
        <v>63</v>
      </c>
      <c r="I62" s="80" t="s">
        <v>63</v>
      </c>
      <c r="J62" s="173"/>
      <c r="K62" s="173"/>
      <c r="L62" s="173"/>
      <c r="M62" s="173" t="s">
        <v>63</v>
      </c>
      <c r="N62" s="173" t="s">
        <v>63</v>
      </c>
      <c r="O62" s="80" t="s">
        <v>63</v>
      </c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 t="s">
        <v>63</v>
      </c>
      <c r="AF62" s="173" t="s">
        <v>63</v>
      </c>
      <c r="AG62" s="80" t="s">
        <v>63</v>
      </c>
      <c r="AH62" s="173"/>
      <c r="AI62" s="173"/>
      <c r="AJ62" s="173"/>
      <c r="AK62" s="173"/>
      <c r="AL62" s="173" t="s">
        <v>63</v>
      </c>
      <c r="AM62" s="173" t="s">
        <v>63</v>
      </c>
      <c r="AN62" s="80" t="s">
        <v>63</v>
      </c>
      <c r="AO62" s="173"/>
      <c r="AP62" s="173"/>
      <c r="AQ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 t="s">
        <v>63</v>
      </c>
      <c r="BE62" s="173" t="s">
        <v>63</v>
      </c>
      <c r="BF62" s="80" t="s">
        <v>63</v>
      </c>
      <c r="BG62" s="173"/>
      <c r="BH62" s="173"/>
      <c r="BI62" s="173"/>
      <c r="BJ62" s="173" t="s">
        <v>63</v>
      </c>
      <c r="BK62" s="173" t="s">
        <v>63</v>
      </c>
      <c r="BL62" s="80" t="s">
        <v>63</v>
      </c>
      <c r="BM62" s="173"/>
      <c r="BN62" s="173"/>
      <c r="BO62" s="173"/>
      <c r="BP62" s="173"/>
      <c r="BQ62" s="173"/>
      <c r="BR62" s="173"/>
      <c r="BS62" s="173"/>
      <c r="BT62" s="173"/>
      <c r="BU62" s="173"/>
      <c r="BV62" s="173"/>
      <c r="BW62" s="173"/>
      <c r="BX62" s="173"/>
      <c r="BY62" s="173"/>
      <c r="BZ62" s="173"/>
      <c r="CA62" s="173"/>
      <c r="CB62" s="173"/>
    </row>
    <row r="63" spans="1:80" x14ac:dyDescent="0.3">
      <c r="I63" s="126"/>
      <c r="L63" s="95"/>
      <c r="O63" s="126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  <c r="AC63" s="95"/>
      <c r="AD63" s="95"/>
      <c r="AG63" s="126"/>
      <c r="AJ63" s="95"/>
      <c r="AK63" s="95"/>
      <c r="AN63" s="126"/>
      <c r="AQ63" s="95"/>
      <c r="AR63" s="95"/>
      <c r="AS63" s="95"/>
      <c r="AT63" s="95"/>
      <c r="AU63" s="95"/>
      <c r="AV63" s="95"/>
      <c r="AW63" s="95"/>
      <c r="AX63" s="95"/>
      <c r="AY63" s="95"/>
      <c r="AZ63" s="95"/>
      <c r="BA63" s="95"/>
      <c r="BB63" s="95"/>
      <c r="BC63" s="95"/>
      <c r="BF63" s="126"/>
      <c r="BI63" s="95"/>
      <c r="BL63" s="126"/>
      <c r="BO63" s="95"/>
      <c r="BP63" s="95"/>
      <c r="BQ63" s="95"/>
      <c r="BR63" s="95"/>
      <c r="BS63" s="95"/>
      <c r="BT63" s="95"/>
      <c r="BU63" s="95"/>
      <c r="BV63" s="95"/>
      <c r="BW63" s="95"/>
      <c r="BX63" s="95"/>
      <c r="BY63" s="95"/>
      <c r="BZ63" s="95"/>
      <c r="CA63" s="95"/>
      <c r="CB63" s="95"/>
    </row>
    <row r="64" spans="1:80" x14ac:dyDescent="0.3">
      <c r="I64" s="126"/>
      <c r="O64" s="126"/>
      <c r="U64" s="126"/>
      <c r="AG64" s="126"/>
      <c r="AN64" s="126"/>
      <c r="AT64" s="126"/>
      <c r="BF64" s="126"/>
      <c r="BL64" s="126"/>
      <c r="BR64" s="126"/>
    </row>
    <row r="65" spans="9:64" x14ac:dyDescent="0.3">
      <c r="BL65" s="126"/>
    </row>
    <row r="66" spans="9:64" x14ac:dyDescent="0.3">
      <c r="I66" s="126"/>
      <c r="O66" s="126"/>
      <c r="AG66" s="126"/>
      <c r="AN66" s="126"/>
      <c r="BF66" s="126"/>
      <c r="BL66" s="126"/>
    </row>
    <row r="67" spans="9:64" x14ac:dyDescent="0.3">
      <c r="I67" s="223"/>
      <c r="O67" s="223"/>
      <c r="AG67" s="223"/>
      <c r="AN67" s="223"/>
      <c r="BF67" s="223"/>
      <c r="BL67" s="223"/>
    </row>
    <row r="68" spans="9:64" x14ac:dyDescent="0.3">
      <c r="I68" s="82"/>
      <c r="O68" s="82"/>
      <c r="AG68" s="82"/>
      <c r="AN68" s="82"/>
      <c r="BF68" s="82"/>
      <c r="BL68" s="82"/>
    </row>
    <row r="69" spans="9:64" x14ac:dyDescent="0.3">
      <c r="I69" s="82"/>
      <c r="O69" s="82"/>
      <c r="AG69" s="82"/>
      <c r="AN69" s="82"/>
      <c r="BF69" s="82"/>
      <c r="BL69" s="82"/>
    </row>
    <row r="71" spans="9:64" x14ac:dyDescent="0.3">
      <c r="I71" s="224"/>
      <c r="O71" s="224"/>
      <c r="AG71" s="224"/>
      <c r="AN71" s="224"/>
      <c r="BF71" s="224"/>
      <c r="BL71" s="224"/>
    </row>
  </sheetData>
  <mergeCells count="36">
    <mergeCell ref="AX10:BB10"/>
    <mergeCell ref="BV10:BZ10"/>
    <mergeCell ref="AL10:AP10"/>
    <mergeCell ref="BD10:BH10"/>
    <mergeCell ref="BJ10:BN10"/>
    <mergeCell ref="BP10:BT10"/>
    <mergeCell ref="AX8:BB8"/>
    <mergeCell ref="BV8:BZ8"/>
    <mergeCell ref="AE9:AI9"/>
    <mergeCell ref="AR9:AV9"/>
    <mergeCell ref="Y9:AC9"/>
    <mergeCell ref="AX9:BB9"/>
    <mergeCell ref="BV9:BZ9"/>
    <mergeCell ref="AL8:AP8"/>
    <mergeCell ref="AL9:AP9"/>
    <mergeCell ref="BD9:BH9"/>
    <mergeCell ref="BJ9:BN9"/>
    <mergeCell ref="BP9:BT9"/>
    <mergeCell ref="BD8:BH8"/>
    <mergeCell ref="BJ8:BN8"/>
    <mergeCell ref="BP8:BT8"/>
    <mergeCell ref="AE8:AI8"/>
    <mergeCell ref="AR8:AV8"/>
    <mergeCell ref="S8:W8"/>
    <mergeCell ref="S9:W9"/>
    <mergeCell ref="S10:W10"/>
    <mergeCell ref="Y8:AC8"/>
    <mergeCell ref="AE10:AI10"/>
    <mergeCell ref="AR10:AV10"/>
    <mergeCell ref="Y10:AC10"/>
    <mergeCell ref="G8:K8"/>
    <mergeCell ref="G9:K9"/>
    <mergeCell ref="G10:K10"/>
    <mergeCell ref="M8:Q8"/>
    <mergeCell ref="M9:Q9"/>
    <mergeCell ref="M10:Q10"/>
  </mergeCells>
  <conditionalFormatting sqref="AW9">
    <cfRule type="notContainsBlanks" dxfId="25" priority="26" stopIfTrue="1">
      <formula>LEN(TRIM(AW9))&gt;0</formula>
    </cfRule>
  </conditionalFormatting>
  <conditionalFormatting sqref="AQ9">
    <cfRule type="notContainsBlanks" dxfId="24" priority="22" stopIfTrue="1">
      <formula>LEN(TRIM(AQ9))&gt;0</formula>
    </cfRule>
  </conditionalFormatting>
  <conditionalFormatting sqref="G9:K9">
    <cfRule type="notContainsBlanks" dxfId="23" priority="16" stopIfTrue="1">
      <formula>LEN(TRIM(G9))&gt;0</formula>
    </cfRule>
  </conditionalFormatting>
  <conditionalFormatting sqref="M9:Q9">
    <cfRule type="notContainsBlanks" dxfId="22" priority="13" stopIfTrue="1">
      <formula>LEN(TRIM(M9))&gt;0</formula>
    </cfRule>
  </conditionalFormatting>
  <conditionalFormatting sqref="S9:W9">
    <cfRule type="notContainsBlanks" dxfId="21" priority="12" stopIfTrue="1">
      <formula>LEN(TRIM(S9))&gt;0</formula>
    </cfRule>
  </conditionalFormatting>
  <conditionalFormatting sqref="Y9:AC9">
    <cfRule type="notContainsBlanks" dxfId="20" priority="11" stopIfTrue="1">
      <formula>LEN(TRIM(Y9))&gt;0</formula>
    </cfRule>
  </conditionalFormatting>
  <conditionalFormatting sqref="AE9:AI9">
    <cfRule type="notContainsBlanks" dxfId="19" priority="10" stopIfTrue="1">
      <formula>LEN(TRIM(AE9))&gt;0</formula>
    </cfRule>
  </conditionalFormatting>
  <conditionalFormatting sqref="AL9:AP9">
    <cfRule type="notContainsBlanks" dxfId="18" priority="7" stopIfTrue="1">
      <formula>LEN(TRIM(AL9))&gt;0</formula>
    </cfRule>
  </conditionalFormatting>
  <conditionalFormatting sqref="AR9:AV9">
    <cfRule type="notContainsBlanks" dxfId="17" priority="6" stopIfTrue="1">
      <formula>LEN(TRIM(AR9))&gt;0</formula>
    </cfRule>
  </conditionalFormatting>
  <conditionalFormatting sqref="AX9:BB9">
    <cfRule type="notContainsBlanks" dxfId="16" priority="5" stopIfTrue="1">
      <formula>LEN(TRIM(AX9))&gt;0</formula>
    </cfRule>
  </conditionalFormatting>
  <conditionalFormatting sqref="BD9:BH9">
    <cfRule type="notContainsBlanks" dxfId="15" priority="4" stopIfTrue="1">
      <formula>LEN(TRIM(BD9))&gt;0</formula>
    </cfRule>
  </conditionalFormatting>
  <conditionalFormatting sqref="BJ9:BN9">
    <cfRule type="notContainsBlanks" dxfId="14" priority="3" stopIfTrue="1">
      <formula>LEN(TRIM(BJ9))&gt;0</formula>
    </cfRule>
  </conditionalFormatting>
  <conditionalFormatting sqref="BP9:BT9">
    <cfRule type="notContainsBlanks" dxfId="13" priority="2" stopIfTrue="1">
      <formula>LEN(TRIM(BP9))&gt;0</formula>
    </cfRule>
  </conditionalFormatting>
  <conditionalFormatting sqref="BV9:BZ9">
    <cfRule type="notContainsBlanks" dxfId="12" priority="1" stopIfTrue="1">
      <formula>LEN(TRIM(BV9))&gt;0</formula>
    </cfRule>
  </conditionalFormatting>
  <dataValidations count="3">
    <dataValidation type="list" allowBlank="1" showInputMessage="1" showErrorMessage="1" sqref="AR16 AE16 AX16 Y16 AL16 BV16 BJ16 BD16 BP16 G16 M16 S16" xr:uid="{1040951B-9BDB-4453-8B69-2B4935617684}">
      <formula1>"% jaarsalaris EXCL. VU, % jaarsalaris INCL. VU"</formula1>
    </dataValidation>
    <dataValidation type="list" allowBlank="1" showInputMessage="1" showErrorMessage="1" sqref="AE8:AI8 AL8:BB8 Y8:AC8 BV8:BZ8 BJ8:BN8 BD8:BH8 BP8:BT8 G8:K8 M8:Q8 S8:W8" xr:uid="{00BF091D-A9AB-43DF-B7AB-54C3B273BA13}">
      <formula1>"Module 2a: veiligheid, Module 2b: sociaal beheer"</formula1>
    </dataValidation>
    <dataValidation type="list" allowBlank="1" showInputMessage="1" showErrorMessage="1" sqref="AQ9 AW9" xr:uid="{95DB20E0-14EB-41CF-BC35-EF81B8481B3A}">
      <formula1>#REF!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D7078-41BE-48AD-8DF1-1016DC7AF532}">
  <sheetPr>
    <tabColor theme="9" tint="0.39997558519241921"/>
  </sheetPr>
  <dimension ref="A1:CA66"/>
  <sheetViews>
    <sheetView showGridLines="0" zoomScale="70" zoomScaleNormal="70" workbookViewId="0">
      <pane xSplit="6" ySplit="4" topLeftCell="G5" activePane="bottomRight" state="frozen"/>
      <selection activeCell="K45" sqref="K45"/>
      <selection pane="topRight" activeCell="K45" sqref="K45"/>
      <selection pane="bottomLeft" activeCell="K45" sqref="K45"/>
      <selection pane="bottomRight" activeCell="H15" sqref="H15"/>
    </sheetView>
  </sheetViews>
  <sheetFormatPr defaultColWidth="0" defaultRowHeight="14.4" x14ac:dyDescent="0.3"/>
  <cols>
    <col min="1" max="1" width="1.109375" style="92" customWidth="1"/>
    <col min="2" max="2" width="1.109375" style="109" customWidth="1"/>
    <col min="3" max="3" width="1.109375" style="135" customWidth="1"/>
    <col min="4" max="4" width="1.109375" style="98" customWidth="1"/>
    <col min="5" max="5" width="55.6640625" style="93" customWidth="1"/>
    <col min="6" max="6" width="20.6640625" style="93" customWidth="1"/>
    <col min="7" max="8" width="10.6640625" style="93" customWidth="1"/>
    <col min="9" max="9" width="11.6640625" style="79" customWidth="1"/>
    <col min="10" max="11" width="10.6640625" style="93" customWidth="1"/>
    <col min="12" max="12" width="1.6640625" style="98" customWidth="1"/>
    <col min="13" max="16" width="10.88671875" style="98" customWidth="1"/>
    <col min="17" max="17" width="10.88671875" style="93" customWidth="1"/>
    <col min="18" max="18" width="1.6640625" style="98" customWidth="1"/>
    <col min="19" max="23" width="10.88671875" style="98" customWidth="1"/>
    <col min="24" max="24" width="1.6640625" style="98" customWidth="1"/>
    <col min="25" max="29" width="10.88671875" style="98" customWidth="1"/>
    <col min="30" max="30" width="1.6640625" style="98" customWidth="1"/>
    <col min="31" max="35" width="10.88671875" style="98" customWidth="1"/>
    <col min="36" max="36" width="1.6640625" style="98" customWidth="1"/>
    <col min="37" max="41" width="10.88671875" style="98" customWidth="1"/>
    <col min="42" max="42" width="1.6640625" style="98" customWidth="1"/>
    <col min="43" max="47" width="10.88671875" style="98" customWidth="1"/>
    <col min="48" max="48" width="1.6640625" style="98" customWidth="1"/>
    <col min="49" max="53" width="10.88671875" style="98" customWidth="1"/>
    <col min="54" max="54" width="1.6640625" style="98" customWidth="1"/>
    <col min="55" max="59" width="10.88671875" style="98" customWidth="1"/>
    <col min="60" max="60" width="1.6640625" style="98" customWidth="1"/>
    <col min="61" max="65" width="10.88671875" style="98" customWidth="1"/>
    <col min="66" max="66" width="1.6640625" style="98" customWidth="1"/>
    <col min="67" max="71" width="10.88671875" style="98" customWidth="1"/>
    <col min="72" max="72" width="1.6640625" style="98" customWidth="1"/>
    <col min="73" max="77" width="10.88671875" style="98" customWidth="1"/>
    <col min="78" max="79" width="1.6640625" style="98" customWidth="1"/>
    <col min="80" max="134" width="0" hidden="1" customWidth="1"/>
  </cols>
  <sheetData>
    <row r="1" spans="1:79" ht="25.8" x14ac:dyDescent="0.5">
      <c r="A1" s="106" t="str">
        <f ca="1">RIGHT(CELL("filename",$A$1),LEN(CELL("filename",$A$1))-SEARCH("]",CELL("filename",$A$1)))</f>
        <v>Wonen - Veiligheid</v>
      </c>
    </row>
    <row r="3" spans="1:79" x14ac:dyDescent="0.3">
      <c r="E3" s="183"/>
      <c r="F3" s="183"/>
    </row>
    <row r="4" spans="1:79" x14ac:dyDescent="0.3">
      <c r="A4" s="107"/>
      <c r="B4" s="172"/>
      <c r="C4" s="169" t="s">
        <v>6</v>
      </c>
      <c r="D4" s="169"/>
      <c r="E4" s="142"/>
      <c r="F4" s="142" t="s">
        <v>11</v>
      </c>
      <c r="G4" s="50" t="s">
        <v>10</v>
      </c>
      <c r="H4" s="51"/>
      <c r="I4" s="51"/>
      <c r="J4" s="51"/>
      <c r="K4" s="52"/>
      <c r="L4" s="53"/>
      <c r="M4" s="50" t="s">
        <v>10</v>
      </c>
      <c r="N4" s="51"/>
      <c r="O4" s="51"/>
      <c r="P4" s="51"/>
      <c r="Q4" s="52"/>
      <c r="R4" s="53"/>
      <c r="S4" s="50" t="s">
        <v>10</v>
      </c>
      <c r="T4" s="51"/>
      <c r="U4" s="51"/>
      <c r="V4" s="51"/>
      <c r="W4" s="52"/>
      <c r="X4" s="53"/>
      <c r="Y4" s="50" t="s">
        <v>10</v>
      </c>
      <c r="Z4" s="51"/>
      <c r="AA4" s="51"/>
      <c r="AB4" s="51"/>
      <c r="AC4" s="52"/>
      <c r="AD4" s="53"/>
      <c r="AE4" s="50" t="s">
        <v>10</v>
      </c>
      <c r="AF4" s="51"/>
      <c r="AG4" s="51"/>
      <c r="AH4" s="51"/>
      <c r="AI4" s="52"/>
      <c r="AJ4" s="53"/>
      <c r="AK4" s="50" t="s">
        <v>10</v>
      </c>
      <c r="AL4" s="51"/>
      <c r="AM4" s="51"/>
      <c r="AN4" s="51"/>
      <c r="AO4" s="52"/>
      <c r="AP4" s="53"/>
      <c r="AQ4" s="50" t="s">
        <v>10</v>
      </c>
      <c r="AR4" s="51"/>
      <c r="AS4" s="51"/>
      <c r="AT4" s="51"/>
      <c r="AU4" s="52"/>
      <c r="AV4" s="53"/>
      <c r="AW4" s="50" t="s">
        <v>10</v>
      </c>
      <c r="AX4" s="51"/>
      <c r="AY4" s="51"/>
      <c r="AZ4" s="51"/>
      <c r="BA4" s="52"/>
      <c r="BB4" s="53"/>
      <c r="BC4" s="50" t="s">
        <v>10</v>
      </c>
      <c r="BD4" s="51"/>
      <c r="BE4" s="51"/>
      <c r="BF4" s="51"/>
      <c r="BG4" s="52"/>
      <c r="BH4" s="53"/>
      <c r="BI4" s="50" t="s">
        <v>10</v>
      </c>
      <c r="BJ4" s="51"/>
      <c r="BK4" s="51"/>
      <c r="BL4" s="51"/>
      <c r="BM4" s="52"/>
      <c r="BN4" s="53"/>
      <c r="BO4" s="50" t="s">
        <v>10</v>
      </c>
      <c r="BP4" s="51"/>
      <c r="BQ4" s="51"/>
      <c r="BR4" s="51"/>
      <c r="BS4" s="52"/>
      <c r="BT4" s="53"/>
      <c r="BU4" s="50" t="s">
        <v>10</v>
      </c>
      <c r="BV4" s="51"/>
      <c r="BW4" s="51"/>
      <c r="BX4" s="51"/>
      <c r="BY4" s="52"/>
      <c r="BZ4" s="53"/>
      <c r="CA4" s="53"/>
    </row>
    <row r="5" spans="1:79" x14ac:dyDescent="0.3">
      <c r="A5" s="108"/>
      <c r="B5" s="148"/>
      <c r="C5" s="149"/>
      <c r="D5" s="101"/>
      <c r="E5" s="96"/>
      <c r="F5" s="145"/>
      <c r="G5" s="115"/>
      <c r="H5" s="13"/>
      <c r="I5" s="13"/>
      <c r="J5" s="13"/>
      <c r="K5" s="125"/>
      <c r="L5" s="101"/>
      <c r="M5" s="115"/>
      <c r="N5" s="13"/>
      <c r="O5" s="13"/>
      <c r="P5" s="13"/>
      <c r="Q5" s="125"/>
      <c r="R5" s="101"/>
      <c r="S5" s="115"/>
      <c r="T5" s="13"/>
      <c r="U5" s="13"/>
      <c r="V5" s="13"/>
      <c r="W5" s="125"/>
      <c r="X5" s="101"/>
      <c r="Y5" s="115"/>
      <c r="Z5" s="13"/>
      <c r="AA5" s="13"/>
      <c r="AB5" s="13"/>
      <c r="AC5" s="125"/>
      <c r="AD5" s="101"/>
      <c r="AE5" s="115"/>
      <c r="AF5" s="13"/>
      <c r="AG5" s="13"/>
      <c r="AH5" s="13"/>
      <c r="AI5" s="125"/>
      <c r="AJ5" s="101"/>
      <c r="AK5" s="115"/>
      <c r="AL5" s="13"/>
      <c r="AM5" s="13"/>
      <c r="AN5" s="13"/>
      <c r="AO5" s="125"/>
      <c r="AP5" s="101"/>
      <c r="AQ5" s="115"/>
      <c r="AR5" s="13"/>
      <c r="AS5" s="13"/>
      <c r="AT5" s="13"/>
      <c r="AU5" s="125"/>
      <c r="AV5" s="101"/>
      <c r="AW5" s="115"/>
      <c r="AX5" s="13"/>
      <c r="AY5" s="13"/>
      <c r="AZ5" s="13"/>
      <c r="BA5" s="125"/>
      <c r="BB5" s="101"/>
      <c r="BC5" s="115"/>
      <c r="BD5" s="13"/>
      <c r="BE5" s="13"/>
      <c r="BF5" s="13"/>
      <c r="BG5" s="125"/>
      <c r="BH5" s="101"/>
      <c r="BI5" s="115"/>
      <c r="BJ5" s="13"/>
      <c r="BK5" s="13"/>
      <c r="BL5" s="13"/>
      <c r="BM5" s="125"/>
      <c r="BN5" s="101"/>
      <c r="BO5" s="115"/>
      <c r="BP5" s="13"/>
      <c r="BQ5" s="13"/>
      <c r="BR5" s="13"/>
      <c r="BS5" s="125"/>
      <c r="BT5" s="101"/>
      <c r="BU5" s="115"/>
      <c r="BV5" s="13"/>
      <c r="BW5" s="13"/>
      <c r="BX5" s="13"/>
      <c r="BY5" s="125"/>
      <c r="BZ5" s="101"/>
      <c r="CA5" s="101"/>
    </row>
    <row r="6" spans="1:79" x14ac:dyDescent="0.3">
      <c r="A6" s="108"/>
      <c r="B6" s="148"/>
      <c r="C6" s="149"/>
      <c r="D6" s="110" t="s">
        <v>39</v>
      </c>
      <c r="E6" s="96"/>
      <c r="F6" s="145"/>
      <c r="G6" s="115"/>
      <c r="H6" s="13"/>
      <c r="I6" s="13"/>
      <c r="J6" s="13"/>
      <c r="K6" s="125"/>
      <c r="L6" s="101"/>
      <c r="M6" s="115"/>
      <c r="N6" s="13"/>
      <c r="O6" s="13"/>
      <c r="P6" s="13"/>
      <c r="Q6" s="125"/>
      <c r="R6" s="101"/>
      <c r="S6" s="115"/>
      <c r="T6" s="13"/>
      <c r="U6" s="13"/>
      <c r="V6" s="13"/>
      <c r="W6" s="125"/>
      <c r="X6" s="101"/>
      <c r="Y6" s="115"/>
      <c r="Z6" s="13"/>
      <c r="AA6" s="13"/>
      <c r="AB6" s="13"/>
      <c r="AC6" s="125"/>
      <c r="AD6" s="101"/>
      <c r="AE6" s="115"/>
      <c r="AF6" s="13"/>
      <c r="AG6" s="13"/>
      <c r="AH6" s="13"/>
      <c r="AI6" s="125"/>
      <c r="AJ6" s="101"/>
      <c r="AK6" s="115"/>
      <c r="AL6" s="13"/>
      <c r="AM6" s="13"/>
      <c r="AN6" s="13"/>
      <c r="AO6" s="125"/>
      <c r="AP6" s="101"/>
      <c r="AQ6" s="115"/>
      <c r="AR6" s="13"/>
      <c r="AS6" s="13"/>
      <c r="AT6" s="13"/>
      <c r="AU6" s="125"/>
      <c r="AV6" s="101"/>
      <c r="AW6" s="115"/>
      <c r="AX6" s="13"/>
      <c r="AY6" s="13"/>
      <c r="AZ6" s="13"/>
      <c r="BA6" s="125"/>
      <c r="BB6" s="101"/>
      <c r="BC6" s="115"/>
      <c r="BD6" s="13"/>
      <c r="BE6" s="13"/>
      <c r="BF6" s="13"/>
      <c r="BG6" s="125"/>
      <c r="BH6" s="101"/>
      <c r="BI6" s="315"/>
      <c r="BJ6" s="316"/>
      <c r="BK6" s="316"/>
      <c r="BL6" s="316"/>
      <c r="BM6" s="125"/>
      <c r="BN6" s="101"/>
      <c r="BO6" s="115"/>
      <c r="BP6" s="13"/>
      <c r="BQ6" s="13"/>
      <c r="BR6" s="13"/>
      <c r="BS6" s="125"/>
      <c r="BT6" s="101"/>
      <c r="BU6" s="115"/>
      <c r="BV6" s="13"/>
      <c r="BW6" s="13"/>
      <c r="BX6" s="13"/>
      <c r="BY6" s="125"/>
      <c r="BZ6" s="101"/>
      <c r="CA6" s="101"/>
    </row>
    <row r="7" spans="1:79" x14ac:dyDescent="0.3">
      <c r="A7" s="89"/>
      <c r="B7" s="134"/>
      <c r="C7" s="167"/>
      <c r="D7" s="84"/>
      <c r="E7" s="90" t="s">
        <v>69</v>
      </c>
      <c r="F7" s="90" t="s">
        <v>12</v>
      </c>
      <c r="G7" s="85" t="s">
        <v>53</v>
      </c>
      <c r="H7" s="86"/>
      <c r="I7" s="86"/>
      <c r="J7" s="86"/>
      <c r="K7" s="87"/>
      <c r="L7" s="84"/>
      <c r="M7" s="85" t="s">
        <v>53</v>
      </c>
      <c r="N7" s="86"/>
      <c r="O7" s="86"/>
      <c r="P7" s="86"/>
      <c r="Q7" s="87"/>
      <c r="R7" s="84"/>
      <c r="S7" s="85" t="s">
        <v>53</v>
      </c>
      <c r="T7" s="88"/>
      <c r="U7" s="88"/>
      <c r="V7" s="86"/>
      <c r="W7" s="87"/>
      <c r="X7" s="84"/>
      <c r="Y7" s="85" t="s">
        <v>53</v>
      </c>
      <c r="Z7" s="88"/>
      <c r="AA7" s="88"/>
      <c r="AB7" s="86"/>
      <c r="AC7" s="87"/>
      <c r="AD7" s="84"/>
      <c r="AE7" s="85" t="s">
        <v>53</v>
      </c>
      <c r="AF7" s="88"/>
      <c r="AG7" s="88"/>
      <c r="AH7" s="86"/>
      <c r="AI7" s="87"/>
      <c r="AJ7" s="84"/>
      <c r="AK7" s="85" t="s">
        <v>53</v>
      </c>
      <c r="AL7" s="88"/>
      <c r="AM7" s="88"/>
      <c r="AN7" s="86"/>
      <c r="AO7" s="87"/>
      <c r="AP7" s="84"/>
      <c r="AQ7" s="85" t="s">
        <v>53</v>
      </c>
      <c r="AR7" s="88"/>
      <c r="AS7" s="88"/>
      <c r="AT7" s="86"/>
      <c r="AU7" s="87"/>
      <c r="AV7" s="84"/>
      <c r="AW7" s="85" t="s">
        <v>53</v>
      </c>
      <c r="AX7" s="88"/>
      <c r="AY7" s="88"/>
      <c r="AZ7" s="86"/>
      <c r="BA7" s="87"/>
      <c r="BB7" s="84"/>
      <c r="BC7" s="85" t="s">
        <v>53</v>
      </c>
      <c r="BD7" s="88"/>
      <c r="BE7" s="88"/>
      <c r="BF7" s="86"/>
      <c r="BG7" s="87"/>
      <c r="BH7" s="84"/>
      <c r="BI7" s="85" t="s">
        <v>53</v>
      </c>
      <c r="BJ7" s="88"/>
      <c r="BK7" s="88"/>
      <c r="BL7" s="86"/>
      <c r="BM7" s="87"/>
      <c r="BN7" s="84"/>
      <c r="BO7" s="85" t="s">
        <v>53</v>
      </c>
      <c r="BP7" s="88"/>
      <c r="BQ7" s="88"/>
      <c r="BR7" s="86"/>
      <c r="BS7" s="87"/>
      <c r="BT7" s="84"/>
      <c r="BU7" s="85" t="s">
        <v>53</v>
      </c>
      <c r="BV7" s="88"/>
      <c r="BW7" s="88"/>
      <c r="BX7" s="86"/>
      <c r="BY7" s="87"/>
      <c r="BZ7" s="84"/>
      <c r="CA7" s="84"/>
    </row>
    <row r="8" spans="1:79" x14ac:dyDescent="0.3">
      <c r="A8" s="89"/>
      <c r="B8" s="134"/>
      <c r="C8" s="167"/>
      <c r="D8" s="84"/>
      <c r="E8" s="90" t="s">
        <v>81</v>
      </c>
      <c r="F8" s="90" t="s">
        <v>70</v>
      </c>
      <c r="G8" s="585" t="s">
        <v>98</v>
      </c>
      <c r="H8" s="583"/>
      <c r="I8" s="583"/>
      <c r="J8" s="583"/>
      <c r="K8" s="584"/>
      <c r="L8" s="84"/>
      <c r="M8" s="585" t="s">
        <v>98</v>
      </c>
      <c r="N8" s="583"/>
      <c r="O8" s="583"/>
      <c r="P8" s="583"/>
      <c r="Q8" s="584"/>
      <c r="R8" s="84"/>
      <c r="S8" s="585" t="s">
        <v>98</v>
      </c>
      <c r="T8" s="583"/>
      <c r="U8" s="583"/>
      <c r="V8" s="583"/>
      <c r="W8" s="584"/>
      <c r="X8" s="84"/>
      <c r="Y8" s="585" t="s">
        <v>98</v>
      </c>
      <c r="Z8" s="583"/>
      <c r="AA8" s="583"/>
      <c r="AB8" s="583"/>
      <c r="AC8" s="584"/>
      <c r="AD8" s="84"/>
      <c r="AE8" s="585" t="s">
        <v>98</v>
      </c>
      <c r="AF8" s="583"/>
      <c r="AG8" s="583"/>
      <c r="AH8" s="583"/>
      <c r="AI8" s="584"/>
      <c r="AJ8" s="84"/>
      <c r="AK8" s="585" t="s">
        <v>98</v>
      </c>
      <c r="AL8" s="583"/>
      <c r="AM8" s="583"/>
      <c r="AN8" s="583"/>
      <c r="AO8" s="584"/>
      <c r="AP8" s="84"/>
      <c r="AQ8" s="585" t="s">
        <v>98</v>
      </c>
      <c r="AR8" s="583"/>
      <c r="AS8" s="583"/>
      <c r="AT8" s="583"/>
      <c r="AU8" s="584"/>
      <c r="AV8" s="84"/>
      <c r="AW8" s="585" t="s">
        <v>98</v>
      </c>
      <c r="AX8" s="583"/>
      <c r="AY8" s="583"/>
      <c r="AZ8" s="583"/>
      <c r="BA8" s="584"/>
      <c r="BB8" s="84"/>
      <c r="BC8" s="585" t="s">
        <v>98</v>
      </c>
      <c r="BD8" s="583"/>
      <c r="BE8" s="583"/>
      <c r="BF8" s="583"/>
      <c r="BG8" s="584"/>
      <c r="BH8" s="84"/>
      <c r="BI8" s="585" t="s">
        <v>98</v>
      </c>
      <c r="BJ8" s="583"/>
      <c r="BK8" s="583"/>
      <c r="BL8" s="583"/>
      <c r="BM8" s="584"/>
      <c r="BN8" s="84"/>
      <c r="BO8" s="585" t="s">
        <v>98</v>
      </c>
      <c r="BP8" s="583"/>
      <c r="BQ8" s="583"/>
      <c r="BR8" s="583"/>
      <c r="BS8" s="584"/>
      <c r="BT8" s="84"/>
      <c r="BU8" s="585" t="s">
        <v>98</v>
      </c>
      <c r="BV8" s="583"/>
      <c r="BW8" s="583"/>
      <c r="BX8" s="583"/>
      <c r="BY8" s="584"/>
      <c r="BZ8" s="84"/>
      <c r="CA8" s="84"/>
    </row>
    <row r="9" spans="1:79" x14ac:dyDescent="0.3">
      <c r="A9" s="89"/>
      <c r="B9" s="134"/>
      <c r="C9" s="167"/>
      <c r="D9" s="84"/>
      <c r="E9" s="90" t="s">
        <v>87</v>
      </c>
      <c r="F9" s="90" t="s">
        <v>70</v>
      </c>
      <c r="G9" s="585" t="s">
        <v>235</v>
      </c>
      <c r="H9" s="583"/>
      <c r="I9" s="583"/>
      <c r="J9" s="583"/>
      <c r="K9" s="584"/>
      <c r="L9" s="84"/>
      <c r="M9" s="585" t="s">
        <v>235</v>
      </c>
      <c r="N9" s="583"/>
      <c r="O9" s="583"/>
      <c r="P9" s="583"/>
      <c r="Q9" s="584"/>
      <c r="R9" s="84"/>
      <c r="S9" s="585" t="s">
        <v>235</v>
      </c>
      <c r="T9" s="583"/>
      <c r="U9" s="583"/>
      <c r="V9" s="583"/>
      <c r="W9" s="584"/>
      <c r="X9" s="84"/>
      <c r="Y9" s="585" t="s">
        <v>235</v>
      </c>
      <c r="Z9" s="583"/>
      <c r="AA9" s="583"/>
      <c r="AB9" s="583"/>
      <c r="AC9" s="584"/>
      <c r="AD9" s="84"/>
      <c r="AE9" s="585" t="s">
        <v>236</v>
      </c>
      <c r="AF9" s="583"/>
      <c r="AG9" s="583"/>
      <c r="AH9" s="583"/>
      <c r="AI9" s="584"/>
      <c r="AJ9" s="84"/>
      <c r="AK9" s="585" t="s">
        <v>236</v>
      </c>
      <c r="AL9" s="583"/>
      <c r="AM9" s="583"/>
      <c r="AN9" s="583"/>
      <c r="AO9" s="584"/>
      <c r="AP9" s="84"/>
      <c r="AQ9" s="585" t="s">
        <v>236</v>
      </c>
      <c r="AR9" s="583"/>
      <c r="AS9" s="583"/>
      <c r="AT9" s="583"/>
      <c r="AU9" s="584"/>
      <c r="AV9" s="84"/>
      <c r="AW9" s="585" t="s">
        <v>236</v>
      </c>
      <c r="AX9" s="583"/>
      <c r="AY9" s="583"/>
      <c r="AZ9" s="583"/>
      <c r="BA9" s="584"/>
      <c r="BB9" s="84"/>
      <c r="BC9" s="585" t="s">
        <v>237</v>
      </c>
      <c r="BD9" s="583"/>
      <c r="BE9" s="583"/>
      <c r="BF9" s="583"/>
      <c r="BG9" s="584"/>
      <c r="BH9" s="84"/>
      <c r="BI9" s="585" t="s">
        <v>237</v>
      </c>
      <c r="BJ9" s="583"/>
      <c r="BK9" s="583"/>
      <c r="BL9" s="583"/>
      <c r="BM9" s="584"/>
      <c r="BN9" s="84"/>
      <c r="BO9" s="585" t="s">
        <v>237</v>
      </c>
      <c r="BP9" s="583"/>
      <c r="BQ9" s="583"/>
      <c r="BR9" s="583"/>
      <c r="BS9" s="584"/>
      <c r="BT9" s="84"/>
      <c r="BU9" s="585" t="s">
        <v>237</v>
      </c>
      <c r="BV9" s="583"/>
      <c r="BW9" s="583"/>
      <c r="BX9" s="583"/>
      <c r="BY9" s="584"/>
      <c r="BZ9" s="84"/>
      <c r="CA9" s="84"/>
    </row>
    <row r="10" spans="1:79" ht="14.4" customHeight="1" x14ac:dyDescent="0.3">
      <c r="A10" s="89"/>
      <c r="B10" s="134"/>
      <c r="C10" s="167"/>
      <c r="D10" s="168"/>
      <c r="E10" s="91" t="s">
        <v>40</v>
      </c>
      <c r="F10" s="90" t="s">
        <v>12</v>
      </c>
      <c r="G10" s="592" t="s">
        <v>118</v>
      </c>
      <c r="H10" s="593"/>
      <c r="I10" s="593"/>
      <c r="J10" s="593"/>
      <c r="K10" s="594"/>
      <c r="L10" s="168"/>
      <c r="M10" s="592" t="s">
        <v>147</v>
      </c>
      <c r="N10" s="593"/>
      <c r="O10" s="593"/>
      <c r="P10" s="593"/>
      <c r="Q10" s="594"/>
      <c r="R10" s="168"/>
      <c r="S10" s="592" t="s">
        <v>123</v>
      </c>
      <c r="T10" s="593"/>
      <c r="U10" s="593"/>
      <c r="V10" s="593"/>
      <c r="W10" s="594"/>
      <c r="X10" s="168"/>
      <c r="Y10" s="592" t="s">
        <v>182</v>
      </c>
      <c r="Z10" s="593"/>
      <c r="AA10" s="593"/>
      <c r="AB10" s="593"/>
      <c r="AC10" s="594"/>
      <c r="AD10" s="168"/>
      <c r="AE10" s="592" t="s">
        <v>149</v>
      </c>
      <c r="AF10" s="593"/>
      <c r="AG10" s="593"/>
      <c r="AH10" s="593"/>
      <c r="AI10" s="594"/>
      <c r="AJ10" s="168"/>
      <c r="AK10" s="592" t="s">
        <v>150</v>
      </c>
      <c r="AL10" s="593"/>
      <c r="AM10" s="593"/>
      <c r="AN10" s="593"/>
      <c r="AO10" s="594"/>
      <c r="AP10" s="168"/>
      <c r="AQ10" s="592" t="s">
        <v>122</v>
      </c>
      <c r="AR10" s="593"/>
      <c r="AS10" s="593"/>
      <c r="AT10" s="593"/>
      <c r="AU10" s="594"/>
      <c r="AV10" s="168"/>
      <c r="AW10" s="592" t="s">
        <v>182</v>
      </c>
      <c r="AX10" s="593"/>
      <c r="AY10" s="593"/>
      <c r="AZ10" s="593"/>
      <c r="BA10" s="594"/>
      <c r="BB10" s="168"/>
      <c r="BC10" s="592" t="s">
        <v>148</v>
      </c>
      <c r="BD10" s="593"/>
      <c r="BE10" s="593"/>
      <c r="BF10" s="593"/>
      <c r="BG10" s="594"/>
      <c r="BH10" s="168"/>
      <c r="BI10" s="592" t="s">
        <v>119</v>
      </c>
      <c r="BJ10" s="593"/>
      <c r="BK10" s="593"/>
      <c r="BL10" s="593"/>
      <c r="BM10" s="594"/>
      <c r="BN10" s="168"/>
      <c r="BO10" s="592" t="s">
        <v>122</v>
      </c>
      <c r="BP10" s="593"/>
      <c r="BQ10" s="593"/>
      <c r="BR10" s="593"/>
      <c r="BS10" s="594"/>
      <c r="BT10" s="168"/>
      <c r="BU10" s="592" t="s">
        <v>182</v>
      </c>
      <c r="BV10" s="593"/>
      <c r="BW10" s="593"/>
      <c r="BX10" s="593"/>
      <c r="BY10" s="594"/>
      <c r="BZ10" s="168"/>
      <c r="CA10" s="168"/>
    </row>
    <row r="11" spans="1:79" ht="6" customHeight="1" x14ac:dyDescent="0.3">
      <c r="A11" s="108"/>
      <c r="B11" s="148"/>
      <c r="C11" s="149"/>
      <c r="D11" s="101"/>
      <c r="E11" s="96"/>
      <c r="F11" s="145"/>
      <c r="G11" s="115"/>
      <c r="H11" s="13"/>
      <c r="I11" s="13"/>
      <c r="J11" s="13"/>
      <c r="K11" s="125"/>
      <c r="L11" s="101"/>
      <c r="M11" s="115"/>
      <c r="N11" s="13"/>
      <c r="O11" s="13"/>
      <c r="P11" s="13"/>
      <c r="Q11" s="125"/>
      <c r="R11" s="101"/>
      <c r="S11" s="115"/>
      <c r="T11" s="13"/>
      <c r="U11" s="13"/>
      <c r="V11" s="13"/>
      <c r="W11" s="125"/>
      <c r="X11" s="101"/>
      <c r="Y11" s="115"/>
      <c r="Z11" s="13"/>
      <c r="AA11" s="13"/>
      <c r="AB11" s="13"/>
      <c r="AC11" s="125"/>
      <c r="AD11" s="101"/>
      <c r="AE11" s="115"/>
      <c r="AF11" s="13"/>
      <c r="AG11" s="13"/>
      <c r="AH11" s="13"/>
      <c r="AI11" s="125"/>
      <c r="AJ11" s="101"/>
      <c r="AK11" s="115"/>
      <c r="AL11" s="13"/>
      <c r="AM11" s="13"/>
      <c r="AN11" s="13"/>
      <c r="AO11" s="125"/>
      <c r="AP11" s="101"/>
      <c r="AQ11" s="115"/>
      <c r="AR11" s="13"/>
      <c r="AS11" s="13"/>
      <c r="AT11" s="13"/>
      <c r="AU11" s="125"/>
      <c r="AV11" s="101"/>
      <c r="AW11" s="115"/>
      <c r="AX11" s="13"/>
      <c r="AY11" s="13"/>
      <c r="AZ11" s="13"/>
      <c r="BA11" s="125"/>
      <c r="BB11" s="101"/>
      <c r="BC11" s="115"/>
      <c r="BD11" s="13"/>
      <c r="BE11" s="13"/>
      <c r="BF11" s="13"/>
      <c r="BG11" s="125"/>
      <c r="BH11" s="101"/>
      <c r="BI11" s="115"/>
      <c r="BJ11" s="13"/>
      <c r="BK11" s="13"/>
      <c r="BL11" s="13"/>
      <c r="BM11" s="125"/>
      <c r="BN11" s="101"/>
      <c r="BO11" s="115"/>
      <c r="BP11" s="13"/>
      <c r="BQ11" s="13"/>
      <c r="BR11" s="13"/>
      <c r="BS11" s="125"/>
      <c r="BT11" s="101"/>
      <c r="BU11" s="115"/>
      <c r="BV11" s="13"/>
      <c r="BW11" s="13"/>
      <c r="BX11" s="13"/>
      <c r="BY11" s="125"/>
      <c r="BZ11" s="101"/>
      <c r="CA11" s="101"/>
    </row>
    <row r="12" spans="1:79" x14ac:dyDescent="0.3">
      <c r="A12" s="107"/>
      <c r="B12" s="147"/>
      <c r="E12" s="91" t="s">
        <v>7</v>
      </c>
      <c r="F12" s="127" t="s">
        <v>12</v>
      </c>
      <c r="G12" s="111" t="s">
        <v>92</v>
      </c>
      <c r="H12" s="116" t="s">
        <v>92</v>
      </c>
      <c r="I12" s="116" t="s">
        <v>92</v>
      </c>
      <c r="J12" s="116"/>
      <c r="K12" s="117"/>
      <c r="M12" s="111" t="s">
        <v>95</v>
      </c>
      <c r="N12" s="116" t="s">
        <v>95</v>
      </c>
      <c r="O12" s="116" t="s">
        <v>95</v>
      </c>
      <c r="P12" s="116"/>
      <c r="Q12" s="117"/>
      <c r="S12" s="111" t="s">
        <v>93</v>
      </c>
      <c r="T12" s="116" t="s">
        <v>93</v>
      </c>
      <c r="U12" s="116" t="s">
        <v>93</v>
      </c>
      <c r="V12" s="116"/>
      <c r="W12" s="117"/>
      <c r="Y12" s="111" t="s">
        <v>136</v>
      </c>
      <c r="Z12" s="116" t="s">
        <v>136</v>
      </c>
      <c r="AA12" s="116" t="s">
        <v>136</v>
      </c>
      <c r="AB12" s="116"/>
      <c r="AC12" s="117"/>
      <c r="AE12" s="111" t="str">
        <f t="shared" ref="AE12:AG13" si="0" xml:space="preserve"> G12</f>
        <v>GGZ</v>
      </c>
      <c r="AF12" s="116" t="str">
        <f t="shared" si="0"/>
        <v>GGZ</v>
      </c>
      <c r="AG12" s="116" t="str">
        <f t="shared" si="0"/>
        <v>GGZ</v>
      </c>
      <c r="AH12" s="116"/>
      <c r="AI12" s="117"/>
      <c r="AK12" s="111" t="str">
        <f t="shared" ref="AK12:AM12" si="1" xml:space="preserve"> M12</f>
        <v>SW</v>
      </c>
      <c r="AL12" s="116" t="str">
        <f t="shared" si="1"/>
        <v>SW</v>
      </c>
      <c r="AM12" s="116" t="str">
        <f t="shared" si="1"/>
        <v>SW</v>
      </c>
      <c r="AN12" s="116"/>
      <c r="AO12" s="117"/>
      <c r="AQ12" s="111" t="str">
        <f t="shared" ref="AQ12:AS13" si="2" xml:space="preserve"> S12</f>
        <v>GHZ</v>
      </c>
      <c r="AR12" s="116" t="str">
        <f t="shared" si="2"/>
        <v>GHZ</v>
      </c>
      <c r="AS12" s="116" t="str">
        <f t="shared" si="2"/>
        <v>GHZ</v>
      </c>
      <c r="AT12" s="116"/>
      <c r="AU12" s="117"/>
      <c r="AW12" s="111" t="s">
        <v>136</v>
      </c>
      <c r="AX12" s="116" t="s">
        <v>136</v>
      </c>
      <c r="AY12" s="116" t="s">
        <v>136</v>
      </c>
      <c r="AZ12" s="116"/>
      <c r="BA12" s="117"/>
      <c r="BC12" s="111" t="str">
        <f xml:space="preserve"> AE12</f>
        <v>GGZ</v>
      </c>
      <c r="BD12" s="116" t="str">
        <f xml:space="preserve"> AF12</f>
        <v>GGZ</v>
      </c>
      <c r="BE12" s="116" t="str">
        <f xml:space="preserve"> AG12</f>
        <v>GGZ</v>
      </c>
      <c r="BF12" s="116"/>
      <c r="BG12" s="117"/>
      <c r="BI12" s="111" t="str">
        <f xml:space="preserve"> AK12</f>
        <v>SW</v>
      </c>
      <c r="BJ12" s="116" t="str">
        <f xml:space="preserve"> AL12</f>
        <v>SW</v>
      </c>
      <c r="BK12" s="116" t="str">
        <f xml:space="preserve"> AM12</f>
        <v>SW</v>
      </c>
      <c r="BL12" s="116"/>
      <c r="BM12" s="117"/>
      <c r="BO12" s="111" t="str">
        <f t="shared" ref="BO12:BQ13" si="3" xml:space="preserve"> AQ12</f>
        <v>GHZ</v>
      </c>
      <c r="BP12" s="116" t="str">
        <f t="shared" si="3"/>
        <v>GHZ</v>
      </c>
      <c r="BQ12" s="116" t="str">
        <f t="shared" si="3"/>
        <v>GHZ</v>
      </c>
      <c r="BR12" s="116"/>
      <c r="BS12" s="117"/>
      <c r="BU12" s="111" t="s">
        <v>136</v>
      </c>
      <c r="BV12" s="116" t="s">
        <v>136</v>
      </c>
      <c r="BW12" s="116" t="s">
        <v>136</v>
      </c>
      <c r="BX12" s="116"/>
      <c r="BY12" s="117"/>
    </row>
    <row r="13" spans="1:79" x14ac:dyDescent="0.3">
      <c r="A13" s="107"/>
      <c r="B13" s="147"/>
      <c r="E13" s="96" t="s">
        <v>8</v>
      </c>
      <c r="F13" s="127" t="s">
        <v>13</v>
      </c>
      <c r="G13" s="111">
        <v>35</v>
      </c>
      <c r="H13" s="116">
        <v>40</v>
      </c>
      <c r="I13" s="116">
        <v>45</v>
      </c>
      <c r="J13" s="116"/>
      <c r="K13" s="117"/>
      <c r="M13" s="111">
        <v>5</v>
      </c>
      <c r="N13" s="116">
        <v>6</v>
      </c>
      <c r="O13" s="116">
        <v>7</v>
      </c>
      <c r="P13" s="116"/>
      <c r="Q13" s="117"/>
      <c r="S13" s="111">
        <v>35</v>
      </c>
      <c r="T13" s="116">
        <v>40</v>
      </c>
      <c r="U13" s="116">
        <v>45</v>
      </c>
      <c r="V13" s="116"/>
      <c r="W13" s="117"/>
      <c r="Y13" s="111">
        <v>5</v>
      </c>
      <c r="Z13" s="116">
        <v>6</v>
      </c>
      <c r="AA13" s="116">
        <v>7</v>
      </c>
      <c r="AB13" s="116"/>
      <c r="AC13" s="117"/>
      <c r="AE13" s="111">
        <f t="shared" si="0"/>
        <v>35</v>
      </c>
      <c r="AF13" s="116">
        <f t="shared" si="0"/>
        <v>40</v>
      </c>
      <c r="AG13" s="116">
        <f t="shared" si="0"/>
        <v>45</v>
      </c>
      <c r="AH13" s="116"/>
      <c r="AI13" s="117"/>
      <c r="AK13" s="111">
        <v>5</v>
      </c>
      <c r="AL13" s="116">
        <v>6</v>
      </c>
      <c r="AM13" s="116">
        <v>7</v>
      </c>
      <c r="AN13" s="116"/>
      <c r="AO13" s="117"/>
      <c r="AQ13" s="111">
        <f t="shared" si="2"/>
        <v>35</v>
      </c>
      <c r="AR13" s="116">
        <f t="shared" si="2"/>
        <v>40</v>
      </c>
      <c r="AS13" s="116">
        <f t="shared" si="2"/>
        <v>45</v>
      </c>
      <c r="AT13" s="116"/>
      <c r="AU13" s="117"/>
      <c r="AW13" s="111">
        <v>5</v>
      </c>
      <c r="AX13" s="116">
        <v>6</v>
      </c>
      <c r="AY13" s="116">
        <v>7</v>
      </c>
      <c r="AZ13" s="116"/>
      <c r="BA13" s="117"/>
      <c r="BC13" s="111">
        <f t="shared" ref="BC13" si="4" xml:space="preserve"> AE13</f>
        <v>35</v>
      </c>
      <c r="BD13" s="116">
        <f t="shared" ref="BD13" si="5" xml:space="preserve"> AF13</f>
        <v>40</v>
      </c>
      <c r="BE13" s="116">
        <f t="shared" ref="BE13" si="6" xml:space="preserve"> AG13</f>
        <v>45</v>
      </c>
      <c r="BF13" s="116"/>
      <c r="BG13" s="117"/>
      <c r="BI13" s="111">
        <v>5</v>
      </c>
      <c r="BJ13" s="116">
        <v>6</v>
      </c>
      <c r="BK13" s="116">
        <v>7</v>
      </c>
      <c r="BL13" s="116"/>
      <c r="BM13" s="117"/>
      <c r="BO13" s="111">
        <f t="shared" si="3"/>
        <v>35</v>
      </c>
      <c r="BP13" s="116">
        <f t="shared" si="3"/>
        <v>40</v>
      </c>
      <c r="BQ13" s="116">
        <f t="shared" si="3"/>
        <v>45</v>
      </c>
      <c r="BR13" s="116"/>
      <c r="BS13" s="117"/>
      <c r="BU13" s="111">
        <v>5</v>
      </c>
      <c r="BV13" s="116">
        <v>6</v>
      </c>
      <c r="BW13" s="116">
        <v>7</v>
      </c>
      <c r="BX13" s="116"/>
      <c r="BY13" s="117"/>
    </row>
    <row r="14" spans="1:79" x14ac:dyDescent="0.3">
      <c r="A14" s="107"/>
      <c r="B14" s="147"/>
      <c r="E14" s="96" t="s">
        <v>219</v>
      </c>
      <c r="F14" s="127" t="s">
        <v>14</v>
      </c>
      <c r="G14" s="462">
        <v>0.1</v>
      </c>
      <c r="H14" s="463">
        <v>0.6</v>
      </c>
      <c r="I14" s="463">
        <v>0.3</v>
      </c>
      <c r="J14" s="463"/>
      <c r="K14" s="464"/>
      <c r="L14" s="102"/>
      <c r="M14" s="462">
        <v>0.1</v>
      </c>
      <c r="N14" s="463">
        <v>0.6</v>
      </c>
      <c r="O14" s="463">
        <v>0.3</v>
      </c>
      <c r="P14" s="463"/>
      <c r="Q14" s="464"/>
      <c r="R14" s="102"/>
      <c r="S14" s="462">
        <v>0.1</v>
      </c>
      <c r="T14" s="463">
        <v>0.6</v>
      </c>
      <c r="U14" s="463">
        <v>0.3</v>
      </c>
      <c r="V14" s="463"/>
      <c r="W14" s="464"/>
      <c r="X14" s="102"/>
      <c r="Y14" s="462">
        <v>0.1</v>
      </c>
      <c r="Z14" s="463">
        <v>0.6</v>
      </c>
      <c r="AA14" s="463">
        <v>0.3</v>
      </c>
      <c r="AB14" s="463">
        <v>0</v>
      </c>
      <c r="AC14" s="464">
        <v>0</v>
      </c>
      <c r="AD14" s="102"/>
      <c r="AE14" s="462">
        <v>0.1</v>
      </c>
      <c r="AF14" s="463">
        <v>0.6</v>
      </c>
      <c r="AG14" s="463">
        <v>0.3</v>
      </c>
      <c r="AH14" s="463">
        <v>0</v>
      </c>
      <c r="AI14" s="464">
        <v>0</v>
      </c>
      <c r="AJ14" s="102"/>
      <c r="AK14" s="462">
        <v>0.1</v>
      </c>
      <c r="AL14" s="463">
        <v>0.6</v>
      </c>
      <c r="AM14" s="463">
        <v>0.3</v>
      </c>
      <c r="AN14" s="463"/>
      <c r="AO14" s="464"/>
      <c r="AP14" s="102"/>
      <c r="AQ14" s="462">
        <v>0.1</v>
      </c>
      <c r="AR14" s="463">
        <v>0.6</v>
      </c>
      <c r="AS14" s="463">
        <v>0.3</v>
      </c>
      <c r="AT14" s="463"/>
      <c r="AU14" s="464"/>
      <c r="AV14" s="102"/>
      <c r="AW14" s="462">
        <v>0.1</v>
      </c>
      <c r="AX14" s="463">
        <v>0.6</v>
      </c>
      <c r="AY14" s="463">
        <v>0.3</v>
      </c>
      <c r="AZ14" s="463"/>
      <c r="BA14" s="464"/>
      <c r="BB14" s="102"/>
      <c r="BC14" s="462">
        <v>0.1</v>
      </c>
      <c r="BD14" s="463">
        <v>0.6</v>
      </c>
      <c r="BE14" s="463">
        <v>0.3</v>
      </c>
      <c r="BF14" s="463"/>
      <c r="BG14" s="464"/>
      <c r="BH14" s="102"/>
      <c r="BI14" s="462">
        <v>0.1</v>
      </c>
      <c r="BJ14" s="463">
        <v>0.6</v>
      </c>
      <c r="BK14" s="463">
        <v>0.3</v>
      </c>
      <c r="BL14" s="463"/>
      <c r="BM14" s="464"/>
      <c r="BO14" s="462">
        <v>0.1</v>
      </c>
      <c r="BP14" s="463">
        <v>0.6</v>
      </c>
      <c r="BQ14" s="463">
        <v>0.3</v>
      </c>
      <c r="BR14" s="463"/>
      <c r="BS14" s="464"/>
      <c r="BU14" s="462">
        <v>0.1</v>
      </c>
      <c r="BV14" s="463">
        <v>0.6</v>
      </c>
      <c r="BW14" s="463">
        <v>0.3</v>
      </c>
      <c r="BX14" s="463"/>
      <c r="BY14" s="464"/>
    </row>
    <row r="15" spans="1:79" x14ac:dyDescent="0.3">
      <c r="A15" s="108"/>
      <c r="B15" s="148"/>
      <c r="C15" s="149"/>
      <c r="D15" s="101"/>
      <c r="E15" s="96"/>
      <c r="F15" s="145"/>
      <c r="G15" s="115"/>
      <c r="H15" s="13"/>
      <c r="I15" s="13"/>
      <c r="J15" s="13"/>
      <c r="K15" s="125"/>
      <c r="L15" s="101"/>
      <c r="M15" s="115"/>
      <c r="N15" s="13"/>
      <c r="O15" s="13"/>
      <c r="P15" s="13"/>
      <c r="Q15" s="125"/>
      <c r="R15" s="101"/>
      <c r="S15" s="115"/>
      <c r="T15" s="146"/>
      <c r="U15" s="13"/>
      <c r="V15" s="13"/>
      <c r="W15" s="125"/>
      <c r="X15" s="101"/>
      <c r="Y15" s="115"/>
      <c r="Z15" s="146"/>
      <c r="AA15" s="13"/>
      <c r="AB15" s="13"/>
      <c r="AC15" s="125"/>
      <c r="AD15" s="101"/>
      <c r="AE15" s="115"/>
      <c r="AF15" s="13"/>
      <c r="AG15" s="13"/>
      <c r="AH15" s="13"/>
      <c r="AI15" s="125"/>
      <c r="AJ15" s="101"/>
      <c r="AK15" s="115"/>
      <c r="AL15" s="13"/>
      <c r="AM15" s="13"/>
      <c r="AN15" s="13"/>
      <c r="AO15" s="125"/>
      <c r="AP15" s="101"/>
      <c r="AQ15" s="115"/>
      <c r="AR15" s="13"/>
      <c r="AS15" s="13"/>
      <c r="AT15" s="13"/>
      <c r="AU15" s="125"/>
      <c r="AV15" s="101"/>
      <c r="AW15" s="115"/>
      <c r="AX15" s="146"/>
      <c r="AY15" s="13"/>
      <c r="AZ15" s="13"/>
      <c r="BA15" s="125"/>
      <c r="BB15" s="101"/>
      <c r="BC15" s="115"/>
      <c r="BD15" s="13"/>
      <c r="BE15" s="13"/>
      <c r="BF15" s="13"/>
      <c r="BG15" s="125"/>
      <c r="BH15" s="101"/>
      <c r="BI15" s="115"/>
      <c r="BJ15" s="13"/>
      <c r="BK15" s="13"/>
      <c r="BL15" s="13"/>
      <c r="BM15" s="125"/>
      <c r="BN15" s="101"/>
      <c r="BO15" s="115"/>
      <c r="BP15" s="13"/>
      <c r="BQ15" s="13"/>
      <c r="BR15" s="13"/>
      <c r="BS15" s="125"/>
      <c r="BT15" s="101"/>
      <c r="BU15" s="115"/>
      <c r="BV15" s="146"/>
      <c r="BW15" s="13"/>
      <c r="BX15" s="13"/>
      <c r="BY15" s="125"/>
      <c r="BZ15" s="101"/>
      <c r="CA15" s="101"/>
    </row>
    <row r="16" spans="1:79" x14ac:dyDescent="0.3">
      <c r="A16" s="108"/>
      <c r="B16" s="148"/>
      <c r="C16" s="149"/>
      <c r="D16" s="110" t="s">
        <v>29</v>
      </c>
      <c r="E16" s="96"/>
      <c r="F16" s="145"/>
      <c r="G16" s="216" t="s">
        <v>89</v>
      </c>
      <c r="H16" s="222"/>
      <c r="I16" s="13"/>
      <c r="J16" s="13"/>
      <c r="K16" s="125"/>
      <c r="L16" s="101"/>
      <c r="M16" s="216" t="s">
        <v>101</v>
      </c>
      <c r="N16" s="222"/>
      <c r="O16" s="13"/>
      <c r="P16" s="13"/>
      <c r="Q16" s="125"/>
      <c r="R16" s="101"/>
      <c r="S16" s="216" t="s">
        <v>89</v>
      </c>
      <c r="T16" s="222"/>
      <c r="U16" s="13"/>
      <c r="V16" s="13"/>
      <c r="W16" s="125"/>
      <c r="X16" s="101"/>
      <c r="Y16" s="216" t="s">
        <v>101</v>
      </c>
      <c r="Z16" s="222"/>
      <c r="AA16" s="13"/>
      <c r="AB16" s="13"/>
      <c r="AC16" s="125"/>
      <c r="AD16" s="101"/>
      <c r="AE16" s="216" t="s">
        <v>89</v>
      </c>
      <c r="AF16" s="222"/>
      <c r="AG16" s="13"/>
      <c r="AH16" s="13"/>
      <c r="AI16" s="125"/>
      <c r="AJ16" s="101"/>
      <c r="AK16" s="216" t="s">
        <v>101</v>
      </c>
      <c r="AL16" s="222"/>
      <c r="AM16" s="13"/>
      <c r="AN16" s="13"/>
      <c r="AO16" s="125"/>
      <c r="AP16" s="101"/>
      <c r="AQ16" s="216" t="s">
        <v>89</v>
      </c>
      <c r="AR16" s="222"/>
      <c r="AS16" s="13"/>
      <c r="AT16" s="13"/>
      <c r="AU16" s="125"/>
      <c r="AV16" s="101"/>
      <c r="AW16" s="216" t="s">
        <v>101</v>
      </c>
      <c r="AX16" s="222"/>
      <c r="AY16" s="13"/>
      <c r="AZ16" s="13"/>
      <c r="BA16" s="125"/>
      <c r="BB16" s="101"/>
      <c r="BC16" s="216" t="s">
        <v>89</v>
      </c>
      <c r="BD16" s="222"/>
      <c r="BE16" s="13"/>
      <c r="BF16" s="13"/>
      <c r="BG16" s="125"/>
      <c r="BH16" s="101"/>
      <c r="BI16" s="216" t="s">
        <v>101</v>
      </c>
      <c r="BJ16" s="222"/>
      <c r="BK16" s="13"/>
      <c r="BL16" s="13"/>
      <c r="BM16" s="125"/>
      <c r="BN16" s="101"/>
      <c r="BO16" s="216" t="s">
        <v>89</v>
      </c>
      <c r="BP16" s="222"/>
      <c r="BQ16" s="13"/>
      <c r="BR16" s="13"/>
      <c r="BS16" s="125"/>
      <c r="BT16" s="101"/>
      <c r="BU16" s="216" t="s">
        <v>101</v>
      </c>
      <c r="BV16" s="222"/>
      <c r="BW16" s="13"/>
      <c r="BX16" s="13"/>
      <c r="BY16" s="125"/>
      <c r="BZ16" s="101"/>
      <c r="CA16" s="101"/>
    </row>
    <row r="17" spans="1:79" x14ac:dyDescent="0.3">
      <c r="A17" s="107"/>
      <c r="B17" s="147"/>
      <c r="E17" s="97" t="s">
        <v>79</v>
      </c>
      <c r="F17" s="127" t="s">
        <v>34</v>
      </c>
      <c r="G17" s="210">
        <f xml:space="preserve"> 'Bron - cao''s 2020'!$F$13</f>
        <v>2757</v>
      </c>
      <c r="H17" s="211">
        <f xml:space="preserve"> 'Bron - cao''s 2020'!$F$14</f>
        <v>3037</v>
      </c>
      <c r="I17" s="211">
        <f xml:space="preserve"> 'Bron - cao''s 2020'!$F$15</f>
        <v>3326</v>
      </c>
      <c r="J17" s="211"/>
      <c r="K17" s="212"/>
      <c r="M17" s="210">
        <f xml:space="preserve"> 'Bron - cao''s 2020'!$I$31</f>
        <v>2936</v>
      </c>
      <c r="N17" s="217">
        <f xml:space="preserve"> 'Bron - cao''s 2020'!$I$32</f>
        <v>3279</v>
      </c>
      <c r="O17" s="211">
        <f xml:space="preserve"> 'Bron - cao''s 2020'!$I$33</f>
        <v>3494</v>
      </c>
      <c r="P17" s="174"/>
      <c r="Q17" s="175"/>
      <c r="S17" s="210">
        <f xml:space="preserve"> 'Bron - cao''s 2020'!$I$13</f>
        <v>2766</v>
      </c>
      <c r="T17" s="211">
        <f xml:space="preserve"> 'Bron - cao''s 2020'!$I$14</f>
        <v>2902</v>
      </c>
      <c r="U17" s="211">
        <f xml:space="preserve"> 'Bron - cao''s 2020'!$I$15</f>
        <v>3189</v>
      </c>
      <c r="V17" s="174"/>
      <c r="W17" s="175"/>
      <c r="Y17" s="210">
        <f xml:space="preserve"> 'Bron - cao''s 2020'!F$31</f>
        <v>2816.77</v>
      </c>
      <c r="Z17" s="211">
        <f xml:space="preserve"> 'Bron - cao''s 2020'!F$32</f>
        <v>3036.87</v>
      </c>
      <c r="AA17" s="211">
        <f xml:space="preserve"> 'Bron - cao''s 2020'!F$33</f>
        <v>3285.52</v>
      </c>
      <c r="AB17" s="174"/>
      <c r="AC17" s="175"/>
      <c r="AE17" s="210">
        <f xml:space="preserve"> 'Bron - cao''s 2020'!$F$13</f>
        <v>2757</v>
      </c>
      <c r="AF17" s="211">
        <f xml:space="preserve"> 'Bron - cao''s 2020'!$F$14</f>
        <v>3037</v>
      </c>
      <c r="AG17" s="211">
        <f xml:space="preserve"> 'Bron - cao''s 2020'!$F$15</f>
        <v>3326</v>
      </c>
      <c r="AH17" s="174"/>
      <c r="AI17" s="175"/>
      <c r="AK17" s="210">
        <f xml:space="preserve"> 'Bron - cao''s 2020'!$I$31</f>
        <v>2936</v>
      </c>
      <c r="AL17" s="217">
        <f xml:space="preserve"> 'Bron - cao''s 2020'!$I$32</f>
        <v>3279</v>
      </c>
      <c r="AM17" s="211">
        <f xml:space="preserve"> 'Bron - cao''s 2020'!$I$33</f>
        <v>3494</v>
      </c>
      <c r="AN17" s="174"/>
      <c r="AO17" s="175"/>
      <c r="AQ17" s="210">
        <f xml:space="preserve"> 'Bron - cao''s 2020'!$I$13</f>
        <v>2766</v>
      </c>
      <c r="AR17" s="211">
        <f xml:space="preserve"> 'Bron - cao''s 2020'!$I$14</f>
        <v>2902</v>
      </c>
      <c r="AS17" s="211">
        <f xml:space="preserve"> 'Bron - cao''s 2020'!$I$15</f>
        <v>3189</v>
      </c>
      <c r="AT17" s="174"/>
      <c r="AU17" s="175"/>
      <c r="AW17" s="210">
        <f xml:space="preserve"> 'Bron - cao''s 2020'!F$31</f>
        <v>2816.77</v>
      </c>
      <c r="AX17" s="211">
        <f xml:space="preserve"> 'Bron - cao''s 2020'!F$32</f>
        <v>3036.87</v>
      </c>
      <c r="AY17" s="211">
        <f xml:space="preserve"> 'Bron - cao''s 2020'!F$33</f>
        <v>3285.52</v>
      </c>
      <c r="AZ17" s="174"/>
      <c r="BA17" s="175"/>
      <c r="BC17" s="210">
        <f xml:space="preserve"> 'Bron - cao''s 2020'!$F$13</f>
        <v>2757</v>
      </c>
      <c r="BD17" s="211">
        <f xml:space="preserve"> 'Bron - cao''s 2020'!$F$14</f>
        <v>3037</v>
      </c>
      <c r="BE17" s="211">
        <f xml:space="preserve"> 'Bron - cao''s 2020'!$F$15</f>
        <v>3326</v>
      </c>
      <c r="BF17" s="174"/>
      <c r="BG17" s="175"/>
      <c r="BI17" s="210">
        <f xml:space="preserve"> 'Bron - cao''s 2020'!$I$31</f>
        <v>2936</v>
      </c>
      <c r="BJ17" s="217">
        <f xml:space="preserve"> 'Bron - cao''s 2020'!$I$32</f>
        <v>3279</v>
      </c>
      <c r="BK17" s="211">
        <f xml:space="preserve"> 'Bron - cao''s 2020'!$I$33</f>
        <v>3494</v>
      </c>
      <c r="BL17" s="211"/>
      <c r="BM17" s="175"/>
      <c r="BO17" s="210">
        <f xml:space="preserve"> 'Bron - cao''s 2020'!$I$13</f>
        <v>2766</v>
      </c>
      <c r="BP17" s="211">
        <f xml:space="preserve"> 'Bron - cao''s 2020'!$I$14</f>
        <v>2902</v>
      </c>
      <c r="BQ17" s="211">
        <f xml:space="preserve"> 'Bron - cao''s 2020'!$I$15</f>
        <v>3189</v>
      </c>
      <c r="BR17" s="211"/>
      <c r="BS17" s="175"/>
      <c r="BU17" s="210">
        <f xml:space="preserve"> 'Bron - cao''s 2020'!F$31</f>
        <v>2816.77</v>
      </c>
      <c r="BV17" s="211">
        <f xml:space="preserve"> 'Bron - cao''s 2020'!F$32</f>
        <v>3036.87</v>
      </c>
      <c r="BW17" s="211">
        <f xml:space="preserve"> 'Bron - cao''s 2020'!F$33</f>
        <v>3285.52</v>
      </c>
      <c r="BX17" s="174"/>
      <c r="BY17" s="175"/>
    </row>
    <row r="18" spans="1:79" x14ac:dyDescent="0.3">
      <c r="A18" s="466"/>
      <c r="B18" s="467"/>
      <c r="C18" s="466"/>
      <c r="D18" s="468"/>
      <c r="E18" s="469" t="s">
        <v>16</v>
      </c>
      <c r="F18" s="470" t="s">
        <v>15</v>
      </c>
      <c r="G18" s="472">
        <v>0.92</v>
      </c>
      <c r="H18" s="34">
        <v>0.92</v>
      </c>
      <c r="I18" s="34">
        <v>0.92</v>
      </c>
      <c r="J18" s="34"/>
      <c r="K18" s="471"/>
      <c r="L18" s="468"/>
      <c r="M18" s="472">
        <v>0.92</v>
      </c>
      <c r="N18" s="34">
        <v>0.92</v>
      </c>
      <c r="O18" s="34">
        <v>0.92</v>
      </c>
      <c r="P18" s="34"/>
      <c r="Q18" s="471"/>
      <c r="R18" s="468"/>
      <c r="S18" s="472">
        <v>0.92</v>
      </c>
      <c r="T18" s="34">
        <v>0.92</v>
      </c>
      <c r="U18" s="34">
        <v>0.92</v>
      </c>
      <c r="V18" s="34"/>
      <c r="W18" s="471"/>
      <c r="X18" s="468"/>
      <c r="Y18" s="472">
        <v>0.92</v>
      </c>
      <c r="Z18" s="34">
        <v>0.92</v>
      </c>
      <c r="AA18" s="34">
        <v>0.92</v>
      </c>
      <c r="AB18" s="34"/>
      <c r="AC18" s="471"/>
      <c r="AD18" s="468"/>
      <c r="AE18" s="472">
        <v>0.92</v>
      </c>
      <c r="AF18" s="34">
        <v>0.92</v>
      </c>
      <c r="AG18" s="34">
        <v>0.92</v>
      </c>
      <c r="AH18" s="34"/>
      <c r="AI18" s="471"/>
      <c r="AJ18" s="468"/>
      <c r="AK18" s="472">
        <v>0.92</v>
      </c>
      <c r="AL18" s="34">
        <v>0.92</v>
      </c>
      <c r="AM18" s="34">
        <v>0.92</v>
      </c>
      <c r="AN18" s="34"/>
      <c r="AO18" s="471"/>
      <c r="AP18" s="468"/>
      <c r="AQ18" s="472">
        <v>0.92</v>
      </c>
      <c r="AR18" s="34">
        <v>0.92</v>
      </c>
      <c r="AS18" s="34">
        <v>0.92</v>
      </c>
      <c r="AT18" s="34"/>
      <c r="AU18" s="471"/>
      <c r="AV18" s="468"/>
      <c r="AW18" s="472">
        <v>0.92</v>
      </c>
      <c r="AX18" s="34">
        <v>0.92</v>
      </c>
      <c r="AY18" s="34">
        <v>0.92</v>
      </c>
      <c r="AZ18" s="34"/>
      <c r="BA18" s="471"/>
      <c r="BB18" s="468"/>
      <c r="BC18" s="472">
        <v>0.92</v>
      </c>
      <c r="BD18" s="34">
        <v>0.92</v>
      </c>
      <c r="BE18" s="34">
        <v>0.92</v>
      </c>
      <c r="BF18" s="34"/>
      <c r="BG18" s="471"/>
      <c r="BH18" s="468"/>
      <c r="BI18" s="472">
        <v>0.92</v>
      </c>
      <c r="BJ18" s="34">
        <v>0.92</v>
      </c>
      <c r="BK18" s="34">
        <v>0.92</v>
      </c>
      <c r="BL18" s="34"/>
      <c r="BM18" s="471"/>
      <c r="BN18" s="468"/>
      <c r="BO18" s="472">
        <v>0.92</v>
      </c>
      <c r="BP18" s="34">
        <v>0.92</v>
      </c>
      <c r="BQ18" s="34">
        <v>0.92</v>
      </c>
      <c r="BR18" s="34"/>
      <c r="BS18" s="471"/>
      <c r="BT18" s="468"/>
      <c r="BU18" s="472">
        <v>0.92</v>
      </c>
      <c r="BV18" s="34">
        <v>0.92</v>
      </c>
      <c r="BW18" s="34">
        <v>0.92</v>
      </c>
      <c r="BX18" s="34"/>
      <c r="BY18" s="471"/>
      <c r="BZ18" s="468"/>
      <c r="CA18" s="468"/>
    </row>
    <row r="19" spans="1:79" x14ac:dyDescent="0.3">
      <c r="A19" s="466"/>
      <c r="B19" s="467"/>
      <c r="C19" s="466"/>
      <c r="D19" s="468"/>
      <c r="E19" s="468" t="s">
        <v>17</v>
      </c>
      <c r="F19" s="470" t="s">
        <v>18</v>
      </c>
      <c r="G19" s="472">
        <v>0.44</v>
      </c>
      <c r="H19" s="34">
        <v>0.44</v>
      </c>
      <c r="I19" s="34">
        <v>0.44</v>
      </c>
      <c r="J19" s="34"/>
      <c r="K19" s="471"/>
      <c r="L19" s="468"/>
      <c r="M19" s="472">
        <v>0.44</v>
      </c>
      <c r="N19" s="34">
        <v>0.44</v>
      </c>
      <c r="O19" s="34">
        <v>0.44</v>
      </c>
      <c r="P19" s="34"/>
      <c r="Q19" s="471"/>
      <c r="R19" s="468"/>
      <c r="S19" s="472">
        <v>0.44</v>
      </c>
      <c r="T19" s="34">
        <v>0.44</v>
      </c>
      <c r="U19" s="34">
        <v>0.44</v>
      </c>
      <c r="V19" s="34"/>
      <c r="W19" s="471"/>
      <c r="X19" s="468"/>
      <c r="Y19" s="472">
        <v>0.44</v>
      </c>
      <c r="Z19" s="34">
        <v>0.44</v>
      </c>
      <c r="AA19" s="34">
        <v>0.44</v>
      </c>
      <c r="AB19" s="34"/>
      <c r="AC19" s="471"/>
      <c r="AD19" s="468"/>
      <c r="AE19" s="472">
        <v>0.44</v>
      </c>
      <c r="AF19" s="34">
        <v>0.44</v>
      </c>
      <c r="AG19" s="34">
        <v>0.44</v>
      </c>
      <c r="AH19" s="34"/>
      <c r="AI19" s="471"/>
      <c r="AJ19" s="468"/>
      <c r="AK19" s="472">
        <v>0.44</v>
      </c>
      <c r="AL19" s="34">
        <v>0.44</v>
      </c>
      <c r="AM19" s="34">
        <v>0.44</v>
      </c>
      <c r="AN19" s="34"/>
      <c r="AO19" s="471"/>
      <c r="AP19" s="468"/>
      <c r="AQ19" s="472">
        <v>0.44</v>
      </c>
      <c r="AR19" s="34">
        <v>0.44</v>
      </c>
      <c r="AS19" s="34">
        <v>0.44</v>
      </c>
      <c r="AT19" s="34"/>
      <c r="AU19" s="471"/>
      <c r="AV19" s="468"/>
      <c r="AW19" s="472">
        <v>0.44</v>
      </c>
      <c r="AX19" s="34">
        <v>0.44</v>
      </c>
      <c r="AY19" s="34">
        <v>0.44</v>
      </c>
      <c r="AZ19" s="34"/>
      <c r="BA19" s="471"/>
      <c r="BB19" s="468"/>
      <c r="BC19" s="472">
        <v>0.44</v>
      </c>
      <c r="BD19" s="34">
        <v>0.44</v>
      </c>
      <c r="BE19" s="34">
        <v>0.44</v>
      </c>
      <c r="BF19" s="34"/>
      <c r="BG19" s="471"/>
      <c r="BH19" s="468"/>
      <c r="BI19" s="472">
        <v>0.44</v>
      </c>
      <c r="BJ19" s="34">
        <v>0.44</v>
      </c>
      <c r="BK19" s="34">
        <v>0.44</v>
      </c>
      <c r="BL19" s="34"/>
      <c r="BM19" s="471"/>
      <c r="BN19" s="468"/>
      <c r="BO19" s="472">
        <v>0.44</v>
      </c>
      <c r="BP19" s="34">
        <v>0.44</v>
      </c>
      <c r="BQ19" s="34">
        <v>0.44</v>
      </c>
      <c r="BR19" s="34"/>
      <c r="BS19" s="471"/>
      <c r="BT19" s="468"/>
      <c r="BU19" s="472">
        <v>0.44</v>
      </c>
      <c r="BV19" s="34">
        <v>0.44</v>
      </c>
      <c r="BW19" s="34">
        <v>0.44</v>
      </c>
      <c r="BX19" s="34"/>
      <c r="BY19" s="471"/>
      <c r="BZ19" s="468"/>
      <c r="CA19" s="468"/>
    </row>
    <row r="20" spans="1:79" x14ac:dyDescent="0.3">
      <c r="A20" s="107"/>
      <c r="B20" s="147"/>
      <c r="E20" s="91" t="s">
        <v>62</v>
      </c>
      <c r="F20" s="127" t="s">
        <v>18</v>
      </c>
      <c r="G20" s="112">
        <v>0.08</v>
      </c>
      <c r="H20" s="118">
        <v>0.08</v>
      </c>
      <c r="I20" s="118">
        <v>0.08</v>
      </c>
      <c r="J20" s="118">
        <v>0.08</v>
      </c>
      <c r="K20" s="119">
        <v>0.08</v>
      </c>
      <c r="M20" s="112">
        <v>0.08</v>
      </c>
      <c r="N20" s="118">
        <v>0.08</v>
      </c>
      <c r="O20" s="118">
        <v>0.08</v>
      </c>
      <c r="P20" s="118">
        <v>0.08</v>
      </c>
      <c r="Q20" s="119">
        <v>0.08</v>
      </c>
      <c r="S20" s="112">
        <v>0.08</v>
      </c>
      <c r="T20" s="118">
        <v>0.08</v>
      </c>
      <c r="U20" s="118">
        <v>0.08</v>
      </c>
      <c r="V20" s="118">
        <v>0.08</v>
      </c>
      <c r="W20" s="119">
        <v>0.08</v>
      </c>
      <c r="Y20" s="112">
        <v>0.08</v>
      </c>
      <c r="Z20" s="118">
        <v>0.08</v>
      </c>
      <c r="AA20" s="118">
        <v>0.08</v>
      </c>
      <c r="AB20" s="118">
        <v>0.08</v>
      </c>
      <c r="AC20" s="119">
        <v>0.08</v>
      </c>
      <c r="AE20" s="112">
        <v>0.08</v>
      </c>
      <c r="AF20" s="118">
        <v>0.08</v>
      </c>
      <c r="AG20" s="118">
        <v>0.08</v>
      </c>
      <c r="AH20" s="118">
        <v>0.08</v>
      </c>
      <c r="AI20" s="119">
        <v>0.08</v>
      </c>
      <c r="AK20" s="112">
        <v>0.08</v>
      </c>
      <c r="AL20" s="118">
        <v>0.08</v>
      </c>
      <c r="AM20" s="118">
        <v>0.08</v>
      </c>
      <c r="AN20" s="118">
        <v>0.08</v>
      </c>
      <c r="AO20" s="119">
        <v>0.08</v>
      </c>
      <c r="AQ20" s="112">
        <v>0.08</v>
      </c>
      <c r="AR20" s="118">
        <v>0.08</v>
      </c>
      <c r="AS20" s="118">
        <v>0.08</v>
      </c>
      <c r="AT20" s="118">
        <v>0.08</v>
      </c>
      <c r="AU20" s="119">
        <v>0.08</v>
      </c>
      <c r="AW20" s="112">
        <v>0.08</v>
      </c>
      <c r="AX20" s="118">
        <v>0.08</v>
      </c>
      <c r="AY20" s="118">
        <v>0.08</v>
      </c>
      <c r="AZ20" s="118">
        <v>0.08</v>
      </c>
      <c r="BA20" s="119">
        <v>0.08</v>
      </c>
      <c r="BC20" s="112">
        <v>0.08</v>
      </c>
      <c r="BD20" s="118">
        <v>0.08</v>
      </c>
      <c r="BE20" s="118">
        <v>0.08</v>
      </c>
      <c r="BF20" s="118">
        <v>0.08</v>
      </c>
      <c r="BG20" s="119">
        <v>0.08</v>
      </c>
      <c r="BI20" s="112">
        <v>0.08</v>
      </c>
      <c r="BJ20" s="118">
        <v>0.08</v>
      </c>
      <c r="BK20" s="118">
        <v>0.08</v>
      </c>
      <c r="BL20" s="118">
        <v>0.08</v>
      </c>
      <c r="BM20" s="119">
        <v>0.08</v>
      </c>
      <c r="BO20" s="112">
        <v>0.08</v>
      </c>
      <c r="BP20" s="118">
        <v>0.08</v>
      </c>
      <c r="BQ20" s="118">
        <v>0.08</v>
      </c>
      <c r="BR20" s="118">
        <v>0.08</v>
      </c>
      <c r="BS20" s="119">
        <v>0.08</v>
      </c>
      <c r="BU20" s="112">
        <v>0.08</v>
      </c>
      <c r="BV20" s="118">
        <v>0.08</v>
      </c>
      <c r="BW20" s="118">
        <v>0.08</v>
      </c>
      <c r="BX20" s="118">
        <v>0.08</v>
      </c>
      <c r="BY20" s="119">
        <v>0.08</v>
      </c>
    </row>
    <row r="21" spans="1:79" x14ac:dyDescent="0.3">
      <c r="A21" s="107"/>
      <c r="B21" s="147"/>
      <c r="E21" s="96" t="s">
        <v>0</v>
      </c>
      <c r="F21" s="127" t="s">
        <v>102</v>
      </c>
      <c r="G21" s="197">
        <v>8.3299999999999999E-2</v>
      </c>
      <c r="H21" s="198">
        <v>8.3299999999999999E-2</v>
      </c>
      <c r="I21" s="198">
        <v>8.3299999999999999E-2</v>
      </c>
      <c r="J21" s="198">
        <v>8.3299999999999999E-2</v>
      </c>
      <c r="K21" s="199">
        <v>8.3299999999999999E-2</v>
      </c>
      <c r="M21" s="197">
        <v>8.3299999999999999E-2</v>
      </c>
      <c r="N21" s="198">
        <v>8.3299999999999999E-2</v>
      </c>
      <c r="O21" s="198">
        <v>8.3299999999999999E-2</v>
      </c>
      <c r="P21" s="198">
        <v>8.3299999999999999E-2</v>
      </c>
      <c r="Q21" s="199">
        <v>8.3299999999999999E-2</v>
      </c>
      <c r="S21" s="197">
        <v>8.3299999999999999E-2</v>
      </c>
      <c r="T21" s="198">
        <v>8.3299999999999999E-2</v>
      </c>
      <c r="U21" s="198">
        <v>8.3299999999999999E-2</v>
      </c>
      <c r="V21" s="198">
        <v>8.3299999999999999E-2</v>
      </c>
      <c r="W21" s="199">
        <v>8.3299999999999999E-2</v>
      </c>
      <c r="Y21" s="197">
        <v>8.3299999999999999E-2</v>
      </c>
      <c r="Z21" s="198">
        <v>8.3299999999999999E-2</v>
      </c>
      <c r="AA21" s="198">
        <v>8.3299999999999999E-2</v>
      </c>
      <c r="AB21" s="198">
        <v>8.3299999999999999E-2</v>
      </c>
      <c r="AC21" s="199">
        <v>8.3299999999999999E-2</v>
      </c>
      <c r="AE21" s="197">
        <v>8.3299999999999999E-2</v>
      </c>
      <c r="AF21" s="198">
        <v>8.3299999999999999E-2</v>
      </c>
      <c r="AG21" s="198">
        <v>8.3299999999999999E-2</v>
      </c>
      <c r="AH21" s="198">
        <v>8.3299999999999999E-2</v>
      </c>
      <c r="AI21" s="199">
        <v>8.3299999999999999E-2</v>
      </c>
      <c r="AK21" s="197">
        <v>8.3299999999999999E-2</v>
      </c>
      <c r="AL21" s="198">
        <v>8.3299999999999999E-2</v>
      </c>
      <c r="AM21" s="198">
        <v>8.3299999999999999E-2</v>
      </c>
      <c r="AN21" s="198">
        <v>8.3299999999999999E-2</v>
      </c>
      <c r="AO21" s="199">
        <v>8.3299999999999999E-2</v>
      </c>
      <c r="AQ21" s="197">
        <v>8.3299999999999999E-2</v>
      </c>
      <c r="AR21" s="198">
        <v>8.3299999999999999E-2</v>
      </c>
      <c r="AS21" s="198">
        <v>8.3299999999999999E-2</v>
      </c>
      <c r="AT21" s="198">
        <v>8.3299999999999999E-2</v>
      </c>
      <c r="AU21" s="199">
        <v>8.3299999999999999E-2</v>
      </c>
      <c r="AW21" s="197">
        <v>8.3299999999999999E-2</v>
      </c>
      <c r="AX21" s="198">
        <v>8.3299999999999999E-2</v>
      </c>
      <c r="AY21" s="198">
        <v>8.3299999999999999E-2</v>
      </c>
      <c r="AZ21" s="198">
        <v>8.3299999999999999E-2</v>
      </c>
      <c r="BA21" s="199">
        <v>8.3299999999999999E-2</v>
      </c>
      <c r="BC21" s="197">
        <v>8.3299999999999999E-2</v>
      </c>
      <c r="BD21" s="198">
        <v>8.3299999999999999E-2</v>
      </c>
      <c r="BE21" s="198">
        <v>8.3299999999999999E-2</v>
      </c>
      <c r="BF21" s="198">
        <v>8.3299999999999999E-2</v>
      </c>
      <c r="BG21" s="199">
        <v>8.3299999999999999E-2</v>
      </c>
      <c r="BI21" s="197">
        <v>8.3299999999999999E-2</v>
      </c>
      <c r="BJ21" s="198">
        <v>8.3299999999999999E-2</v>
      </c>
      <c r="BK21" s="198">
        <v>8.3299999999999999E-2</v>
      </c>
      <c r="BL21" s="198">
        <v>8.3299999999999999E-2</v>
      </c>
      <c r="BM21" s="199">
        <v>8.3299999999999999E-2</v>
      </c>
      <c r="BO21" s="197">
        <v>8.3299999999999999E-2</v>
      </c>
      <c r="BP21" s="198">
        <v>8.3299999999999999E-2</v>
      </c>
      <c r="BQ21" s="198">
        <v>8.3299999999999999E-2</v>
      </c>
      <c r="BR21" s="198">
        <v>8.3299999999999999E-2</v>
      </c>
      <c r="BS21" s="199">
        <v>8.3299999999999999E-2</v>
      </c>
      <c r="BU21" s="197">
        <v>8.3299999999999999E-2</v>
      </c>
      <c r="BV21" s="198">
        <v>8.3299999999999999E-2</v>
      </c>
      <c r="BW21" s="198">
        <v>8.3299999999999999E-2</v>
      </c>
      <c r="BX21" s="198">
        <v>8.3299999999999999E-2</v>
      </c>
      <c r="BY21" s="199">
        <v>8.3299999999999999E-2</v>
      </c>
    </row>
    <row r="22" spans="1:79" x14ac:dyDescent="0.3">
      <c r="A22" s="107"/>
      <c r="B22" s="147"/>
      <c r="E22" s="105" t="s">
        <v>19</v>
      </c>
      <c r="F22" s="128" t="s">
        <v>34</v>
      </c>
      <c r="G22" s="129">
        <f xml:space="preserve"> IF($G16= "% jaarsalaris INCL. VU", G17 * 12 * G18 * ( 1 + G19 ) * ( 1 + G20 ) * ( 1 + G21 ),  G17 * 12 * G18 * ( 1 + G19 ) * ( 1 + G20 ) + G17 * 12 * G18 * ( 1 + G19 )* ( G21 ) )</f>
        <v>50987.070466559999</v>
      </c>
      <c r="H22" s="130">
        <f t="shared" ref="H22:K22" si="7" xml:space="preserve"> IF($G16= "% jaarsalaris INCL. VU", H17 * 12 * H18 * ( 1 + H19 ) * ( 1 + H20 ) * ( 1 + H21 ),  H17 * 12 * H18 * ( 1 + H19 ) * ( 1 + H20 ) + H17 * 12 * H18 * ( 1 + H19 )* ( H21 ) )</f>
        <v>56165.300328960002</v>
      </c>
      <c r="I22" s="130">
        <f t="shared" si="7"/>
        <v>61509.973294080002</v>
      </c>
      <c r="J22" s="130">
        <f t="shared" si="7"/>
        <v>0</v>
      </c>
      <c r="K22" s="131">
        <f t="shared" si="7"/>
        <v>0</v>
      </c>
      <c r="M22" s="129">
        <f xml:space="preserve"> IF($M16= "% jaarsalaris INCL. VU", M17 * 12 * M18 * ( 1 + M19 ) * ( 1 + M20 ) * ( 1 + M21 ),  M17 * 12 * M18 * ( 1 + M19 ) * ( 1 + M20 ) + M17 * 12 * M18 * ( 1 + M19 )* ( M21 ) )</f>
        <v>54608.483399270401</v>
      </c>
      <c r="N22" s="130">
        <f t="shared" ref="N22:Q22" si="8" xml:space="preserve"> IF($M16= "% jaarsalaris INCL. VU", N17 * 12 * N18 * ( 1 + N19 ) * ( 1 + N20 ) * ( 1 + N21 ),  N17 * 12 * N18 * ( 1 + N19 ) * ( 1 + N20 ) + N17 * 12 * N18 * ( 1 + N19 )* ( N21 ) )</f>
        <v>60988.152951705597</v>
      </c>
      <c r="O22" s="130">
        <f t="shared" si="8"/>
        <v>64987.071184281609</v>
      </c>
      <c r="P22" s="130">
        <f t="shared" si="8"/>
        <v>0</v>
      </c>
      <c r="Q22" s="131">
        <f t="shared" si="8"/>
        <v>0</v>
      </c>
      <c r="S22" s="129">
        <f xml:space="preserve"> IF($S16= "% jaarsalaris INCL. VU", S17 * 12 * S18 * ( 1 + S19 ) * ( 1 + S20 ) * ( 1 + S21 ),  S17 * 12 * S18 * ( 1 + S19 ) * ( 1 + S20 ) + S17 * 12 * S18 * ( 1 + S19 )* ( S21 ) )</f>
        <v>51153.51356928001</v>
      </c>
      <c r="T22" s="130">
        <f t="shared" ref="T22:W22" si="9" xml:space="preserve"> IF($S16= "% jaarsalaris INCL. VU", T17 * 12 * T18 * ( 1 + T19 ) * ( 1 + T20 ) * ( 1 + T21 ),  T17 * 12 * T18 * ( 1 + T19 ) * ( 1 + T20 ) + T17 * 12 * T18 * ( 1 + T19 )* ( T21 ) )</f>
        <v>53668.653788160002</v>
      </c>
      <c r="U22" s="130">
        <f t="shared" si="9"/>
        <v>58976.339397120013</v>
      </c>
      <c r="V22" s="130">
        <f t="shared" si="9"/>
        <v>0</v>
      </c>
      <c r="W22" s="131">
        <f t="shared" si="9"/>
        <v>0</v>
      </c>
      <c r="Y22" s="129">
        <f xml:space="preserve"> IF($S16= "% jaarsalaris INCL. VU", Y17 * 12 * Y18 * ( 1 + Y19 ) * ( 1 + Y20 ) * ( 1 + Y21 ),  Y17 * 12 * Y18 * ( 1 + Y19 ) * ( 1 + Y20 ) + Y17 * 12 * Y18 * ( 1 + Y19 )* ( Y21 ) )</f>
        <v>52092.437605401603</v>
      </c>
      <c r="Z22" s="130">
        <f t="shared" ref="Z22:AC22" si="10" xml:space="preserve"> IF($S16= "% jaarsalaris INCL. VU", Z17 * 12 * Z18 * ( 1 + Z19 ) * ( 1 + Z20 ) * ( 1 + Z21 ),  Z17 * 12 * Z18 * ( 1 + Z19 ) * ( 1 + Z20 ) + Z17 * 12 * Z18 * ( 1 + Z19 )* ( Z21 ) )</f>
        <v>56162.896150809611</v>
      </c>
      <c r="AA22" s="130">
        <f t="shared" si="10"/>
        <v>60761.349205401595</v>
      </c>
      <c r="AB22" s="130">
        <f t="shared" si="10"/>
        <v>0</v>
      </c>
      <c r="AC22" s="131">
        <f t="shared" si="10"/>
        <v>0</v>
      </c>
      <c r="AE22" s="129">
        <f xml:space="preserve"> IF($AE16= "% jaarsalaris INCL. VU", AE17 * 12 * AE18 * ( 1 + AE19 ) * ( 1 + AE20 ) * ( 1 + AE21 ),  AE17 * 12 * AE18 * ( 1 + AE19 ) * ( 1 + AE20 ) + AE17 * 12 * AE18 * ( 1 + AE19 )* ( AE21 ) )</f>
        <v>50987.070466559999</v>
      </c>
      <c r="AF22" s="130">
        <f t="shared" ref="AF22:AI22" si="11" xml:space="preserve"> IF($AE16= "% jaarsalaris INCL. VU", AF17 * 12 * AF18 * ( 1 + AF19 ) * ( 1 + AF20 ) * ( 1 + AF21 ),  AF17 * 12 * AF18 * ( 1 + AF19 ) * ( 1 + AF20 ) + AF17 * 12 * AF18 * ( 1 + AF19 )* ( AF21 ) )</f>
        <v>56165.300328960002</v>
      </c>
      <c r="AG22" s="130">
        <f t="shared" si="11"/>
        <v>61509.973294080002</v>
      </c>
      <c r="AH22" s="130">
        <f t="shared" si="11"/>
        <v>0</v>
      </c>
      <c r="AI22" s="131">
        <f t="shared" si="11"/>
        <v>0</v>
      </c>
      <c r="AK22" s="129">
        <f xml:space="preserve"> IF($AK16= "% jaarsalaris INCL. VU", AK17 * 12 * AK18 * ( 1 + AK19 ) * ( 1 + AK20 ) * ( 1 + AK21 ),  AK17 * 12 * AK18 * ( 1 + AK19 ) * ( 1 + AK20 ) + AK17 * 12 * AK18 * ( 1 + AK19 )* ( AK21 ) )</f>
        <v>54608.483399270401</v>
      </c>
      <c r="AL22" s="130">
        <f t="shared" ref="AL22:AO22" si="12" xml:space="preserve"> IF($AK16= "% jaarsalaris INCL. VU", AL17 * 12 * AL18 * ( 1 + AL19 ) * ( 1 + AL20 ) * ( 1 + AL21 ),  AL17 * 12 * AL18 * ( 1 + AL19 ) * ( 1 + AL20 ) + AL17 * 12 * AL18 * ( 1 + AL19 )* ( AL21 ) )</f>
        <v>60988.152951705597</v>
      </c>
      <c r="AM22" s="130">
        <f t="shared" si="12"/>
        <v>64987.071184281609</v>
      </c>
      <c r="AN22" s="130">
        <f t="shared" si="12"/>
        <v>0</v>
      </c>
      <c r="AO22" s="131">
        <f t="shared" si="12"/>
        <v>0</v>
      </c>
      <c r="AQ22" s="129">
        <f xml:space="preserve"> IF($AQ16= "% jaarsalaris INCL. VU", AQ17 * 12 * AQ18 * ( 1 + AQ19 ) * ( 1 + AQ20 ) * ( 1 + AQ21 ),  AQ17 * 12 * AQ18 * ( 1 + AQ19 ) * ( 1 + AQ20 ) + AQ17 * 12 * AQ18 * ( 1 + AQ19 )* ( AQ21 ) )</f>
        <v>51153.51356928001</v>
      </c>
      <c r="AR22" s="130">
        <f t="shared" ref="AR22:AU22" si="13" xml:space="preserve"> IF($AQ16= "% jaarsalaris INCL. VU", AR17 * 12 * AR18 * ( 1 + AR19 ) * ( 1 + AR20 ) * ( 1 + AR21 ),  AR17 * 12 * AR18 * ( 1 + AR19 ) * ( 1 + AR20 ) + AR17 * 12 * AR18 * ( 1 + AR19 )* ( AR21 ) )</f>
        <v>53668.653788160002</v>
      </c>
      <c r="AS22" s="130">
        <f t="shared" si="13"/>
        <v>58976.339397120013</v>
      </c>
      <c r="AT22" s="130">
        <f t="shared" si="13"/>
        <v>0</v>
      </c>
      <c r="AU22" s="131">
        <f t="shared" si="13"/>
        <v>0</v>
      </c>
      <c r="AW22" s="129">
        <f xml:space="preserve"> IF($S16= "% jaarsalaris INCL. VU", AW17 * 12 * AW18 * ( 1 + AW19 ) * ( 1 + AW20 ) * ( 1 + AW21 ),  AW17 * 12 * AW18 * ( 1 + AW19 ) * ( 1 + AW20 ) + AW17 * 12 * AW18 * ( 1 + AW19 )* ( AW21 ) )</f>
        <v>52092.437605401603</v>
      </c>
      <c r="AX22" s="130">
        <f t="shared" ref="AX22:BA22" si="14" xml:space="preserve"> IF($S16= "% jaarsalaris INCL. VU", AX17 * 12 * AX18 * ( 1 + AX19 ) * ( 1 + AX20 ) * ( 1 + AX21 ),  AX17 * 12 * AX18 * ( 1 + AX19 ) * ( 1 + AX20 ) + AX17 * 12 * AX18 * ( 1 + AX19 )* ( AX21 ) )</f>
        <v>56162.896150809611</v>
      </c>
      <c r="AY22" s="130">
        <f t="shared" si="14"/>
        <v>60761.349205401595</v>
      </c>
      <c r="AZ22" s="130">
        <f t="shared" si="14"/>
        <v>0</v>
      </c>
      <c r="BA22" s="131">
        <f t="shared" si="14"/>
        <v>0</v>
      </c>
      <c r="BC22" s="129">
        <f xml:space="preserve"> IF($BC16= "% jaarsalaris INCL. VU", BC17 * 12 * BC18 * ( 1 + BC19 ) * ( 1 + BC20 ) * ( 1 + BC21 ),  BC17 * 12 * BC18 * ( 1 + BC19 ) * ( 1 + BC20 ) + BC17 * 12 * BC18 * ( 1 + BC19 )* ( BC21 ) )</f>
        <v>50987.070466559999</v>
      </c>
      <c r="BD22" s="130">
        <f t="shared" ref="BD22:BG22" si="15" xml:space="preserve"> IF($BC16= "% jaarsalaris INCL. VU", BD17 * 12 * BD18 * ( 1 + BD19 ) * ( 1 + BD20 ) * ( 1 + BD21 ),  BD17 * 12 * BD18 * ( 1 + BD19 ) * ( 1 + BD20 ) + BD17 * 12 * BD18 * ( 1 + BD19 )* ( BD21 ) )</f>
        <v>56165.300328960002</v>
      </c>
      <c r="BE22" s="130">
        <f t="shared" si="15"/>
        <v>61509.973294080002</v>
      </c>
      <c r="BF22" s="130">
        <f t="shared" si="15"/>
        <v>0</v>
      </c>
      <c r="BG22" s="131">
        <f t="shared" si="15"/>
        <v>0</v>
      </c>
      <c r="BI22" s="129">
        <f xml:space="preserve"> IF($BI16= "% jaarsalaris INCL. VU", BI17 * 12 * BI18 * ( 1 + BI19 ) * ( 1 + BI20 ) * ( 1 + BI21 ),  BI17 * 12 * BI18 * ( 1 + BI19 ) * ( 1 + BI20 ) + BI17 * 12 * BI18 * ( 1 + BI19 )* ( BI21 ) )</f>
        <v>54608.483399270401</v>
      </c>
      <c r="BJ22" s="130">
        <f t="shared" ref="BJ22:BM22" si="16" xml:space="preserve"> IF($BI16= "% jaarsalaris INCL. VU", BJ17 * 12 * BJ18 * ( 1 + BJ19 ) * ( 1 + BJ20 ) * ( 1 + BJ21 ),  BJ17 * 12 * BJ18 * ( 1 + BJ19 ) * ( 1 + BJ20 ) + BJ17 * 12 * BJ18 * ( 1 + BJ19 )* ( BJ21 ) )</f>
        <v>60988.152951705597</v>
      </c>
      <c r="BK22" s="130">
        <f t="shared" si="16"/>
        <v>64987.071184281609</v>
      </c>
      <c r="BL22" s="130">
        <f t="shared" si="16"/>
        <v>0</v>
      </c>
      <c r="BM22" s="131">
        <f t="shared" si="16"/>
        <v>0</v>
      </c>
      <c r="BO22" s="129">
        <f xml:space="preserve"> IF($BO16= "% jaarsalaris INCL. VU", BO17 * 12 * BO18 * ( 1 + BO19 ) * ( 1 + BO20 ) * ( 1 + BO21 ),  BO17 * 12 * BO18 * ( 1 + BO19 ) * ( 1 + BO20 ) + BO17 * 12 * BO18 * ( 1 + BO19 )* ( BO21 ) )</f>
        <v>51153.51356928001</v>
      </c>
      <c r="BP22" s="130">
        <f xml:space="preserve"> IF($BO16= "% jaarsalaris INCL. VU", BP17 * 12 * BP18 * ( 1 + BP19 ) * ( 1 + BP20 ) * ( 1 + BP21 ),  BP17 * 12 * BP18 * ( 1 + BP19 ) * ( 1 + BP20 ) + BP17 * 12 * BP18 * ( 1 + BP19 )* ( BP21 ) )</f>
        <v>53668.653788160002</v>
      </c>
      <c r="BQ22" s="130">
        <f xml:space="preserve"> IF($BO16= "% jaarsalaris INCL. VU", BQ17 * 12 * BQ18 * ( 1 + BQ19 ) * ( 1 + BQ20 ) * ( 1 + BQ21 ),  BQ17 * 12 * BQ18 * ( 1 + BQ19 ) * ( 1 + BQ20 ) + BQ17 * 12 * BQ18 * ( 1 + BQ19 )* ( BQ21 ) )</f>
        <v>58976.339397120013</v>
      </c>
      <c r="BR22" s="130">
        <f xml:space="preserve"> IF($BO16= "% jaarsalaris INCL. VU", BR17 * 12 * BR18 * ( 1 + BR19 ) * ( 1 + BR20 ) * ( 1 + BR21 ),  BR17 * 12 * BR18 * ( 1 + BR19 ) * ( 1 + BR20 ) + BR17 * 12 * BR18 * ( 1 + BR19 )* ( BR21 ) )</f>
        <v>0</v>
      </c>
      <c r="BS22" s="131">
        <f xml:space="preserve"> IF($BO16= "% jaarsalaris INCL. VU", BS17 * 12 * BS18 * ( 1 + BS19 ) * ( 1 + BS20 ) * ( 1 + BS21 ),  BS17 * 12 * BS18 * ( 1 + BS19 ) * ( 1 + BS20 ) + BS17 * 12 * BS18 * ( 1 + BS19 )* ( BS21 ) )</f>
        <v>0</v>
      </c>
      <c r="BU22" s="129">
        <f xml:space="preserve"> IF($S16= "% jaarsalaris INCL. VU", BU17 * 12 * BU18 * ( 1 + BU19 ) * ( 1 + BU20 ) * ( 1 + BU21 ),  BU17 * 12 * BU18 * ( 1 + BU19 ) * ( 1 + BU20 ) + BU17 * 12 * BU18 * ( 1 + BU19 )* ( BU21 ) )</f>
        <v>52092.437605401603</v>
      </c>
      <c r="BV22" s="130">
        <f t="shared" ref="BV22:BY22" si="17" xml:space="preserve"> IF($S16= "% jaarsalaris INCL. VU", BV17 * 12 * BV18 * ( 1 + BV19 ) * ( 1 + BV20 ) * ( 1 + BV21 ),  BV17 * 12 * BV18 * ( 1 + BV19 ) * ( 1 + BV20 ) + BV17 * 12 * BV18 * ( 1 + BV19 )* ( BV21 ) )</f>
        <v>56162.896150809611</v>
      </c>
      <c r="BW22" s="130">
        <f t="shared" si="17"/>
        <v>60761.349205401595</v>
      </c>
      <c r="BX22" s="130">
        <f t="shared" si="17"/>
        <v>0</v>
      </c>
      <c r="BY22" s="131">
        <f t="shared" si="17"/>
        <v>0</v>
      </c>
    </row>
    <row r="23" spans="1:79" ht="6" customHeight="1" x14ac:dyDescent="0.3">
      <c r="A23" s="107"/>
      <c r="B23" s="147"/>
      <c r="E23" s="90"/>
      <c r="F23" s="127"/>
      <c r="G23" s="113"/>
      <c r="H23" s="120"/>
      <c r="I23" s="120"/>
      <c r="J23" s="120"/>
      <c r="K23" s="121"/>
      <c r="M23" s="113"/>
      <c r="N23" s="120"/>
      <c r="O23" s="120"/>
      <c r="P23" s="120"/>
      <c r="Q23" s="121"/>
      <c r="S23" s="113"/>
      <c r="T23" s="120"/>
      <c r="U23" s="120"/>
      <c r="V23" s="120"/>
      <c r="W23" s="121"/>
      <c r="Y23" s="113"/>
      <c r="Z23" s="120"/>
      <c r="AA23" s="120"/>
      <c r="AB23" s="120"/>
      <c r="AC23" s="121"/>
      <c r="AE23" s="113"/>
      <c r="AF23" s="120"/>
      <c r="AG23" s="120"/>
      <c r="AH23" s="120"/>
      <c r="AI23" s="121"/>
      <c r="AK23" s="113"/>
      <c r="AL23" s="120"/>
      <c r="AM23" s="120"/>
      <c r="AN23" s="120"/>
      <c r="AO23" s="121"/>
      <c r="AQ23" s="113"/>
      <c r="AR23" s="120"/>
      <c r="AS23" s="120"/>
      <c r="AT23" s="120"/>
      <c r="AU23" s="121"/>
      <c r="AW23" s="113"/>
      <c r="AX23" s="120"/>
      <c r="AY23" s="120"/>
      <c r="AZ23" s="120"/>
      <c r="BA23" s="121"/>
      <c r="BC23" s="113"/>
      <c r="BD23" s="120"/>
      <c r="BE23" s="120"/>
      <c r="BF23" s="120"/>
      <c r="BG23" s="121"/>
      <c r="BI23" s="113"/>
      <c r="BJ23" s="120"/>
      <c r="BK23" s="120"/>
      <c r="BL23" s="120"/>
      <c r="BM23" s="121"/>
      <c r="BO23" s="113"/>
      <c r="BP23" s="120"/>
      <c r="BQ23" s="120"/>
      <c r="BR23" s="120"/>
      <c r="BS23" s="121"/>
      <c r="BU23" s="113"/>
      <c r="BV23" s="120"/>
      <c r="BW23" s="120"/>
      <c r="BX23" s="120"/>
      <c r="BY23" s="121"/>
    </row>
    <row r="24" spans="1:79" x14ac:dyDescent="0.3">
      <c r="A24" s="466"/>
      <c r="B24" s="467"/>
      <c r="C24" s="466"/>
      <c r="D24" s="468"/>
      <c r="E24" s="469" t="s">
        <v>24</v>
      </c>
      <c r="F24" s="470" t="s">
        <v>20</v>
      </c>
      <c r="G24" s="472">
        <v>0.25</v>
      </c>
      <c r="H24" s="34">
        <v>0.25</v>
      </c>
      <c r="I24" s="34">
        <v>0.25</v>
      </c>
      <c r="J24" s="34"/>
      <c r="K24" s="471"/>
      <c r="L24" s="468"/>
      <c r="M24" s="472">
        <v>0.25</v>
      </c>
      <c r="N24" s="34">
        <v>0.25</v>
      </c>
      <c r="O24" s="34">
        <v>0.25</v>
      </c>
      <c r="P24" s="34"/>
      <c r="Q24" s="471"/>
      <c r="R24" s="468"/>
      <c r="S24" s="472">
        <v>0.25</v>
      </c>
      <c r="T24" s="34">
        <v>0.25</v>
      </c>
      <c r="U24" s="34">
        <v>0.25</v>
      </c>
      <c r="V24" s="34"/>
      <c r="W24" s="471"/>
      <c r="X24" s="468"/>
      <c r="Y24" s="472">
        <v>0.25</v>
      </c>
      <c r="Z24" s="34">
        <v>0.25</v>
      </c>
      <c r="AA24" s="34">
        <v>0.25</v>
      </c>
      <c r="AB24" s="34"/>
      <c r="AC24" s="471"/>
      <c r="AD24" s="468"/>
      <c r="AE24" s="472">
        <v>0.25</v>
      </c>
      <c r="AF24" s="34">
        <v>0.25</v>
      </c>
      <c r="AG24" s="34">
        <v>0.25</v>
      </c>
      <c r="AH24" s="34"/>
      <c r="AI24" s="471"/>
      <c r="AJ24" s="468"/>
      <c r="AK24" s="472">
        <v>0.25</v>
      </c>
      <c r="AL24" s="34">
        <v>0.25</v>
      </c>
      <c r="AM24" s="34">
        <v>0.25</v>
      </c>
      <c r="AN24" s="34"/>
      <c r="AO24" s="471"/>
      <c r="AP24" s="468"/>
      <c r="AQ24" s="472">
        <v>0.25</v>
      </c>
      <c r="AR24" s="34">
        <v>0.25</v>
      </c>
      <c r="AS24" s="34">
        <v>0.25</v>
      </c>
      <c r="AT24" s="34"/>
      <c r="AU24" s="471"/>
      <c r="AV24" s="468"/>
      <c r="AW24" s="472">
        <v>0.25</v>
      </c>
      <c r="AX24" s="34">
        <v>0.25</v>
      </c>
      <c r="AY24" s="34">
        <v>0.25</v>
      </c>
      <c r="AZ24" s="34"/>
      <c r="BA24" s="471"/>
      <c r="BB24" s="468"/>
      <c r="BC24" s="472">
        <v>0.25</v>
      </c>
      <c r="BD24" s="34">
        <v>0.25</v>
      </c>
      <c r="BE24" s="34">
        <v>0.25</v>
      </c>
      <c r="BF24" s="34"/>
      <c r="BG24" s="471"/>
      <c r="BH24" s="468"/>
      <c r="BI24" s="472">
        <v>0.25</v>
      </c>
      <c r="BJ24" s="34">
        <v>0.25</v>
      </c>
      <c r="BK24" s="34">
        <v>0.25</v>
      </c>
      <c r="BL24" s="34"/>
      <c r="BM24" s="471"/>
      <c r="BN24" s="468"/>
      <c r="BO24" s="472">
        <v>0.25</v>
      </c>
      <c r="BP24" s="34">
        <v>0.25</v>
      </c>
      <c r="BQ24" s="34">
        <v>0.25</v>
      </c>
      <c r="BR24" s="34"/>
      <c r="BS24" s="471"/>
      <c r="BT24" s="468"/>
      <c r="BU24" s="472">
        <v>0.25</v>
      </c>
      <c r="BV24" s="34">
        <v>0.25</v>
      </c>
      <c r="BW24" s="34">
        <v>0.25</v>
      </c>
      <c r="BX24" s="34"/>
      <c r="BY24" s="471"/>
      <c r="BZ24" s="468"/>
      <c r="CA24" s="468"/>
    </row>
    <row r="25" spans="1:79" x14ac:dyDescent="0.3">
      <c r="A25" s="466"/>
      <c r="B25" s="467"/>
      <c r="C25" s="466"/>
      <c r="D25" s="468"/>
      <c r="E25" s="468" t="s">
        <v>1</v>
      </c>
      <c r="F25" s="470" t="s">
        <v>20</v>
      </c>
      <c r="G25" s="472">
        <v>0.03</v>
      </c>
      <c r="H25" s="34">
        <v>0.03</v>
      </c>
      <c r="I25" s="34">
        <v>0.03</v>
      </c>
      <c r="J25" s="34"/>
      <c r="K25" s="471"/>
      <c r="L25" s="468"/>
      <c r="M25" s="472">
        <v>0.03</v>
      </c>
      <c r="N25" s="34">
        <v>0.03</v>
      </c>
      <c r="O25" s="34">
        <v>0.03</v>
      </c>
      <c r="P25" s="34"/>
      <c r="Q25" s="471"/>
      <c r="R25" s="468"/>
      <c r="S25" s="472">
        <v>0.03</v>
      </c>
      <c r="T25" s="34">
        <v>0.03</v>
      </c>
      <c r="U25" s="34">
        <v>0.03</v>
      </c>
      <c r="V25" s="34"/>
      <c r="W25" s="471"/>
      <c r="X25" s="468"/>
      <c r="Y25" s="472">
        <v>0.03</v>
      </c>
      <c r="Z25" s="34">
        <v>0.03</v>
      </c>
      <c r="AA25" s="34">
        <v>0.03</v>
      </c>
      <c r="AB25" s="34"/>
      <c r="AC25" s="471"/>
      <c r="AD25" s="468"/>
      <c r="AE25" s="472">
        <v>0.03</v>
      </c>
      <c r="AF25" s="34">
        <v>0.03</v>
      </c>
      <c r="AG25" s="34">
        <v>0.03</v>
      </c>
      <c r="AH25" s="34"/>
      <c r="AI25" s="471"/>
      <c r="AJ25" s="468"/>
      <c r="AK25" s="472">
        <v>0.03</v>
      </c>
      <c r="AL25" s="34">
        <v>0.03</v>
      </c>
      <c r="AM25" s="34">
        <v>0.03</v>
      </c>
      <c r="AN25" s="34"/>
      <c r="AO25" s="471"/>
      <c r="AP25" s="468"/>
      <c r="AQ25" s="472">
        <v>0.03</v>
      </c>
      <c r="AR25" s="34">
        <v>0.03</v>
      </c>
      <c r="AS25" s="34">
        <v>0.03</v>
      </c>
      <c r="AT25" s="34"/>
      <c r="AU25" s="471"/>
      <c r="AV25" s="468"/>
      <c r="AW25" s="472">
        <v>0.03</v>
      </c>
      <c r="AX25" s="34">
        <v>0.03</v>
      </c>
      <c r="AY25" s="34">
        <v>0.03</v>
      </c>
      <c r="AZ25" s="34"/>
      <c r="BA25" s="471"/>
      <c r="BB25" s="468"/>
      <c r="BC25" s="472">
        <v>0.03</v>
      </c>
      <c r="BD25" s="34">
        <v>0.03</v>
      </c>
      <c r="BE25" s="34">
        <v>0.03</v>
      </c>
      <c r="BF25" s="34"/>
      <c r="BG25" s="471"/>
      <c r="BH25" s="468"/>
      <c r="BI25" s="472">
        <v>0.03</v>
      </c>
      <c r="BJ25" s="34">
        <v>0.03</v>
      </c>
      <c r="BK25" s="34">
        <v>0.03</v>
      </c>
      <c r="BL25" s="34"/>
      <c r="BM25" s="471"/>
      <c r="BN25" s="468"/>
      <c r="BO25" s="472">
        <v>0.03</v>
      </c>
      <c r="BP25" s="34">
        <v>0.03</v>
      </c>
      <c r="BQ25" s="34">
        <v>0.03</v>
      </c>
      <c r="BR25" s="34"/>
      <c r="BS25" s="471"/>
      <c r="BT25" s="468"/>
      <c r="BU25" s="472">
        <v>0.03</v>
      </c>
      <c r="BV25" s="34">
        <v>0.03</v>
      </c>
      <c r="BW25" s="34">
        <v>0.03</v>
      </c>
      <c r="BX25" s="34"/>
      <c r="BY25" s="471"/>
      <c r="BZ25" s="468"/>
      <c r="CA25" s="468"/>
    </row>
    <row r="26" spans="1:79" x14ac:dyDescent="0.3">
      <c r="A26" s="107"/>
      <c r="B26" s="147"/>
      <c r="E26" s="105" t="s">
        <v>21</v>
      </c>
      <c r="F26" s="128" t="s">
        <v>34</v>
      </c>
      <c r="G26" s="129">
        <f t="shared" ref="G26:K26" si="18" xml:space="preserve"> G22 + ( G22 * G24 ) + ( G22 * G25 )</f>
        <v>65263.450197196798</v>
      </c>
      <c r="H26" s="130">
        <f t="shared" si="18"/>
        <v>71891.584421068808</v>
      </c>
      <c r="I26" s="130">
        <f t="shared" si="18"/>
        <v>78732.765816422398</v>
      </c>
      <c r="J26" s="130">
        <f t="shared" si="18"/>
        <v>0</v>
      </c>
      <c r="K26" s="131">
        <f t="shared" si="18"/>
        <v>0</v>
      </c>
      <c r="L26" s="94"/>
      <c r="M26" s="129">
        <f t="shared" ref="M26:Q26" si="19" xml:space="preserve"> M22 + ( M22 * M24 ) + ( M22 * M25 )</f>
        <v>69898.858751066116</v>
      </c>
      <c r="N26" s="130">
        <f t="shared" si="19"/>
        <v>78064.835778183158</v>
      </c>
      <c r="O26" s="130">
        <f t="shared" si="19"/>
        <v>83183.451115880453</v>
      </c>
      <c r="P26" s="130">
        <f t="shared" si="19"/>
        <v>0</v>
      </c>
      <c r="Q26" s="131">
        <f t="shared" si="19"/>
        <v>0</v>
      </c>
      <c r="R26" s="94"/>
      <c r="S26" s="129">
        <f t="shared" ref="S26:W26" si="20" xml:space="preserve"> S22 + ( S22 * S24 ) + ( S22 * S25 )</f>
        <v>65476.497368678414</v>
      </c>
      <c r="T26" s="130">
        <f t="shared" si="20"/>
        <v>68695.876848844797</v>
      </c>
      <c r="U26" s="130">
        <f t="shared" si="20"/>
        <v>75489.714428313615</v>
      </c>
      <c r="V26" s="130">
        <f t="shared" si="20"/>
        <v>0</v>
      </c>
      <c r="W26" s="131">
        <f t="shared" si="20"/>
        <v>0</v>
      </c>
      <c r="X26" s="94"/>
      <c r="Y26" s="129">
        <f t="shared" ref="Y26:AC26" si="21" xml:space="preserve"> Y22 + ( Y22 * Y24 ) + ( Y22 * Y25 )</f>
        <v>66678.320134914058</v>
      </c>
      <c r="Z26" s="130">
        <f t="shared" si="21"/>
        <v>71888.507073036293</v>
      </c>
      <c r="AA26" s="130">
        <f t="shared" si="21"/>
        <v>77774.526982914045</v>
      </c>
      <c r="AB26" s="130">
        <f t="shared" si="21"/>
        <v>0</v>
      </c>
      <c r="AC26" s="131">
        <f t="shared" si="21"/>
        <v>0</v>
      </c>
      <c r="AD26" s="94"/>
      <c r="AE26" s="129">
        <f t="shared" ref="AE26:AI26" si="22" xml:space="preserve"> AE22 + ( AE22 * AE24 ) + ( AE22 * AE25 )</f>
        <v>65263.450197196798</v>
      </c>
      <c r="AF26" s="130">
        <f t="shared" si="22"/>
        <v>71891.584421068808</v>
      </c>
      <c r="AG26" s="130">
        <f t="shared" si="22"/>
        <v>78732.765816422398</v>
      </c>
      <c r="AH26" s="130">
        <f t="shared" si="22"/>
        <v>0</v>
      </c>
      <c r="AI26" s="131">
        <f t="shared" si="22"/>
        <v>0</v>
      </c>
      <c r="AJ26" s="94"/>
      <c r="AK26" s="129">
        <f t="shared" ref="AK26:AO26" si="23" xml:space="preserve"> AK22 + ( AK22 * AK24 ) + ( AK22 * AK25 )</f>
        <v>69898.858751066116</v>
      </c>
      <c r="AL26" s="130">
        <f t="shared" si="23"/>
        <v>78064.835778183158</v>
      </c>
      <c r="AM26" s="130">
        <f t="shared" si="23"/>
        <v>83183.451115880453</v>
      </c>
      <c r="AN26" s="130">
        <f t="shared" si="23"/>
        <v>0</v>
      </c>
      <c r="AO26" s="131">
        <f t="shared" si="23"/>
        <v>0</v>
      </c>
      <c r="AP26" s="94"/>
      <c r="AQ26" s="129">
        <f t="shared" ref="AQ26:AU26" si="24" xml:space="preserve"> AQ22 + ( AQ22 * AQ24 ) + ( AQ22 * AQ25 )</f>
        <v>65476.497368678414</v>
      </c>
      <c r="AR26" s="130">
        <f t="shared" si="24"/>
        <v>68695.876848844797</v>
      </c>
      <c r="AS26" s="130">
        <f t="shared" si="24"/>
        <v>75489.714428313615</v>
      </c>
      <c r="AT26" s="130">
        <f t="shared" si="24"/>
        <v>0</v>
      </c>
      <c r="AU26" s="131">
        <f t="shared" si="24"/>
        <v>0</v>
      </c>
      <c r="AV26" s="94"/>
      <c r="AW26" s="129">
        <f t="shared" ref="AW26:BA26" si="25" xml:space="preserve"> AW22 + ( AW22 * AW24 ) + ( AW22 * AW25 )</f>
        <v>66678.320134914058</v>
      </c>
      <c r="AX26" s="130">
        <f t="shared" si="25"/>
        <v>71888.507073036293</v>
      </c>
      <c r="AY26" s="130">
        <f t="shared" si="25"/>
        <v>77774.526982914045</v>
      </c>
      <c r="AZ26" s="130">
        <f t="shared" si="25"/>
        <v>0</v>
      </c>
      <c r="BA26" s="131">
        <f t="shared" si="25"/>
        <v>0</v>
      </c>
      <c r="BB26" s="94"/>
      <c r="BC26" s="129">
        <f t="shared" ref="BC26:BG26" si="26" xml:space="preserve"> BC22 + ( BC22 * BC24 ) + ( BC22 * BC25 )</f>
        <v>65263.450197196798</v>
      </c>
      <c r="BD26" s="130">
        <f t="shared" si="26"/>
        <v>71891.584421068808</v>
      </c>
      <c r="BE26" s="130">
        <f t="shared" si="26"/>
        <v>78732.765816422398</v>
      </c>
      <c r="BF26" s="130">
        <f t="shared" si="26"/>
        <v>0</v>
      </c>
      <c r="BG26" s="131">
        <f t="shared" si="26"/>
        <v>0</v>
      </c>
      <c r="BH26" s="94"/>
      <c r="BI26" s="129">
        <f t="shared" ref="BI26:BM26" si="27" xml:space="preserve"> BI22 + ( BI22 * BI24 ) + ( BI22 * BI25 )</f>
        <v>69898.858751066116</v>
      </c>
      <c r="BJ26" s="130">
        <f t="shared" si="27"/>
        <v>78064.835778183158</v>
      </c>
      <c r="BK26" s="130">
        <f t="shared" si="27"/>
        <v>83183.451115880453</v>
      </c>
      <c r="BL26" s="130">
        <f t="shared" si="27"/>
        <v>0</v>
      </c>
      <c r="BM26" s="131">
        <f t="shared" si="27"/>
        <v>0</v>
      </c>
      <c r="BN26" s="94"/>
      <c r="BO26" s="129">
        <f t="shared" ref="BO26:BS26" si="28" xml:space="preserve"> BO22 + ( BO22 * BO24 ) + ( BO22 * BO25 )</f>
        <v>65476.497368678414</v>
      </c>
      <c r="BP26" s="130">
        <f t="shared" si="28"/>
        <v>68695.876848844797</v>
      </c>
      <c r="BQ26" s="130">
        <f t="shared" si="28"/>
        <v>75489.714428313615</v>
      </c>
      <c r="BR26" s="130">
        <f t="shared" si="28"/>
        <v>0</v>
      </c>
      <c r="BS26" s="131">
        <f t="shared" si="28"/>
        <v>0</v>
      </c>
      <c r="BT26" s="94"/>
      <c r="BU26" s="129">
        <f t="shared" ref="BU26:BY26" si="29" xml:space="preserve"> BU22 + ( BU22 * BU24 ) + ( BU22 * BU25 )</f>
        <v>66678.320134914058</v>
      </c>
      <c r="BV26" s="130">
        <f t="shared" si="29"/>
        <v>71888.507073036293</v>
      </c>
      <c r="BW26" s="130">
        <f t="shared" si="29"/>
        <v>77774.526982914045</v>
      </c>
      <c r="BX26" s="130">
        <f t="shared" si="29"/>
        <v>0</v>
      </c>
      <c r="BY26" s="131">
        <f t="shared" si="29"/>
        <v>0</v>
      </c>
      <c r="BZ26" s="94"/>
      <c r="CA26" s="94"/>
    </row>
    <row r="27" spans="1:79" ht="6" customHeight="1" x14ac:dyDescent="0.3">
      <c r="A27" s="107"/>
      <c r="B27" s="147"/>
      <c r="E27" s="90"/>
      <c r="F27" s="127"/>
      <c r="G27" s="113"/>
      <c r="H27" s="120"/>
      <c r="I27" s="120"/>
      <c r="J27" s="120"/>
      <c r="K27" s="121"/>
      <c r="M27" s="113"/>
      <c r="N27" s="120"/>
      <c r="O27" s="120"/>
      <c r="P27" s="120"/>
      <c r="Q27" s="121"/>
      <c r="S27" s="113"/>
      <c r="T27" s="120"/>
      <c r="U27" s="120"/>
      <c r="V27" s="120"/>
      <c r="W27" s="121"/>
      <c r="Y27" s="113"/>
      <c r="Z27" s="120"/>
      <c r="AA27" s="120"/>
      <c r="AB27" s="120"/>
      <c r="AC27" s="121"/>
      <c r="AE27" s="113"/>
      <c r="AF27" s="120"/>
      <c r="AG27" s="120"/>
      <c r="AH27" s="120"/>
      <c r="AI27" s="121"/>
      <c r="AK27" s="113"/>
      <c r="AL27" s="120"/>
      <c r="AM27" s="120"/>
      <c r="AN27" s="120"/>
      <c r="AO27" s="121"/>
      <c r="AQ27" s="113"/>
      <c r="AR27" s="120"/>
      <c r="AS27" s="120"/>
      <c r="AT27" s="120"/>
      <c r="AU27" s="121"/>
      <c r="AW27" s="113"/>
      <c r="AX27" s="120"/>
      <c r="AY27" s="120"/>
      <c r="AZ27" s="120"/>
      <c r="BA27" s="121"/>
      <c r="BC27" s="113"/>
      <c r="BD27" s="120"/>
      <c r="BE27" s="120"/>
      <c r="BF27" s="120"/>
      <c r="BG27" s="121"/>
      <c r="BI27" s="113"/>
      <c r="BJ27" s="120"/>
      <c r="BK27" s="120"/>
      <c r="BL27" s="120"/>
      <c r="BM27" s="121"/>
      <c r="BO27" s="113"/>
      <c r="BP27" s="120"/>
      <c r="BQ27" s="120"/>
      <c r="BR27" s="120"/>
      <c r="BS27" s="121"/>
      <c r="BU27" s="113"/>
      <c r="BV27" s="120"/>
      <c r="BW27" s="120"/>
      <c r="BX27" s="120"/>
      <c r="BY27" s="121"/>
    </row>
    <row r="28" spans="1:79" x14ac:dyDescent="0.3">
      <c r="A28" s="466"/>
      <c r="B28" s="467"/>
      <c r="C28" s="466"/>
      <c r="D28" s="468"/>
      <c r="E28" s="474" t="s">
        <v>23</v>
      </c>
      <c r="F28" s="473" t="s">
        <v>22</v>
      </c>
      <c r="G28" s="472">
        <v>0.01</v>
      </c>
      <c r="H28" s="34">
        <v>0.01</v>
      </c>
      <c r="I28" s="34">
        <v>0.01</v>
      </c>
      <c r="J28" s="34"/>
      <c r="K28" s="471"/>
      <c r="L28" s="468"/>
      <c r="M28" s="472">
        <v>0.01</v>
      </c>
      <c r="N28" s="34">
        <v>0.01</v>
      </c>
      <c r="O28" s="34">
        <v>0.01</v>
      </c>
      <c r="P28" s="34"/>
      <c r="Q28" s="471"/>
      <c r="R28" s="468"/>
      <c r="S28" s="472">
        <v>0.01</v>
      </c>
      <c r="T28" s="34">
        <v>0.01</v>
      </c>
      <c r="U28" s="34">
        <v>0.01</v>
      </c>
      <c r="V28" s="34"/>
      <c r="W28" s="471"/>
      <c r="X28" s="468"/>
      <c r="Y28" s="472">
        <v>0.01</v>
      </c>
      <c r="Z28" s="34">
        <v>0.01</v>
      </c>
      <c r="AA28" s="34">
        <v>0.01</v>
      </c>
      <c r="AB28" s="34"/>
      <c r="AC28" s="471"/>
      <c r="AD28" s="468"/>
      <c r="AE28" s="472">
        <v>0.01</v>
      </c>
      <c r="AF28" s="34">
        <v>0.01</v>
      </c>
      <c r="AG28" s="34">
        <v>0.01</v>
      </c>
      <c r="AH28" s="34"/>
      <c r="AI28" s="471"/>
      <c r="AJ28" s="468"/>
      <c r="AK28" s="472">
        <v>0.01</v>
      </c>
      <c r="AL28" s="34">
        <v>0.01</v>
      </c>
      <c r="AM28" s="34">
        <v>0.01</v>
      </c>
      <c r="AN28" s="34"/>
      <c r="AO28" s="471"/>
      <c r="AP28" s="468"/>
      <c r="AQ28" s="472">
        <v>0.01</v>
      </c>
      <c r="AR28" s="34">
        <v>0.01</v>
      </c>
      <c r="AS28" s="34">
        <v>0.01</v>
      </c>
      <c r="AT28" s="34"/>
      <c r="AU28" s="471"/>
      <c r="AV28" s="468"/>
      <c r="AW28" s="472">
        <v>0.01</v>
      </c>
      <c r="AX28" s="34">
        <v>0.01</v>
      </c>
      <c r="AY28" s="34">
        <v>0.01</v>
      </c>
      <c r="AZ28" s="34"/>
      <c r="BA28" s="471"/>
      <c r="BB28" s="468"/>
      <c r="BC28" s="472">
        <v>0.01</v>
      </c>
      <c r="BD28" s="34">
        <v>0.01</v>
      </c>
      <c r="BE28" s="34">
        <v>0.01</v>
      </c>
      <c r="BF28" s="34"/>
      <c r="BG28" s="471"/>
      <c r="BH28" s="468"/>
      <c r="BI28" s="472">
        <v>0.01</v>
      </c>
      <c r="BJ28" s="34">
        <v>0.01</v>
      </c>
      <c r="BK28" s="34">
        <v>0.01</v>
      </c>
      <c r="BL28" s="34"/>
      <c r="BM28" s="471"/>
      <c r="BN28" s="468"/>
      <c r="BO28" s="472">
        <v>0.01</v>
      </c>
      <c r="BP28" s="34">
        <v>0.01</v>
      </c>
      <c r="BQ28" s="34">
        <v>0.01</v>
      </c>
      <c r="BR28" s="34"/>
      <c r="BS28" s="471"/>
      <c r="BT28" s="468"/>
      <c r="BU28" s="472">
        <v>0.01</v>
      </c>
      <c r="BV28" s="34">
        <v>0.01</v>
      </c>
      <c r="BW28" s="34">
        <v>0.01</v>
      </c>
      <c r="BX28" s="34"/>
      <c r="BY28" s="471"/>
      <c r="BZ28" s="468"/>
      <c r="CA28" s="468"/>
    </row>
    <row r="29" spans="1:79" x14ac:dyDescent="0.3">
      <c r="A29" s="107"/>
      <c r="B29" s="147"/>
      <c r="E29" s="105" t="s">
        <v>26</v>
      </c>
      <c r="F29" s="128" t="s">
        <v>34</v>
      </c>
      <c r="G29" s="129">
        <f t="shared" ref="G29:K29" si="30" xml:space="preserve"> G26 * ( 1 + G28 )</f>
        <v>65916.084699168772</v>
      </c>
      <c r="H29" s="130">
        <f t="shared" si="30"/>
        <v>72610.500265279494</v>
      </c>
      <c r="I29" s="130">
        <f t="shared" si="30"/>
        <v>79520.093474586625</v>
      </c>
      <c r="J29" s="130">
        <f t="shared" si="30"/>
        <v>0</v>
      </c>
      <c r="K29" s="131">
        <f t="shared" si="30"/>
        <v>0</v>
      </c>
      <c r="L29" s="94"/>
      <c r="M29" s="129">
        <f t="shared" ref="M29:Q29" si="31" xml:space="preserve"> M26 * ( 1 + M28 )</f>
        <v>70597.847338576772</v>
      </c>
      <c r="N29" s="130">
        <f t="shared" si="31"/>
        <v>78845.484135964987</v>
      </c>
      <c r="O29" s="130">
        <f t="shared" si="31"/>
        <v>84015.285627039251</v>
      </c>
      <c r="P29" s="130">
        <f t="shared" si="31"/>
        <v>0</v>
      </c>
      <c r="Q29" s="131">
        <f t="shared" si="31"/>
        <v>0</v>
      </c>
      <c r="R29" s="94"/>
      <c r="S29" s="129">
        <f t="shared" ref="S29:W29" si="32" xml:space="preserve"> S26 * ( 1 + S28 )</f>
        <v>66131.262342365197</v>
      </c>
      <c r="T29" s="130">
        <f t="shared" si="32"/>
        <v>69382.835617333243</v>
      </c>
      <c r="U29" s="130">
        <f t="shared" si="32"/>
        <v>76244.611572596754</v>
      </c>
      <c r="V29" s="130">
        <f t="shared" si="32"/>
        <v>0</v>
      </c>
      <c r="W29" s="131">
        <f t="shared" si="32"/>
        <v>0</v>
      </c>
      <c r="X29" s="94"/>
      <c r="Y29" s="129">
        <f t="shared" ref="Y29:AC29" si="33" xml:space="preserve"> Y26 * ( 1 + Y28 )</f>
        <v>67345.103336263201</v>
      </c>
      <c r="Z29" s="130">
        <f t="shared" si="33"/>
        <v>72607.392143766658</v>
      </c>
      <c r="AA29" s="130">
        <f t="shared" si="33"/>
        <v>78552.272252743191</v>
      </c>
      <c r="AB29" s="130">
        <f t="shared" si="33"/>
        <v>0</v>
      </c>
      <c r="AC29" s="131">
        <f t="shared" si="33"/>
        <v>0</v>
      </c>
      <c r="AD29" s="94"/>
      <c r="AE29" s="129">
        <f t="shared" ref="AE29:AI29" si="34" xml:space="preserve"> AE26 * ( 1 + AE28 )</f>
        <v>65916.084699168772</v>
      </c>
      <c r="AF29" s="130">
        <f t="shared" si="34"/>
        <v>72610.500265279494</v>
      </c>
      <c r="AG29" s="130">
        <f t="shared" si="34"/>
        <v>79520.093474586625</v>
      </c>
      <c r="AH29" s="130">
        <f t="shared" si="34"/>
        <v>0</v>
      </c>
      <c r="AI29" s="131">
        <f t="shared" si="34"/>
        <v>0</v>
      </c>
      <c r="AJ29" s="94"/>
      <c r="AK29" s="129">
        <f t="shared" ref="AK29:AO29" si="35" xml:space="preserve"> AK26 * ( 1 + AK28 )</f>
        <v>70597.847338576772</v>
      </c>
      <c r="AL29" s="130">
        <f t="shared" si="35"/>
        <v>78845.484135964987</v>
      </c>
      <c r="AM29" s="130">
        <f t="shared" si="35"/>
        <v>84015.285627039251</v>
      </c>
      <c r="AN29" s="130">
        <f t="shared" si="35"/>
        <v>0</v>
      </c>
      <c r="AO29" s="131">
        <f t="shared" si="35"/>
        <v>0</v>
      </c>
      <c r="AP29" s="94"/>
      <c r="AQ29" s="129">
        <f t="shared" ref="AQ29:AU29" si="36" xml:space="preserve"> AQ26 * ( 1 + AQ28 )</f>
        <v>66131.262342365197</v>
      </c>
      <c r="AR29" s="130">
        <f t="shared" si="36"/>
        <v>69382.835617333243</v>
      </c>
      <c r="AS29" s="130">
        <f t="shared" si="36"/>
        <v>76244.611572596754</v>
      </c>
      <c r="AT29" s="130">
        <f t="shared" si="36"/>
        <v>0</v>
      </c>
      <c r="AU29" s="131">
        <f t="shared" si="36"/>
        <v>0</v>
      </c>
      <c r="AV29" s="94"/>
      <c r="AW29" s="129">
        <f t="shared" ref="AW29:BA29" si="37" xml:space="preserve"> AW26 * ( 1 + AW28 )</f>
        <v>67345.103336263201</v>
      </c>
      <c r="AX29" s="130">
        <f t="shared" si="37"/>
        <v>72607.392143766658</v>
      </c>
      <c r="AY29" s="130">
        <f t="shared" si="37"/>
        <v>78552.272252743191</v>
      </c>
      <c r="AZ29" s="130">
        <f t="shared" si="37"/>
        <v>0</v>
      </c>
      <c r="BA29" s="131">
        <f t="shared" si="37"/>
        <v>0</v>
      </c>
      <c r="BB29" s="94"/>
      <c r="BC29" s="129">
        <f t="shared" ref="BC29:BG29" si="38" xml:space="preserve"> BC26 * ( 1 + BC28 )</f>
        <v>65916.084699168772</v>
      </c>
      <c r="BD29" s="130">
        <f t="shared" si="38"/>
        <v>72610.500265279494</v>
      </c>
      <c r="BE29" s="130">
        <f t="shared" si="38"/>
        <v>79520.093474586625</v>
      </c>
      <c r="BF29" s="130">
        <f t="shared" si="38"/>
        <v>0</v>
      </c>
      <c r="BG29" s="131">
        <f t="shared" si="38"/>
        <v>0</v>
      </c>
      <c r="BH29" s="94"/>
      <c r="BI29" s="129">
        <f t="shared" ref="BI29:BM29" si="39" xml:space="preserve"> BI26 * ( 1 + BI28 )</f>
        <v>70597.847338576772</v>
      </c>
      <c r="BJ29" s="130">
        <f t="shared" si="39"/>
        <v>78845.484135964987</v>
      </c>
      <c r="BK29" s="130">
        <f t="shared" si="39"/>
        <v>84015.285627039251</v>
      </c>
      <c r="BL29" s="130">
        <f t="shared" si="39"/>
        <v>0</v>
      </c>
      <c r="BM29" s="131">
        <f t="shared" si="39"/>
        <v>0</v>
      </c>
      <c r="BN29" s="94"/>
      <c r="BO29" s="129">
        <f t="shared" ref="BO29:BS29" si="40" xml:space="preserve"> BO26 * ( 1 + BO28 )</f>
        <v>66131.262342365197</v>
      </c>
      <c r="BP29" s="130">
        <f t="shared" si="40"/>
        <v>69382.835617333243</v>
      </c>
      <c r="BQ29" s="130">
        <f t="shared" si="40"/>
        <v>76244.611572596754</v>
      </c>
      <c r="BR29" s="130">
        <f t="shared" si="40"/>
        <v>0</v>
      </c>
      <c r="BS29" s="131">
        <f t="shared" si="40"/>
        <v>0</v>
      </c>
      <c r="BT29" s="94"/>
      <c r="BU29" s="129">
        <f t="shared" ref="BU29:BY29" si="41" xml:space="preserve"> BU26 * ( 1 + BU28 )</f>
        <v>67345.103336263201</v>
      </c>
      <c r="BV29" s="130">
        <f t="shared" si="41"/>
        <v>72607.392143766658</v>
      </c>
      <c r="BW29" s="130">
        <f t="shared" si="41"/>
        <v>78552.272252743191</v>
      </c>
      <c r="BX29" s="130">
        <f t="shared" si="41"/>
        <v>0</v>
      </c>
      <c r="BY29" s="131">
        <f t="shared" si="41"/>
        <v>0</v>
      </c>
      <c r="BZ29" s="94"/>
      <c r="CA29" s="94"/>
    </row>
    <row r="30" spans="1:79" ht="6" customHeight="1" x14ac:dyDescent="0.3">
      <c r="A30" s="107"/>
      <c r="B30" s="147"/>
      <c r="E30" s="90"/>
      <c r="F30" s="127"/>
      <c r="G30" s="113"/>
      <c r="H30" s="120"/>
      <c r="I30" s="120"/>
      <c r="J30" s="120"/>
      <c r="K30" s="121"/>
      <c r="M30" s="113"/>
      <c r="N30" s="120"/>
      <c r="O30" s="120"/>
      <c r="P30" s="120"/>
      <c r="Q30" s="121"/>
      <c r="S30" s="113"/>
      <c r="T30" s="120"/>
      <c r="U30" s="120"/>
      <c r="V30" s="120"/>
      <c r="W30" s="121"/>
      <c r="Y30" s="113"/>
      <c r="Z30" s="120"/>
      <c r="AA30" s="120"/>
      <c r="AB30" s="120"/>
      <c r="AC30" s="121"/>
      <c r="AE30" s="113"/>
      <c r="AF30" s="120"/>
      <c r="AG30" s="120"/>
      <c r="AH30" s="120"/>
      <c r="AI30" s="121"/>
      <c r="AK30" s="113"/>
      <c r="AL30" s="120"/>
      <c r="AM30" s="120"/>
      <c r="AN30" s="120"/>
      <c r="AO30" s="121"/>
      <c r="AQ30" s="113"/>
      <c r="AR30" s="120"/>
      <c r="AS30" s="120"/>
      <c r="AT30" s="120"/>
      <c r="AU30" s="121"/>
      <c r="AW30" s="113"/>
      <c r="AX30" s="120"/>
      <c r="AY30" s="120"/>
      <c r="AZ30" s="120"/>
      <c r="BA30" s="121"/>
      <c r="BC30" s="113"/>
      <c r="BD30" s="120"/>
      <c r="BE30" s="120"/>
      <c r="BF30" s="120"/>
      <c r="BG30" s="121"/>
      <c r="BI30" s="113"/>
      <c r="BJ30" s="120"/>
      <c r="BK30" s="120"/>
      <c r="BL30" s="120"/>
      <c r="BM30" s="121"/>
      <c r="BO30" s="113"/>
      <c r="BP30" s="120"/>
      <c r="BQ30" s="120"/>
      <c r="BR30" s="120"/>
      <c r="BS30" s="121"/>
      <c r="BU30" s="113"/>
      <c r="BV30" s="120"/>
      <c r="BW30" s="120"/>
      <c r="BX30" s="120"/>
      <c r="BY30" s="121"/>
    </row>
    <row r="31" spans="1:79" x14ac:dyDescent="0.3">
      <c r="A31" s="107"/>
      <c r="B31" s="147"/>
      <c r="D31" s="135"/>
      <c r="E31" s="136" t="s">
        <v>103</v>
      </c>
      <c r="F31" s="137" t="s">
        <v>225</v>
      </c>
      <c r="G31" s="138"/>
      <c r="H31" s="19"/>
      <c r="I31" s="19">
        <f xml:space="preserve"> SUMPRODUCT(G14:K14, G29:K29)</f>
        <v>74013.936671460557</v>
      </c>
      <c r="J31" s="19"/>
      <c r="K31" s="20"/>
      <c r="L31" s="141"/>
      <c r="M31" s="138"/>
      <c r="N31" s="19"/>
      <c r="O31" s="19">
        <f xml:space="preserve"> SUMPRODUCT(M14:Q14, M29:Q29)</f>
        <v>79571.660903548443</v>
      </c>
      <c r="P31" s="19"/>
      <c r="Q31" s="20"/>
      <c r="R31" s="141"/>
      <c r="S31" s="138"/>
      <c r="T31" s="19"/>
      <c r="U31" s="19">
        <f xml:space="preserve"> SUMPRODUCT(S14:W14, S29:W29)</f>
        <v>71116.211076415493</v>
      </c>
      <c r="V31" s="19"/>
      <c r="W31" s="20"/>
      <c r="X31" s="141"/>
      <c r="Y31" s="138"/>
      <c r="Z31" s="19"/>
      <c r="AA31" s="19">
        <f xml:space="preserve"> SUMPRODUCT(Y14:AC14, Y29:AC29)</f>
        <v>73864.627295709273</v>
      </c>
      <c r="AB31" s="19"/>
      <c r="AC31" s="20"/>
      <c r="AD31" s="141"/>
      <c r="AE31" s="138"/>
      <c r="AF31" s="19"/>
      <c r="AG31" s="19">
        <f xml:space="preserve"> SUMPRODUCT(AE14:AI14, AE29:AI29)</f>
        <v>74013.936671460557</v>
      </c>
      <c r="AH31" s="19"/>
      <c r="AI31" s="20"/>
      <c r="AJ31" s="141"/>
      <c r="AK31" s="138"/>
      <c r="AL31" s="19"/>
      <c r="AM31" s="19">
        <f xml:space="preserve"> SUMPRODUCT(AK14:AO14, AK29:AO29)</f>
        <v>79571.660903548443</v>
      </c>
      <c r="AN31" s="19"/>
      <c r="AO31" s="20"/>
      <c r="AP31" s="141"/>
      <c r="AQ31" s="138"/>
      <c r="AR31" s="19"/>
      <c r="AS31" s="19">
        <f xml:space="preserve"> SUMPRODUCT(AQ14:AU14, AQ29:AU29)</f>
        <v>71116.211076415493</v>
      </c>
      <c r="AT31" s="19"/>
      <c r="AU31" s="20"/>
      <c r="AV31" s="141"/>
      <c r="AW31" s="138"/>
      <c r="AX31" s="19"/>
      <c r="AY31" s="19">
        <f xml:space="preserve"> SUMPRODUCT(AW14:BA14, AW29:BA29)</f>
        <v>73864.627295709273</v>
      </c>
      <c r="AZ31" s="19"/>
      <c r="BA31" s="20"/>
      <c r="BB31" s="141"/>
      <c r="BC31" s="138"/>
      <c r="BD31" s="19"/>
      <c r="BE31" s="19">
        <f xml:space="preserve"> SUMPRODUCT(BC14:BG14, BC29:BG29)</f>
        <v>74013.936671460557</v>
      </c>
      <c r="BF31" s="19"/>
      <c r="BG31" s="20"/>
      <c r="BH31" s="141"/>
      <c r="BI31" s="138"/>
      <c r="BJ31" s="19"/>
      <c r="BK31" s="19">
        <f xml:space="preserve"> SUMPRODUCT(BI14:BM14, BI29:BM29)</f>
        <v>79571.660903548443</v>
      </c>
      <c r="BL31" s="19"/>
      <c r="BM31" s="20"/>
      <c r="BN31" s="141"/>
      <c r="BO31" s="138"/>
      <c r="BP31" s="19"/>
      <c r="BQ31" s="19">
        <f xml:space="preserve"> SUMPRODUCT(BO14:BS14, BO29:BS29)</f>
        <v>71116.211076415493</v>
      </c>
      <c r="BR31" s="19"/>
      <c r="BS31" s="20"/>
      <c r="BT31" s="141"/>
      <c r="BU31" s="138"/>
      <c r="BV31" s="19"/>
      <c r="BW31" s="19">
        <f xml:space="preserve"> SUMPRODUCT(BU14:BY14, BU29:BY29)</f>
        <v>73864.627295709273</v>
      </c>
      <c r="BX31" s="19"/>
      <c r="BY31" s="20"/>
      <c r="BZ31" s="107"/>
      <c r="CA31" s="108"/>
    </row>
    <row r="32" spans="1:79" x14ac:dyDescent="0.3">
      <c r="A32" s="108"/>
      <c r="B32" s="148"/>
      <c r="C32" s="149"/>
      <c r="D32" s="101"/>
      <c r="E32" s="96"/>
      <c r="F32" s="145"/>
      <c r="G32" s="115"/>
      <c r="H32" s="13"/>
      <c r="I32" s="13"/>
      <c r="J32" s="13"/>
      <c r="K32" s="125"/>
      <c r="L32" s="101"/>
      <c r="M32" s="115"/>
      <c r="N32" s="13"/>
      <c r="O32" s="13"/>
      <c r="P32" s="13"/>
      <c r="Q32" s="125"/>
      <c r="R32" s="101"/>
      <c r="S32" s="115"/>
      <c r="T32" s="13"/>
      <c r="U32" s="13"/>
      <c r="V32" s="13"/>
      <c r="W32" s="125"/>
      <c r="X32" s="101"/>
      <c r="Y32" s="115"/>
      <c r="Z32" s="13"/>
      <c r="AA32" s="13"/>
      <c r="AB32" s="13"/>
      <c r="AC32" s="125"/>
      <c r="AD32" s="101"/>
      <c r="AE32" s="115"/>
      <c r="AF32" s="13"/>
      <c r="AG32" s="13"/>
      <c r="AH32" s="13"/>
      <c r="AI32" s="125"/>
      <c r="AJ32" s="101"/>
      <c r="AK32" s="115"/>
      <c r="AL32" s="13"/>
      <c r="AM32" s="13"/>
      <c r="AN32" s="13"/>
      <c r="AO32" s="125"/>
      <c r="AP32" s="101"/>
      <c r="AQ32" s="115"/>
      <c r="AR32" s="13"/>
      <c r="AS32" s="13"/>
      <c r="AT32" s="13"/>
      <c r="AU32" s="125"/>
      <c r="AV32" s="101"/>
      <c r="AW32" s="115"/>
      <c r="AX32" s="13"/>
      <c r="AY32" s="13"/>
      <c r="AZ32" s="13"/>
      <c r="BA32" s="125"/>
      <c r="BB32" s="101"/>
      <c r="BC32" s="115"/>
      <c r="BD32" s="13"/>
      <c r="BE32" s="13"/>
      <c r="BF32" s="13"/>
      <c r="BG32" s="125"/>
      <c r="BH32" s="101"/>
      <c r="BI32" s="115"/>
      <c r="BJ32" s="13"/>
      <c r="BK32" s="13"/>
      <c r="BL32" s="13"/>
      <c r="BM32" s="125"/>
      <c r="BN32" s="101"/>
      <c r="BO32" s="115"/>
      <c r="BP32" s="13"/>
      <c r="BQ32" s="13"/>
      <c r="BR32" s="13"/>
      <c r="BS32" s="125"/>
      <c r="BT32" s="101"/>
      <c r="BU32" s="115"/>
      <c r="BV32" s="13"/>
      <c r="BW32" s="13"/>
      <c r="BX32" s="13"/>
      <c r="BY32" s="125"/>
      <c r="BZ32" s="101"/>
      <c r="CA32" s="191"/>
    </row>
    <row r="33" spans="1:79" x14ac:dyDescent="0.3">
      <c r="A33" s="108"/>
      <c r="B33" s="148"/>
      <c r="C33" s="149"/>
      <c r="D33" s="110" t="s">
        <v>51</v>
      </c>
      <c r="E33" s="96"/>
      <c r="F33" s="145"/>
      <c r="G33" s="115"/>
      <c r="H33" s="13"/>
      <c r="I33" s="13"/>
      <c r="J33" s="13"/>
      <c r="K33" s="125"/>
      <c r="L33" s="101"/>
      <c r="M33" s="115"/>
      <c r="N33" s="13"/>
      <c r="O33" s="13"/>
      <c r="P33" s="13"/>
      <c r="Q33" s="125"/>
      <c r="R33" s="101"/>
      <c r="S33" s="115"/>
      <c r="T33" s="13"/>
      <c r="U33" s="13"/>
      <c r="V33" s="13"/>
      <c r="W33" s="125"/>
      <c r="X33" s="101"/>
      <c r="Y33" s="115"/>
      <c r="Z33" s="13"/>
      <c r="AA33" s="13"/>
      <c r="AB33" s="13"/>
      <c r="AC33" s="125"/>
      <c r="AD33" s="101"/>
      <c r="AE33" s="115"/>
      <c r="AF33" s="13"/>
      <c r="AG33" s="13"/>
      <c r="AH33" s="13"/>
      <c r="AI33" s="125"/>
      <c r="AJ33" s="101"/>
      <c r="AK33" s="115"/>
      <c r="AL33" s="13"/>
      <c r="AM33" s="13"/>
      <c r="AN33" s="13"/>
      <c r="AO33" s="125"/>
      <c r="AP33" s="101"/>
      <c r="AQ33" s="115"/>
      <c r="AR33" s="13"/>
      <c r="AS33" s="13"/>
      <c r="AT33" s="13"/>
      <c r="AU33" s="125"/>
      <c r="AV33" s="101"/>
      <c r="AW33" s="115"/>
      <c r="AX33" s="13"/>
      <c r="AY33" s="13"/>
      <c r="AZ33" s="13"/>
      <c r="BA33" s="125"/>
      <c r="BB33" s="101"/>
      <c r="BC33" s="115"/>
      <c r="BD33" s="13"/>
      <c r="BE33" s="13"/>
      <c r="BF33" s="13"/>
      <c r="BG33" s="125"/>
      <c r="BH33" s="101"/>
      <c r="BI33" s="115"/>
      <c r="BJ33" s="13"/>
      <c r="BK33" s="13"/>
      <c r="BL33" s="13"/>
      <c r="BM33" s="125"/>
      <c r="BN33" s="101"/>
      <c r="BO33" s="115"/>
      <c r="BP33" s="13"/>
      <c r="BQ33" s="13"/>
      <c r="BR33" s="13"/>
      <c r="BS33" s="125"/>
      <c r="BT33" s="101"/>
      <c r="BU33" s="115"/>
      <c r="BV33" s="13"/>
      <c r="BW33" s="13"/>
      <c r="BX33" s="13"/>
      <c r="BY33" s="125"/>
      <c r="BZ33" s="101"/>
      <c r="CA33" s="101"/>
    </row>
    <row r="34" spans="1:79" x14ac:dyDescent="0.3">
      <c r="A34" s="107"/>
      <c r="B34" s="147"/>
      <c r="E34" s="91" t="s">
        <v>3</v>
      </c>
      <c r="F34" s="91" t="s">
        <v>45</v>
      </c>
      <c r="G34" s="124">
        <v>1878</v>
      </c>
      <c r="H34" s="132">
        <v>1878</v>
      </c>
      <c r="I34" s="132">
        <v>1878</v>
      </c>
      <c r="J34" s="132">
        <v>1878</v>
      </c>
      <c r="K34" s="133">
        <v>1878</v>
      </c>
      <c r="M34" s="124">
        <v>1878</v>
      </c>
      <c r="N34" s="132">
        <v>1878</v>
      </c>
      <c r="O34" s="132">
        <v>1878</v>
      </c>
      <c r="P34" s="132">
        <v>1878</v>
      </c>
      <c r="Q34" s="133">
        <v>1878</v>
      </c>
      <c r="S34" s="124">
        <v>1878</v>
      </c>
      <c r="T34" s="132">
        <v>1878</v>
      </c>
      <c r="U34" s="132">
        <v>1878</v>
      </c>
      <c r="V34" s="132">
        <v>1878</v>
      </c>
      <c r="W34" s="133">
        <v>1878</v>
      </c>
      <c r="Y34" s="124">
        <v>1878</v>
      </c>
      <c r="Z34" s="132">
        <v>1878</v>
      </c>
      <c r="AA34" s="132">
        <v>1878</v>
      </c>
      <c r="AB34" s="132">
        <v>1878</v>
      </c>
      <c r="AC34" s="133">
        <v>1878</v>
      </c>
      <c r="AE34" s="124">
        <v>1878</v>
      </c>
      <c r="AF34" s="132">
        <v>1878</v>
      </c>
      <c r="AG34" s="132">
        <v>1878</v>
      </c>
      <c r="AH34" s="132">
        <v>1878</v>
      </c>
      <c r="AI34" s="133">
        <v>1878</v>
      </c>
      <c r="AK34" s="124">
        <v>1878</v>
      </c>
      <c r="AL34" s="132">
        <v>1878</v>
      </c>
      <c r="AM34" s="132">
        <v>1878</v>
      </c>
      <c r="AN34" s="132">
        <v>1878</v>
      </c>
      <c r="AO34" s="133">
        <v>1878</v>
      </c>
      <c r="AQ34" s="124">
        <v>1878</v>
      </c>
      <c r="AR34" s="132">
        <v>1878</v>
      </c>
      <c r="AS34" s="132">
        <v>1878</v>
      </c>
      <c r="AT34" s="132">
        <v>1878</v>
      </c>
      <c r="AU34" s="133">
        <v>1878</v>
      </c>
      <c r="AW34" s="124">
        <v>1878</v>
      </c>
      <c r="AX34" s="132">
        <v>1878</v>
      </c>
      <c r="AY34" s="132">
        <v>1878</v>
      </c>
      <c r="AZ34" s="132">
        <v>1878</v>
      </c>
      <c r="BA34" s="133">
        <v>1878</v>
      </c>
      <c r="BC34" s="124">
        <v>1878</v>
      </c>
      <c r="BD34" s="132">
        <v>1878</v>
      </c>
      <c r="BE34" s="132">
        <v>1878</v>
      </c>
      <c r="BF34" s="132">
        <v>1878</v>
      </c>
      <c r="BG34" s="133">
        <v>1878</v>
      </c>
      <c r="BI34" s="124">
        <v>1878</v>
      </c>
      <c r="BJ34" s="132">
        <v>1878</v>
      </c>
      <c r="BK34" s="132">
        <v>1878</v>
      </c>
      <c r="BL34" s="132">
        <v>1878</v>
      </c>
      <c r="BM34" s="133">
        <v>1878</v>
      </c>
      <c r="BO34" s="124">
        <v>1878</v>
      </c>
      <c r="BP34" s="132">
        <v>1878</v>
      </c>
      <c r="BQ34" s="132">
        <v>1878</v>
      </c>
      <c r="BR34" s="132">
        <v>1878</v>
      </c>
      <c r="BS34" s="133">
        <v>1878</v>
      </c>
      <c r="BU34" s="124">
        <v>1878</v>
      </c>
      <c r="BV34" s="132">
        <v>1878</v>
      </c>
      <c r="BW34" s="132">
        <v>1878</v>
      </c>
      <c r="BX34" s="132">
        <v>1878</v>
      </c>
      <c r="BY34" s="133">
        <v>1878</v>
      </c>
    </row>
    <row r="35" spans="1:79" x14ac:dyDescent="0.3">
      <c r="A35" s="107"/>
      <c r="B35" s="147"/>
      <c r="E35" s="91" t="s">
        <v>4</v>
      </c>
      <c r="F35" s="91" t="s">
        <v>45</v>
      </c>
      <c r="G35" s="286">
        <f xml:space="preserve"> 166 + 50 + 35</f>
        <v>251</v>
      </c>
      <c r="H35" s="319">
        <f xml:space="preserve"> 166 + 50 + 35</f>
        <v>251</v>
      </c>
      <c r="I35" s="319">
        <f xml:space="preserve"> 166 + 50 + 35</f>
        <v>251</v>
      </c>
      <c r="J35" s="122"/>
      <c r="K35" s="288"/>
      <c r="M35" s="286">
        <v>220</v>
      </c>
      <c r="N35" s="122">
        <v>220</v>
      </c>
      <c r="O35" s="122">
        <v>220</v>
      </c>
      <c r="P35" s="122"/>
      <c r="Q35" s="288"/>
      <c r="S35" s="286">
        <v>251</v>
      </c>
      <c r="T35" s="122">
        <v>251</v>
      </c>
      <c r="U35" s="122">
        <v>251</v>
      </c>
      <c r="V35" s="122"/>
      <c r="W35" s="123"/>
      <c r="Y35" s="286">
        <v>250</v>
      </c>
      <c r="Z35" s="122">
        <v>250</v>
      </c>
      <c r="AA35" s="122">
        <v>250</v>
      </c>
      <c r="AB35" s="122"/>
      <c r="AC35" s="123"/>
      <c r="AE35" s="286">
        <f xml:space="preserve"> 166 + 50 + 35</f>
        <v>251</v>
      </c>
      <c r="AF35" s="319">
        <f xml:space="preserve"> 166 + 50 + 35</f>
        <v>251</v>
      </c>
      <c r="AG35" s="319">
        <f xml:space="preserve"> 166 + 50 + 35</f>
        <v>251</v>
      </c>
      <c r="AH35" s="122"/>
      <c r="AI35" s="288"/>
      <c r="AK35" s="286">
        <v>220</v>
      </c>
      <c r="AL35" s="122">
        <v>220</v>
      </c>
      <c r="AM35" s="122">
        <v>220</v>
      </c>
      <c r="AN35" s="122"/>
      <c r="AO35" s="288"/>
      <c r="AQ35" s="286">
        <v>251</v>
      </c>
      <c r="AR35" s="122">
        <v>251</v>
      </c>
      <c r="AS35" s="122">
        <v>251</v>
      </c>
      <c r="AT35" s="122"/>
      <c r="AU35" s="123"/>
      <c r="AW35" s="286">
        <v>250</v>
      </c>
      <c r="AX35" s="122">
        <v>250</v>
      </c>
      <c r="AY35" s="122">
        <v>250</v>
      </c>
      <c r="AZ35" s="122"/>
      <c r="BA35" s="123"/>
      <c r="BC35" s="286">
        <f xml:space="preserve"> 166 + 50 + 35</f>
        <v>251</v>
      </c>
      <c r="BD35" s="319">
        <f xml:space="preserve"> 166 + 50 + 35</f>
        <v>251</v>
      </c>
      <c r="BE35" s="319">
        <f xml:space="preserve"> 166 + 50 + 35</f>
        <v>251</v>
      </c>
      <c r="BF35" s="122"/>
      <c r="BG35" s="288"/>
      <c r="BI35" s="286">
        <v>220</v>
      </c>
      <c r="BJ35" s="122">
        <v>220</v>
      </c>
      <c r="BK35" s="122">
        <v>220</v>
      </c>
      <c r="BL35" s="122"/>
      <c r="BM35" s="288"/>
      <c r="BO35" s="286">
        <v>251</v>
      </c>
      <c r="BP35" s="122">
        <v>251</v>
      </c>
      <c r="BQ35" s="122">
        <v>251</v>
      </c>
      <c r="BR35" s="122"/>
      <c r="BS35" s="123"/>
      <c r="BU35" s="286">
        <v>250</v>
      </c>
      <c r="BV35" s="122">
        <v>250</v>
      </c>
      <c r="BW35" s="122">
        <v>250</v>
      </c>
      <c r="BX35" s="122"/>
      <c r="BY35" s="123"/>
    </row>
    <row r="36" spans="1:79" x14ac:dyDescent="0.3">
      <c r="A36" s="107"/>
      <c r="B36" s="147"/>
      <c r="E36" s="91" t="s">
        <v>5</v>
      </c>
      <c r="F36" s="91" t="s">
        <v>45</v>
      </c>
      <c r="G36" s="114">
        <f xml:space="preserve"> 6.8%*G34</f>
        <v>127.70400000000001</v>
      </c>
      <c r="H36" s="122">
        <f t="shared" ref="H36:I36" si="42" xml:space="preserve"> 6.8%*H34</f>
        <v>127.70400000000001</v>
      </c>
      <c r="I36" s="122">
        <f t="shared" si="42"/>
        <v>127.70400000000001</v>
      </c>
      <c r="J36" s="122"/>
      <c r="K36" s="123"/>
      <c r="M36" s="114">
        <f xml:space="preserve"> 6.8%*M34</f>
        <v>127.70400000000001</v>
      </c>
      <c r="N36" s="122">
        <v>127.70400000000001</v>
      </c>
      <c r="O36" s="122">
        <v>127.70400000000001</v>
      </c>
      <c r="P36" s="122"/>
      <c r="Q36" s="123"/>
      <c r="S36" s="114">
        <f xml:space="preserve"> 6.8%*S34</f>
        <v>127.70400000000001</v>
      </c>
      <c r="T36" s="122">
        <f t="shared" ref="T36:U36" si="43" xml:space="preserve"> 6.8%*T34</f>
        <v>127.70400000000001</v>
      </c>
      <c r="U36" s="122">
        <f t="shared" si="43"/>
        <v>127.70400000000001</v>
      </c>
      <c r="V36" s="122"/>
      <c r="W36" s="123"/>
      <c r="Y36" s="114">
        <f xml:space="preserve"> 6.8%*Y34</f>
        <v>127.70400000000001</v>
      </c>
      <c r="Z36" s="122">
        <f t="shared" ref="Z36:AA36" si="44" xml:space="preserve"> 6.8%*Z34</f>
        <v>127.70400000000001</v>
      </c>
      <c r="AA36" s="122">
        <f t="shared" si="44"/>
        <v>127.70400000000001</v>
      </c>
      <c r="AB36" s="122"/>
      <c r="AC36" s="123"/>
      <c r="AE36" s="114">
        <f xml:space="preserve"> 6.8%*AE34</f>
        <v>127.70400000000001</v>
      </c>
      <c r="AF36" s="122">
        <f t="shared" ref="AF36:AG36" si="45" xml:space="preserve"> 6.8%*AF34</f>
        <v>127.70400000000001</v>
      </c>
      <c r="AG36" s="122">
        <f t="shared" si="45"/>
        <v>127.70400000000001</v>
      </c>
      <c r="AH36" s="122"/>
      <c r="AI36" s="123"/>
      <c r="AK36" s="114">
        <f xml:space="preserve"> 6.8%*AK34</f>
        <v>127.70400000000001</v>
      </c>
      <c r="AL36" s="122">
        <f t="shared" ref="AL36:AM36" si="46" xml:space="preserve"> 6.8%*AL34</f>
        <v>127.70400000000001</v>
      </c>
      <c r="AM36" s="122">
        <f t="shared" si="46"/>
        <v>127.70400000000001</v>
      </c>
      <c r="AN36" s="122"/>
      <c r="AO36" s="123"/>
      <c r="AQ36" s="114">
        <f xml:space="preserve"> 6.8%*AQ34</f>
        <v>127.70400000000001</v>
      </c>
      <c r="AR36" s="122">
        <f t="shared" ref="AR36:AS36" si="47" xml:space="preserve"> 6.8%*AR34</f>
        <v>127.70400000000001</v>
      </c>
      <c r="AS36" s="122">
        <f t="shared" si="47"/>
        <v>127.70400000000001</v>
      </c>
      <c r="AT36" s="122"/>
      <c r="AU36" s="123"/>
      <c r="AW36" s="114">
        <f xml:space="preserve"> 6.8%*AW34</f>
        <v>127.70400000000001</v>
      </c>
      <c r="AX36" s="122">
        <f t="shared" ref="AX36:AY36" si="48" xml:space="preserve"> 6.8%*AX34</f>
        <v>127.70400000000001</v>
      </c>
      <c r="AY36" s="122">
        <f t="shared" si="48"/>
        <v>127.70400000000001</v>
      </c>
      <c r="AZ36" s="122"/>
      <c r="BA36" s="123"/>
      <c r="BC36" s="114">
        <f xml:space="preserve"> 6.8%*BC34</f>
        <v>127.70400000000001</v>
      </c>
      <c r="BD36" s="122">
        <f t="shared" ref="BD36:BE36" si="49" xml:space="preserve"> 6.8%*BD34</f>
        <v>127.70400000000001</v>
      </c>
      <c r="BE36" s="122">
        <f t="shared" si="49"/>
        <v>127.70400000000001</v>
      </c>
      <c r="BF36" s="122"/>
      <c r="BG36" s="123"/>
      <c r="BI36" s="114">
        <f xml:space="preserve"> 6.8%*BI34</f>
        <v>127.70400000000001</v>
      </c>
      <c r="BJ36" s="122">
        <f t="shared" ref="BJ36:BK36" si="50" xml:space="preserve"> 6.8%*BJ34</f>
        <v>127.70400000000001</v>
      </c>
      <c r="BK36" s="122">
        <f t="shared" si="50"/>
        <v>127.70400000000001</v>
      </c>
      <c r="BL36" s="122"/>
      <c r="BM36" s="123"/>
      <c r="BO36" s="114">
        <f xml:space="preserve"> 6.8%*BO34</f>
        <v>127.70400000000001</v>
      </c>
      <c r="BP36" s="122">
        <f t="shared" ref="BP36:BQ36" si="51" xml:space="preserve"> 6.8%*BP34</f>
        <v>127.70400000000001</v>
      </c>
      <c r="BQ36" s="122">
        <f t="shared" si="51"/>
        <v>127.70400000000001</v>
      </c>
      <c r="BR36" s="122"/>
      <c r="BS36" s="123"/>
      <c r="BU36" s="114">
        <f xml:space="preserve"> 6.8%*BU34</f>
        <v>127.70400000000001</v>
      </c>
      <c r="BV36" s="122">
        <f t="shared" ref="BV36:BW36" si="52" xml:space="preserve"> 6.8%*BV34</f>
        <v>127.70400000000001</v>
      </c>
      <c r="BW36" s="122">
        <f t="shared" si="52"/>
        <v>127.70400000000001</v>
      </c>
      <c r="BX36" s="122"/>
      <c r="BY36" s="123"/>
    </row>
    <row r="37" spans="1:79" x14ac:dyDescent="0.3">
      <c r="A37" s="107"/>
      <c r="B37" s="147"/>
      <c r="E37" s="91" t="s">
        <v>35</v>
      </c>
      <c r="F37" s="91" t="s">
        <v>45</v>
      </c>
      <c r="G37" s="114">
        <v>78</v>
      </c>
      <c r="H37" s="122">
        <v>78</v>
      </c>
      <c r="I37" s="122">
        <v>78</v>
      </c>
      <c r="J37" s="122"/>
      <c r="K37" s="123"/>
      <c r="M37" s="114">
        <v>78</v>
      </c>
      <c r="N37" s="122">
        <v>78</v>
      </c>
      <c r="O37" s="122">
        <v>78</v>
      </c>
      <c r="P37" s="122"/>
      <c r="Q37" s="123"/>
      <c r="S37" s="114">
        <v>78</v>
      </c>
      <c r="T37" s="122">
        <v>78</v>
      </c>
      <c r="U37" s="122">
        <v>78</v>
      </c>
      <c r="V37" s="122"/>
      <c r="W37" s="123"/>
      <c r="Y37" s="114">
        <v>78</v>
      </c>
      <c r="Z37" s="122">
        <v>78</v>
      </c>
      <c r="AA37" s="122">
        <v>78</v>
      </c>
      <c r="AB37" s="122"/>
      <c r="AC37" s="123"/>
      <c r="AE37" s="114">
        <v>78</v>
      </c>
      <c r="AF37" s="122">
        <v>78</v>
      </c>
      <c r="AG37" s="122">
        <v>78</v>
      </c>
      <c r="AH37" s="122"/>
      <c r="AI37" s="123"/>
      <c r="AK37" s="114">
        <v>78</v>
      </c>
      <c r="AL37" s="122">
        <v>78</v>
      </c>
      <c r="AM37" s="122">
        <v>78</v>
      </c>
      <c r="AN37" s="122"/>
      <c r="AO37" s="123"/>
      <c r="AQ37" s="114">
        <v>78</v>
      </c>
      <c r="AR37" s="122">
        <v>78</v>
      </c>
      <c r="AS37" s="122">
        <v>78</v>
      </c>
      <c r="AT37" s="122"/>
      <c r="AU37" s="123"/>
      <c r="AW37" s="114">
        <v>78</v>
      </c>
      <c r="AX37" s="122">
        <v>78</v>
      </c>
      <c r="AY37" s="122">
        <v>78</v>
      </c>
      <c r="AZ37" s="122"/>
      <c r="BA37" s="123"/>
      <c r="BC37" s="114">
        <v>78</v>
      </c>
      <c r="BD37" s="122">
        <v>78</v>
      </c>
      <c r="BE37" s="122">
        <v>78</v>
      </c>
      <c r="BF37" s="122"/>
      <c r="BG37" s="123"/>
      <c r="BI37" s="114">
        <v>78</v>
      </c>
      <c r="BJ37" s="122">
        <v>78</v>
      </c>
      <c r="BK37" s="122">
        <v>78</v>
      </c>
      <c r="BL37" s="122"/>
      <c r="BM37" s="123"/>
      <c r="BO37" s="114">
        <v>78</v>
      </c>
      <c r="BP37" s="122">
        <v>78</v>
      </c>
      <c r="BQ37" s="122">
        <v>78</v>
      </c>
      <c r="BR37" s="122"/>
      <c r="BS37" s="123"/>
      <c r="BU37" s="114">
        <v>78</v>
      </c>
      <c r="BV37" s="122">
        <v>78</v>
      </c>
      <c r="BW37" s="122">
        <v>78</v>
      </c>
      <c r="BX37" s="122"/>
      <c r="BY37" s="123"/>
    </row>
    <row r="38" spans="1:79" x14ac:dyDescent="0.3">
      <c r="A38" s="107"/>
      <c r="B38" s="147"/>
      <c r="E38" s="91" t="s">
        <v>36</v>
      </c>
      <c r="F38" s="91" t="s">
        <v>45</v>
      </c>
      <c r="G38" s="114">
        <v>63</v>
      </c>
      <c r="H38" s="122">
        <v>63</v>
      </c>
      <c r="I38" s="122">
        <v>63</v>
      </c>
      <c r="J38" s="122"/>
      <c r="K38" s="123"/>
      <c r="M38" s="114">
        <v>63</v>
      </c>
      <c r="N38" s="122">
        <v>63</v>
      </c>
      <c r="O38" s="122">
        <v>63</v>
      </c>
      <c r="P38" s="122"/>
      <c r="Q38" s="123"/>
      <c r="S38" s="114">
        <v>63</v>
      </c>
      <c r="T38" s="122">
        <v>63</v>
      </c>
      <c r="U38" s="122">
        <v>63</v>
      </c>
      <c r="V38" s="122"/>
      <c r="W38" s="123"/>
      <c r="Y38" s="114">
        <v>63</v>
      </c>
      <c r="Z38" s="122">
        <v>63</v>
      </c>
      <c r="AA38" s="122">
        <v>63</v>
      </c>
      <c r="AB38" s="122"/>
      <c r="AC38" s="123"/>
      <c r="AE38" s="114">
        <v>63</v>
      </c>
      <c r="AF38" s="122">
        <v>63</v>
      </c>
      <c r="AG38" s="122">
        <v>63</v>
      </c>
      <c r="AH38" s="122"/>
      <c r="AI38" s="123"/>
      <c r="AK38" s="114">
        <v>63</v>
      </c>
      <c r="AL38" s="122">
        <v>63</v>
      </c>
      <c r="AM38" s="122">
        <v>63</v>
      </c>
      <c r="AN38" s="122"/>
      <c r="AO38" s="123"/>
      <c r="AQ38" s="114">
        <v>63</v>
      </c>
      <c r="AR38" s="122">
        <v>63</v>
      </c>
      <c r="AS38" s="122">
        <v>63</v>
      </c>
      <c r="AT38" s="122"/>
      <c r="AU38" s="123"/>
      <c r="AW38" s="114">
        <v>63</v>
      </c>
      <c r="AX38" s="122">
        <v>63</v>
      </c>
      <c r="AY38" s="122">
        <v>63</v>
      </c>
      <c r="AZ38" s="122"/>
      <c r="BA38" s="123"/>
      <c r="BC38" s="114">
        <v>63</v>
      </c>
      <c r="BD38" s="122">
        <v>63</v>
      </c>
      <c r="BE38" s="122">
        <v>63</v>
      </c>
      <c r="BF38" s="122"/>
      <c r="BG38" s="123"/>
      <c r="BI38" s="114">
        <v>63</v>
      </c>
      <c r="BJ38" s="122">
        <v>63</v>
      </c>
      <c r="BK38" s="122">
        <v>63</v>
      </c>
      <c r="BL38" s="122"/>
      <c r="BM38" s="123"/>
      <c r="BO38" s="114">
        <v>63</v>
      </c>
      <c r="BP38" s="122">
        <v>63</v>
      </c>
      <c r="BQ38" s="122">
        <v>63</v>
      </c>
      <c r="BR38" s="122"/>
      <c r="BS38" s="123"/>
      <c r="BU38" s="114">
        <v>63</v>
      </c>
      <c r="BV38" s="122">
        <v>63</v>
      </c>
      <c r="BW38" s="122">
        <v>63</v>
      </c>
      <c r="BX38" s="122"/>
      <c r="BY38" s="123"/>
    </row>
    <row r="39" spans="1:79" x14ac:dyDescent="0.3">
      <c r="A39" s="107"/>
      <c r="B39" s="147"/>
      <c r="E39" s="91" t="s">
        <v>65</v>
      </c>
      <c r="F39" s="91" t="s">
        <v>45</v>
      </c>
      <c r="G39" s="114">
        <v>0</v>
      </c>
      <c r="H39" s="122">
        <v>0</v>
      </c>
      <c r="I39" s="122">
        <v>0</v>
      </c>
      <c r="J39" s="122"/>
      <c r="K39" s="123"/>
      <c r="M39" s="114">
        <v>0</v>
      </c>
      <c r="N39" s="122">
        <v>0</v>
      </c>
      <c r="O39" s="122">
        <v>0</v>
      </c>
      <c r="P39" s="122"/>
      <c r="Q39" s="123"/>
      <c r="S39" s="114">
        <v>0</v>
      </c>
      <c r="T39" s="122">
        <v>0</v>
      </c>
      <c r="U39" s="122">
        <v>0</v>
      </c>
      <c r="V39" s="122"/>
      <c r="W39" s="123"/>
      <c r="Y39" s="114">
        <v>0</v>
      </c>
      <c r="Z39" s="122">
        <v>0</v>
      </c>
      <c r="AA39" s="122">
        <v>0</v>
      </c>
      <c r="AB39" s="122"/>
      <c r="AC39" s="123"/>
      <c r="AE39" s="114">
        <v>0</v>
      </c>
      <c r="AF39" s="122">
        <v>0</v>
      </c>
      <c r="AG39" s="122">
        <v>0</v>
      </c>
      <c r="AH39" s="122"/>
      <c r="AI39" s="123"/>
      <c r="AK39" s="114">
        <v>0</v>
      </c>
      <c r="AL39" s="122">
        <v>0</v>
      </c>
      <c r="AM39" s="122">
        <v>0</v>
      </c>
      <c r="AN39" s="122"/>
      <c r="AO39" s="123"/>
      <c r="AQ39" s="114">
        <v>0</v>
      </c>
      <c r="AR39" s="122">
        <v>0</v>
      </c>
      <c r="AS39" s="122">
        <v>0</v>
      </c>
      <c r="AT39" s="122"/>
      <c r="AU39" s="123"/>
      <c r="AW39" s="114">
        <v>0</v>
      </c>
      <c r="AX39" s="122">
        <v>0</v>
      </c>
      <c r="AY39" s="122">
        <v>0</v>
      </c>
      <c r="AZ39" s="122"/>
      <c r="BA39" s="123"/>
      <c r="BC39" s="114">
        <v>0</v>
      </c>
      <c r="BD39" s="122">
        <v>0</v>
      </c>
      <c r="BE39" s="122">
        <v>0</v>
      </c>
      <c r="BF39" s="122"/>
      <c r="BG39" s="123"/>
      <c r="BI39" s="114">
        <v>0</v>
      </c>
      <c r="BJ39" s="122">
        <v>0</v>
      </c>
      <c r="BK39" s="122">
        <v>0</v>
      </c>
      <c r="BL39" s="122"/>
      <c r="BM39" s="123"/>
      <c r="BO39" s="114">
        <v>0</v>
      </c>
      <c r="BP39" s="122">
        <v>0</v>
      </c>
      <c r="BQ39" s="122">
        <v>0</v>
      </c>
      <c r="BR39" s="122"/>
      <c r="BS39" s="123"/>
      <c r="BU39" s="114">
        <v>0</v>
      </c>
      <c r="BV39" s="122">
        <v>0</v>
      </c>
      <c r="BW39" s="122">
        <v>0</v>
      </c>
      <c r="BX39" s="122"/>
      <c r="BY39" s="123"/>
    </row>
    <row r="40" spans="1:79" x14ac:dyDescent="0.3">
      <c r="A40" s="107"/>
      <c r="B40" s="147"/>
      <c r="E40" s="150" t="s">
        <v>72</v>
      </c>
      <c r="F40" s="150" t="s">
        <v>45</v>
      </c>
      <c r="G40" s="151">
        <f xml:space="preserve"> G34 - SUM( G35:G39 )</f>
        <v>1358.296</v>
      </c>
      <c r="H40" s="152">
        <f xml:space="preserve"> H34 - SUM( H35:H39 )</f>
        <v>1358.296</v>
      </c>
      <c r="I40" s="152">
        <f xml:space="preserve"> I34 - SUM( I35:I39 )</f>
        <v>1358.296</v>
      </c>
      <c r="J40" s="152">
        <f xml:space="preserve"> J34 - SUM( J35:J39 )</f>
        <v>1878</v>
      </c>
      <c r="K40" s="153">
        <f xml:space="preserve"> K34 - SUM( K35:K39 )</f>
        <v>1878</v>
      </c>
      <c r="M40" s="151">
        <f xml:space="preserve"> M34 - SUM( M35:M39 )</f>
        <v>1389.296</v>
      </c>
      <c r="N40" s="152">
        <f xml:space="preserve"> N34 - SUM( N35:N39 )</f>
        <v>1389.296</v>
      </c>
      <c r="O40" s="152">
        <f t="shared" ref="O40:P40" si="53" xml:space="preserve"> O34 - SUM( O35:O39 )</f>
        <v>1389.296</v>
      </c>
      <c r="P40" s="152">
        <f t="shared" si="53"/>
        <v>1878</v>
      </c>
      <c r="Q40" s="153">
        <f xml:space="preserve"> Q34 - SUM( Q35:Q39 )</f>
        <v>1878</v>
      </c>
      <c r="S40" s="151">
        <f xml:space="preserve"> S34 - SUM( S35:S39 )</f>
        <v>1358.296</v>
      </c>
      <c r="T40" s="152">
        <f t="shared" ref="T40:U40" si="54" xml:space="preserve"> T34 - SUM( T35:T39 )</f>
        <v>1358.296</v>
      </c>
      <c r="U40" s="152">
        <f t="shared" si="54"/>
        <v>1358.296</v>
      </c>
      <c r="V40" s="152">
        <f xml:space="preserve"> V34 - SUM( V35:V39 )</f>
        <v>1878</v>
      </c>
      <c r="W40" s="153">
        <f xml:space="preserve"> W34 - SUM( W35:W39 )</f>
        <v>1878</v>
      </c>
      <c r="Y40" s="151">
        <f xml:space="preserve"> Y34 - SUM( Y35:Y39 )</f>
        <v>1359.296</v>
      </c>
      <c r="Z40" s="152">
        <f t="shared" ref="Z40:AA40" si="55" xml:space="preserve"> Z34 - SUM( Z35:Z39 )</f>
        <v>1359.296</v>
      </c>
      <c r="AA40" s="152">
        <f t="shared" si="55"/>
        <v>1359.296</v>
      </c>
      <c r="AB40" s="152">
        <f xml:space="preserve"> AB34 - SUM( AB35:AB39 )</f>
        <v>1878</v>
      </c>
      <c r="AC40" s="153">
        <f xml:space="preserve"> AC34 - SUM( AC35:AC39 )</f>
        <v>1878</v>
      </c>
      <c r="AE40" s="151">
        <f xml:space="preserve"> AE34 - SUM( AE35:AE39 )</f>
        <v>1358.296</v>
      </c>
      <c r="AF40" s="152">
        <f t="shared" ref="AF40:AG40" si="56" xml:space="preserve"> AF34 - SUM( AF35:AF39 )</f>
        <v>1358.296</v>
      </c>
      <c r="AG40" s="152">
        <f t="shared" si="56"/>
        <v>1358.296</v>
      </c>
      <c r="AH40" s="152">
        <f xml:space="preserve"> AH34 - SUM( AH35:AH39 )</f>
        <v>1878</v>
      </c>
      <c r="AI40" s="153">
        <f xml:space="preserve"> AI34 - SUM( AI35:AI39 )</f>
        <v>1878</v>
      </c>
      <c r="AK40" s="151">
        <f xml:space="preserve"> AK34 - SUM( AK35:AK39 )</f>
        <v>1389.296</v>
      </c>
      <c r="AL40" s="152">
        <f t="shared" ref="AL40:AM40" si="57" xml:space="preserve"> AL34 - SUM( AL35:AL39 )</f>
        <v>1389.296</v>
      </c>
      <c r="AM40" s="152">
        <f t="shared" si="57"/>
        <v>1389.296</v>
      </c>
      <c r="AN40" s="152">
        <f xml:space="preserve"> AN34 - SUM( AN35:AN39 )</f>
        <v>1878</v>
      </c>
      <c r="AO40" s="153">
        <f xml:space="preserve"> AO34 - SUM( AO35:AO39 )</f>
        <v>1878</v>
      </c>
      <c r="AQ40" s="151">
        <f xml:space="preserve"> AQ34 - SUM( AQ35:AQ39 )</f>
        <v>1358.296</v>
      </c>
      <c r="AR40" s="152">
        <f t="shared" ref="AR40:AS40" si="58" xml:space="preserve"> AR34 - SUM( AR35:AR39 )</f>
        <v>1358.296</v>
      </c>
      <c r="AS40" s="152">
        <f t="shared" si="58"/>
        <v>1358.296</v>
      </c>
      <c r="AT40" s="152">
        <f xml:space="preserve"> AT34 - SUM( AT35:AT39 )</f>
        <v>1878</v>
      </c>
      <c r="AU40" s="153">
        <f xml:space="preserve"> AU34 - SUM( AU35:AU39 )</f>
        <v>1878</v>
      </c>
      <c r="AW40" s="151">
        <f xml:space="preserve"> AW34 - SUM( AW35:AW39 )</f>
        <v>1359.296</v>
      </c>
      <c r="AX40" s="152">
        <f t="shared" ref="AX40:AY40" si="59" xml:space="preserve"> AX34 - SUM( AX35:AX39 )</f>
        <v>1359.296</v>
      </c>
      <c r="AY40" s="152">
        <f t="shared" si="59"/>
        <v>1359.296</v>
      </c>
      <c r="AZ40" s="152">
        <f xml:space="preserve"> AZ34 - SUM( AZ35:AZ39 )</f>
        <v>1878</v>
      </c>
      <c r="BA40" s="153">
        <f xml:space="preserve"> BA34 - SUM( BA35:BA39 )</f>
        <v>1878</v>
      </c>
      <c r="BC40" s="151">
        <f xml:space="preserve"> BC34 - SUM( BC35:BC39 )</f>
        <v>1358.296</v>
      </c>
      <c r="BD40" s="152">
        <f t="shared" ref="BD40:BE40" si="60" xml:space="preserve"> BD34 - SUM( BD35:BD39 )</f>
        <v>1358.296</v>
      </c>
      <c r="BE40" s="152">
        <f t="shared" si="60"/>
        <v>1358.296</v>
      </c>
      <c r="BF40" s="152">
        <f xml:space="preserve"> BF34 - SUM( BF35:BF39 )</f>
        <v>1878</v>
      </c>
      <c r="BG40" s="153">
        <f xml:space="preserve"> BG34 - SUM( BG35:BG39 )</f>
        <v>1878</v>
      </c>
      <c r="BI40" s="151">
        <f xml:space="preserve"> BI34 - SUM( BI35:BI39 )</f>
        <v>1389.296</v>
      </c>
      <c r="BJ40" s="152">
        <f t="shared" ref="BJ40:BK40" si="61" xml:space="preserve"> BJ34 - SUM( BJ35:BJ39 )</f>
        <v>1389.296</v>
      </c>
      <c r="BK40" s="152">
        <f t="shared" si="61"/>
        <v>1389.296</v>
      </c>
      <c r="BL40" s="152">
        <f xml:space="preserve"> BL34 - SUM( BL35:BL39 )</f>
        <v>1878</v>
      </c>
      <c r="BM40" s="153">
        <f xml:space="preserve"> BM34 - SUM( BM35:BM39 )</f>
        <v>1878</v>
      </c>
      <c r="BO40" s="151">
        <f xml:space="preserve"> BO34 - SUM( BO35:BO39 )</f>
        <v>1358.296</v>
      </c>
      <c r="BP40" s="152">
        <f t="shared" ref="BP40:BQ40" si="62" xml:space="preserve"> BP34 - SUM( BP35:BP39 )</f>
        <v>1358.296</v>
      </c>
      <c r="BQ40" s="152">
        <f t="shared" si="62"/>
        <v>1358.296</v>
      </c>
      <c r="BR40" s="152">
        <f xml:space="preserve"> BR34 - SUM( BR35:BR39 )</f>
        <v>1878</v>
      </c>
      <c r="BS40" s="153">
        <f xml:space="preserve"> BS34 - SUM( BS35:BS39 )</f>
        <v>1878</v>
      </c>
      <c r="BU40" s="151">
        <f xml:space="preserve"> BU34 - SUM( BU35:BU39 )</f>
        <v>1359.296</v>
      </c>
      <c r="BV40" s="152">
        <f t="shared" ref="BV40:BW40" si="63" xml:space="preserve"> BV34 - SUM( BV35:BV39 )</f>
        <v>1359.296</v>
      </c>
      <c r="BW40" s="152">
        <f t="shared" si="63"/>
        <v>1359.296</v>
      </c>
      <c r="BX40" s="152">
        <f xml:space="preserve"> BX34 - SUM( BX35:BX39 )</f>
        <v>1878</v>
      </c>
      <c r="BY40" s="153">
        <f xml:space="preserve"> BY34 - SUM( BY35:BY39 )</f>
        <v>1878</v>
      </c>
      <c r="BZ40" s="94"/>
      <c r="CA40" s="94"/>
    </row>
    <row r="41" spans="1:79" ht="6" customHeight="1" x14ac:dyDescent="0.3">
      <c r="A41" s="107"/>
      <c r="B41" s="147"/>
      <c r="E41" s="90"/>
      <c r="F41" s="127"/>
      <c r="G41" s="113"/>
      <c r="H41" s="120"/>
      <c r="I41" s="120"/>
      <c r="J41" s="120"/>
      <c r="K41" s="121"/>
      <c r="M41" s="113"/>
      <c r="N41" s="120"/>
      <c r="O41" s="120"/>
      <c r="P41" s="120"/>
      <c r="Q41" s="121"/>
      <c r="S41" s="113"/>
      <c r="T41" s="120"/>
      <c r="U41" s="120"/>
      <c r="V41" s="120"/>
      <c r="W41" s="121"/>
      <c r="Y41" s="113"/>
      <c r="Z41" s="120"/>
      <c r="AA41" s="120"/>
      <c r="AB41" s="120"/>
      <c r="AC41" s="121"/>
      <c r="AE41" s="113"/>
      <c r="AF41" s="120"/>
      <c r="AG41" s="120"/>
      <c r="AH41" s="120"/>
      <c r="AI41" s="121"/>
      <c r="AK41" s="113"/>
      <c r="AL41" s="120"/>
      <c r="AM41" s="120"/>
      <c r="AN41" s="120"/>
      <c r="AO41" s="121"/>
      <c r="AQ41" s="113"/>
      <c r="AR41" s="120"/>
      <c r="AS41" s="120"/>
      <c r="AT41" s="120"/>
      <c r="AU41" s="121"/>
      <c r="AW41" s="113"/>
      <c r="AX41" s="120"/>
      <c r="AY41" s="120"/>
      <c r="AZ41" s="120"/>
      <c r="BA41" s="121"/>
      <c r="BC41" s="113"/>
      <c r="BD41" s="120"/>
      <c r="BE41" s="120"/>
      <c r="BF41" s="120"/>
      <c r="BG41" s="121"/>
      <c r="BI41" s="113"/>
      <c r="BJ41" s="120"/>
      <c r="BK41" s="120"/>
      <c r="BL41" s="120"/>
      <c r="BM41" s="121"/>
      <c r="BO41" s="113"/>
      <c r="BP41" s="120"/>
      <c r="BQ41" s="120"/>
      <c r="BR41" s="120"/>
      <c r="BS41" s="121"/>
      <c r="BU41" s="113"/>
      <c r="BV41" s="120"/>
      <c r="BW41" s="120"/>
      <c r="BX41" s="120"/>
      <c r="BY41" s="121"/>
      <c r="BZ41" s="94"/>
      <c r="CA41" s="94"/>
    </row>
    <row r="42" spans="1:79" x14ac:dyDescent="0.3">
      <c r="A42" s="94"/>
      <c r="B42" s="59"/>
      <c r="C42" s="98"/>
      <c r="E42" s="77" t="s">
        <v>74</v>
      </c>
      <c r="F42" s="77" t="s">
        <v>30</v>
      </c>
      <c r="G42" s="28">
        <f>G29 / G40</f>
        <v>48.528512709430615</v>
      </c>
      <c r="H42" s="29">
        <f t="shared" ref="H42:K42" si="64">H29 / H40</f>
        <v>53.45705226642756</v>
      </c>
      <c r="I42" s="29">
        <f t="shared" si="64"/>
        <v>58.544009166327974</v>
      </c>
      <c r="J42" s="29">
        <f t="shared" si="64"/>
        <v>0</v>
      </c>
      <c r="K42" s="30">
        <f t="shared" si="64"/>
        <v>0</v>
      </c>
      <c r="M42" s="28">
        <f>M29 / M40</f>
        <v>50.815555028285381</v>
      </c>
      <c r="N42" s="29">
        <f t="shared" ref="N42:Q42" si="65">N29 / N40</f>
        <v>56.752113398415446</v>
      </c>
      <c r="O42" s="29">
        <f t="shared" si="65"/>
        <v>60.473279723715642</v>
      </c>
      <c r="P42" s="29">
        <f t="shared" si="65"/>
        <v>0</v>
      </c>
      <c r="Q42" s="30">
        <f t="shared" si="65"/>
        <v>0</v>
      </c>
      <c r="S42" s="28">
        <f>S29 / S40</f>
        <v>48.686930052334098</v>
      </c>
      <c r="T42" s="29">
        <f t="shared" ref="T42:W42" si="66">T29 / T40</f>
        <v>51.080792122875458</v>
      </c>
      <c r="U42" s="29">
        <f t="shared" si="66"/>
        <v>56.132545168797343</v>
      </c>
      <c r="V42" s="29">
        <f t="shared" si="66"/>
        <v>0</v>
      </c>
      <c r="W42" s="30">
        <f t="shared" si="66"/>
        <v>0</v>
      </c>
      <c r="Y42" s="28">
        <f>Y29 / Y40</f>
        <v>49.544104695565352</v>
      </c>
      <c r="Z42" s="29">
        <f t="shared" ref="Z42:AC42" si="67">Z29 / Z40</f>
        <v>53.415438685736333</v>
      </c>
      <c r="AA42" s="29">
        <f t="shared" si="67"/>
        <v>57.788937989034906</v>
      </c>
      <c r="AB42" s="29">
        <f t="shared" si="67"/>
        <v>0</v>
      </c>
      <c r="AC42" s="30">
        <f t="shared" si="67"/>
        <v>0</v>
      </c>
      <c r="AE42" s="28">
        <f>AE29 / AE40</f>
        <v>48.528512709430615</v>
      </c>
      <c r="AF42" s="29">
        <f t="shared" ref="AF42:AI42" si="68">AF29 / AF40</f>
        <v>53.45705226642756</v>
      </c>
      <c r="AG42" s="29">
        <f t="shared" si="68"/>
        <v>58.544009166327974</v>
      </c>
      <c r="AH42" s="29">
        <f t="shared" si="68"/>
        <v>0</v>
      </c>
      <c r="AI42" s="30">
        <f t="shared" si="68"/>
        <v>0</v>
      </c>
      <c r="AK42" s="28">
        <f>AK29 / AK40</f>
        <v>50.815555028285381</v>
      </c>
      <c r="AL42" s="29">
        <f t="shared" ref="AL42:AO42" si="69">AL29 / AL40</f>
        <v>56.752113398415446</v>
      </c>
      <c r="AM42" s="29">
        <f t="shared" si="69"/>
        <v>60.473279723715642</v>
      </c>
      <c r="AN42" s="29">
        <f t="shared" si="69"/>
        <v>0</v>
      </c>
      <c r="AO42" s="30">
        <f t="shared" si="69"/>
        <v>0</v>
      </c>
      <c r="AQ42" s="28">
        <f>AQ29 / AQ40</f>
        <v>48.686930052334098</v>
      </c>
      <c r="AR42" s="29">
        <f t="shared" ref="AR42:AU42" si="70">AR29 / AR40</f>
        <v>51.080792122875458</v>
      </c>
      <c r="AS42" s="29">
        <f t="shared" si="70"/>
        <v>56.132545168797343</v>
      </c>
      <c r="AT42" s="29">
        <f t="shared" si="70"/>
        <v>0</v>
      </c>
      <c r="AU42" s="30">
        <f t="shared" si="70"/>
        <v>0</v>
      </c>
      <c r="AW42" s="28">
        <f>AW29 / AW40</f>
        <v>49.544104695565352</v>
      </c>
      <c r="AX42" s="29">
        <f t="shared" ref="AX42:BA42" si="71">AX29 / AX40</f>
        <v>53.415438685736333</v>
      </c>
      <c r="AY42" s="29">
        <f t="shared" si="71"/>
        <v>57.788937989034906</v>
      </c>
      <c r="AZ42" s="29">
        <f t="shared" si="71"/>
        <v>0</v>
      </c>
      <c r="BA42" s="30">
        <f t="shared" si="71"/>
        <v>0</v>
      </c>
      <c r="BC42" s="28">
        <f>BC29 / BC40</f>
        <v>48.528512709430615</v>
      </c>
      <c r="BD42" s="29">
        <f t="shared" ref="BD42:BG42" si="72">BD29 / BD40</f>
        <v>53.45705226642756</v>
      </c>
      <c r="BE42" s="29">
        <f t="shared" si="72"/>
        <v>58.544009166327974</v>
      </c>
      <c r="BF42" s="29">
        <f t="shared" si="72"/>
        <v>0</v>
      </c>
      <c r="BG42" s="30">
        <f t="shared" si="72"/>
        <v>0</v>
      </c>
      <c r="BI42" s="28">
        <f>BI29 / BI40</f>
        <v>50.815555028285381</v>
      </c>
      <c r="BJ42" s="29">
        <f t="shared" ref="BJ42:BM42" si="73">BJ29 / BJ40</f>
        <v>56.752113398415446</v>
      </c>
      <c r="BK42" s="29">
        <f t="shared" si="73"/>
        <v>60.473279723715642</v>
      </c>
      <c r="BL42" s="29">
        <f t="shared" si="73"/>
        <v>0</v>
      </c>
      <c r="BM42" s="30">
        <f t="shared" si="73"/>
        <v>0</v>
      </c>
      <c r="BO42" s="28">
        <f>BO29 / BO40</f>
        <v>48.686930052334098</v>
      </c>
      <c r="BP42" s="29">
        <f t="shared" ref="BP42:BS42" si="74">BP29 / BP40</f>
        <v>51.080792122875458</v>
      </c>
      <c r="BQ42" s="29">
        <f t="shared" si="74"/>
        <v>56.132545168797343</v>
      </c>
      <c r="BR42" s="29">
        <f t="shared" si="74"/>
        <v>0</v>
      </c>
      <c r="BS42" s="30">
        <f t="shared" si="74"/>
        <v>0</v>
      </c>
      <c r="BU42" s="28">
        <f>BU29 / BU40</f>
        <v>49.544104695565352</v>
      </c>
      <c r="BV42" s="29">
        <f t="shared" ref="BV42:BY42" si="75">BV29 / BV40</f>
        <v>53.415438685736333</v>
      </c>
      <c r="BW42" s="29">
        <f t="shared" si="75"/>
        <v>57.788937989034906</v>
      </c>
      <c r="BX42" s="29">
        <f t="shared" si="75"/>
        <v>0</v>
      </c>
      <c r="BY42" s="30">
        <f t="shared" si="75"/>
        <v>0</v>
      </c>
      <c r="BZ42" s="94"/>
      <c r="CA42" s="94"/>
    </row>
    <row r="43" spans="1:79" x14ac:dyDescent="0.3">
      <c r="A43" s="107"/>
      <c r="B43" s="147"/>
      <c r="E43" s="142"/>
      <c r="F43" s="142"/>
      <c r="G43" s="115"/>
      <c r="H43" s="13"/>
      <c r="I43" s="13"/>
      <c r="J43" s="13"/>
      <c r="K43" s="125"/>
      <c r="M43" s="115"/>
      <c r="N43" s="13"/>
      <c r="O43" s="13"/>
      <c r="P43" s="13"/>
      <c r="Q43" s="125"/>
      <c r="S43" s="115"/>
      <c r="T43" s="13"/>
      <c r="U43" s="13"/>
      <c r="V43" s="13"/>
      <c r="W43" s="125"/>
      <c r="Y43" s="115"/>
      <c r="Z43" s="13"/>
      <c r="AA43" s="13"/>
      <c r="AB43" s="13"/>
      <c r="AC43" s="125"/>
      <c r="AE43" s="115"/>
      <c r="AF43" s="13"/>
      <c r="AG43" s="13"/>
      <c r="AH43" s="13"/>
      <c r="AI43" s="125"/>
      <c r="AK43" s="115"/>
      <c r="AL43" s="13"/>
      <c r="AM43" s="13"/>
      <c r="AN43" s="13"/>
      <c r="AO43" s="125"/>
      <c r="AQ43" s="115"/>
      <c r="AR43" s="13"/>
      <c r="AS43" s="13"/>
      <c r="AT43" s="13"/>
      <c r="AU43" s="125"/>
      <c r="AW43" s="115"/>
      <c r="AX43" s="13"/>
      <c r="AY43" s="13"/>
      <c r="AZ43" s="13"/>
      <c r="BA43" s="125"/>
      <c r="BC43" s="115"/>
      <c r="BD43" s="13"/>
      <c r="BE43" s="13"/>
      <c r="BF43" s="13"/>
      <c r="BG43" s="125"/>
      <c r="BI43" s="115"/>
      <c r="BJ43" s="13"/>
      <c r="BK43" s="13"/>
      <c r="BL43" s="13"/>
      <c r="BM43" s="125"/>
      <c r="BO43" s="115"/>
      <c r="BP43" s="13"/>
      <c r="BQ43" s="13"/>
      <c r="BR43" s="13"/>
      <c r="BS43" s="125"/>
      <c r="BU43" s="115"/>
      <c r="BV43" s="13"/>
      <c r="BW43" s="13"/>
      <c r="BX43" s="13"/>
      <c r="BY43" s="125"/>
      <c r="BZ43" s="94"/>
      <c r="CA43" s="94"/>
    </row>
    <row r="44" spans="1:79" x14ac:dyDescent="0.3">
      <c r="A44" s="107"/>
      <c r="B44" s="147"/>
      <c r="D44" s="135"/>
      <c r="E44" s="160" t="s">
        <v>75</v>
      </c>
      <c r="F44" s="160" t="s">
        <v>30</v>
      </c>
      <c r="G44" s="163"/>
      <c r="H44" s="162"/>
      <c r="I44" s="225">
        <f xml:space="preserve"> SUMPRODUCT(G14:K14, G42:K42)</f>
        <v>54.490285380697983</v>
      </c>
      <c r="J44" s="162"/>
      <c r="K44" s="165"/>
      <c r="L44" s="135"/>
      <c r="M44" s="163"/>
      <c r="N44" s="162"/>
      <c r="O44" s="225">
        <f xml:space="preserve"> SUMPRODUCT(M14:Q14, M42:Q42)</f>
        <v>57.274807458992498</v>
      </c>
      <c r="P44" s="162"/>
      <c r="Q44" s="165"/>
      <c r="R44" s="135"/>
      <c r="S44" s="163"/>
      <c r="T44" s="162"/>
      <c r="U44" s="225">
        <f xml:space="preserve"> SUMPRODUCT(S14:W14, S42:W42)</f>
        <v>52.356931829597883</v>
      </c>
      <c r="V44" s="162"/>
      <c r="W44" s="165"/>
      <c r="X44" s="135"/>
      <c r="Y44" s="163"/>
      <c r="Z44" s="162"/>
      <c r="AA44" s="225">
        <f xml:space="preserve"> SUMPRODUCT(Y14:AC14, Y42:AC42)</f>
        <v>54.340355077708807</v>
      </c>
      <c r="AB44" s="162"/>
      <c r="AC44" s="165"/>
      <c r="AD44" s="135"/>
      <c r="AE44" s="163"/>
      <c r="AF44" s="162"/>
      <c r="AG44" s="225">
        <f xml:space="preserve"> SUMPRODUCT(AE14:AI14, AE42:AI42)</f>
        <v>54.490285380697983</v>
      </c>
      <c r="AH44" s="162"/>
      <c r="AI44" s="165"/>
      <c r="AJ44" s="135"/>
      <c r="AK44" s="163"/>
      <c r="AL44" s="162"/>
      <c r="AM44" s="225">
        <f xml:space="preserve"> SUMPRODUCT(AK14:AO14, AK42:AO42)</f>
        <v>57.274807458992498</v>
      </c>
      <c r="AN44" s="162"/>
      <c r="AO44" s="165"/>
      <c r="AP44" s="135"/>
      <c r="AQ44" s="163"/>
      <c r="AR44" s="162"/>
      <c r="AS44" s="225">
        <f xml:space="preserve"> SUMPRODUCT(AQ14:AU14, AQ42:AU42)</f>
        <v>52.356931829597883</v>
      </c>
      <c r="AT44" s="162"/>
      <c r="AU44" s="165"/>
      <c r="AV44" s="135"/>
      <c r="AW44" s="163"/>
      <c r="AX44" s="162"/>
      <c r="AY44" s="225">
        <f xml:space="preserve"> SUMPRODUCT(AW14:BA14, AW42:BA42)</f>
        <v>54.340355077708807</v>
      </c>
      <c r="AZ44" s="162"/>
      <c r="BA44" s="165"/>
      <c r="BB44" s="135"/>
      <c r="BC44" s="163"/>
      <c r="BD44" s="162"/>
      <c r="BE44" s="225">
        <f xml:space="preserve"> SUMPRODUCT(BC14:BG14, BC42:BG42)</f>
        <v>54.490285380697983</v>
      </c>
      <c r="BF44" s="162"/>
      <c r="BG44" s="165"/>
      <c r="BH44" s="135"/>
      <c r="BI44" s="163"/>
      <c r="BJ44" s="162"/>
      <c r="BK44" s="225">
        <f xml:space="preserve"> SUMPRODUCT(BI14:BM14, BI42:BM42)</f>
        <v>57.274807458992498</v>
      </c>
      <c r="BL44" s="162"/>
      <c r="BM44" s="165"/>
      <c r="BN44" s="135"/>
      <c r="BO44" s="163"/>
      <c r="BP44" s="162"/>
      <c r="BQ44" s="225">
        <f xml:space="preserve"> SUMPRODUCT(BO14:BS14, BO42:BS42)</f>
        <v>52.356931829597883</v>
      </c>
      <c r="BR44" s="162"/>
      <c r="BS44" s="165"/>
      <c r="BT44" s="135"/>
      <c r="BU44" s="163"/>
      <c r="BV44" s="162"/>
      <c r="BW44" s="225">
        <f xml:space="preserve"> SUMPRODUCT(BU14:BY14, BU42:BY42)</f>
        <v>54.340355077708807</v>
      </c>
      <c r="BX44" s="162"/>
      <c r="BY44" s="165"/>
      <c r="BZ44" s="107"/>
      <c r="CA44" s="107"/>
    </row>
    <row r="45" spans="1:79" x14ac:dyDescent="0.3">
      <c r="A45" s="108"/>
      <c r="B45" s="148"/>
      <c r="C45" s="149"/>
      <c r="D45" s="101"/>
      <c r="E45" s="95"/>
      <c r="F45" s="95"/>
      <c r="G45" s="115"/>
      <c r="H45" s="13"/>
      <c r="I45" s="13"/>
      <c r="J45" s="13"/>
      <c r="K45" s="125"/>
      <c r="L45" s="101"/>
      <c r="M45" s="115"/>
      <c r="N45" s="13"/>
      <c r="O45" s="13"/>
      <c r="P45" s="13"/>
      <c r="Q45" s="125"/>
      <c r="R45" s="101"/>
      <c r="S45" s="115"/>
      <c r="T45" s="13"/>
      <c r="U45" s="13"/>
      <c r="V45" s="13"/>
      <c r="W45" s="125"/>
      <c r="X45" s="101"/>
      <c r="Y45" s="115"/>
      <c r="Z45" s="13"/>
      <c r="AA45" s="13"/>
      <c r="AB45" s="13"/>
      <c r="AC45" s="125"/>
      <c r="AD45" s="101"/>
      <c r="AE45" s="115"/>
      <c r="AF45" s="13"/>
      <c r="AG45" s="13"/>
      <c r="AH45" s="13"/>
      <c r="AI45" s="125"/>
      <c r="AJ45" s="101"/>
      <c r="AK45" s="115"/>
      <c r="AL45" s="13"/>
      <c r="AM45" s="13"/>
      <c r="AN45" s="13"/>
      <c r="AO45" s="125"/>
      <c r="AP45" s="101"/>
      <c r="AQ45" s="115"/>
      <c r="AR45" s="13"/>
      <c r="AS45" s="13"/>
      <c r="AT45" s="13"/>
      <c r="AU45" s="125"/>
      <c r="AV45" s="101"/>
      <c r="AW45" s="115"/>
      <c r="AX45" s="13"/>
      <c r="AY45" s="13"/>
      <c r="AZ45" s="13"/>
      <c r="BA45" s="125"/>
      <c r="BB45" s="101"/>
      <c r="BC45" s="115"/>
      <c r="BD45" s="13"/>
      <c r="BE45" s="13"/>
      <c r="BF45" s="13"/>
      <c r="BG45" s="125"/>
      <c r="BH45" s="101"/>
      <c r="BI45" s="115"/>
      <c r="BJ45" s="13"/>
      <c r="BK45" s="13"/>
      <c r="BL45" s="13"/>
      <c r="BM45" s="125"/>
      <c r="BN45" s="101"/>
      <c r="BO45" s="115"/>
      <c r="BP45" s="13"/>
      <c r="BQ45" s="13"/>
      <c r="BR45" s="13"/>
      <c r="BS45" s="125"/>
      <c r="BT45" s="101"/>
      <c r="BU45" s="115"/>
      <c r="BV45" s="13"/>
      <c r="BW45" s="13"/>
      <c r="BX45" s="13"/>
      <c r="BY45" s="125"/>
      <c r="BZ45" s="101"/>
      <c r="CA45" s="101"/>
    </row>
    <row r="46" spans="1:79" x14ac:dyDescent="0.3">
      <c r="D46" s="110" t="s">
        <v>55</v>
      </c>
      <c r="G46" s="12"/>
      <c r="H46" s="126"/>
      <c r="I46" s="126"/>
      <c r="J46" s="126"/>
      <c r="K46" s="15"/>
      <c r="M46" s="12"/>
      <c r="N46" s="126"/>
      <c r="O46" s="126"/>
      <c r="P46" s="126"/>
      <c r="Q46" s="15"/>
      <c r="S46" s="12"/>
      <c r="T46" s="126"/>
      <c r="U46" s="126"/>
      <c r="V46" s="126"/>
      <c r="W46" s="15"/>
      <c r="Y46" s="12"/>
      <c r="Z46" s="126"/>
      <c r="AA46" s="126"/>
      <c r="AB46" s="126"/>
      <c r="AC46" s="15"/>
      <c r="AE46" s="12"/>
      <c r="AF46" s="126"/>
      <c r="AG46" s="126"/>
      <c r="AH46" s="126"/>
      <c r="AI46" s="15"/>
      <c r="AK46" s="12"/>
      <c r="AL46" s="126"/>
      <c r="AM46" s="126"/>
      <c r="AN46" s="126"/>
      <c r="AO46" s="15"/>
      <c r="AQ46" s="12"/>
      <c r="AR46" s="126"/>
      <c r="AS46" s="126"/>
      <c r="AT46" s="126"/>
      <c r="AU46" s="15"/>
      <c r="AW46" s="12"/>
      <c r="AX46" s="126"/>
      <c r="AY46" s="126"/>
      <c r="AZ46" s="126"/>
      <c r="BA46" s="15"/>
      <c r="BC46" s="12"/>
      <c r="BD46" s="126"/>
      <c r="BE46" s="126"/>
      <c r="BF46" s="126"/>
      <c r="BG46" s="15"/>
      <c r="BI46" s="12"/>
      <c r="BJ46" s="126"/>
      <c r="BK46" s="126"/>
      <c r="BL46" s="126"/>
      <c r="BM46" s="15"/>
      <c r="BO46" s="12"/>
      <c r="BP46" s="126"/>
      <c r="BQ46" s="126"/>
      <c r="BR46" s="126"/>
      <c r="BS46" s="15"/>
      <c r="BU46" s="12"/>
      <c r="BV46" s="126"/>
      <c r="BW46" s="126"/>
      <c r="BX46" s="126"/>
      <c r="BY46" s="15"/>
    </row>
    <row r="47" spans="1:79" x14ac:dyDescent="0.3">
      <c r="E47" s="2" t="s">
        <v>83</v>
      </c>
      <c r="F47" s="95" t="s">
        <v>71</v>
      </c>
      <c r="G47" s="12"/>
      <c r="I47" s="16">
        <f xml:space="preserve"> 48 / 0.5</f>
        <v>96</v>
      </c>
      <c r="K47" s="15"/>
      <c r="M47" s="12"/>
      <c r="N47" s="93"/>
      <c r="O47" s="16">
        <f xml:space="preserve"> 48 / 0.5</f>
        <v>96</v>
      </c>
      <c r="P47" s="93"/>
      <c r="Q47" s="15"/>
      <c r="S47" s="12"/>
      <c r="T47" s="93"/>
      <c r="U47" s="16">
        <f xml:space="preserve"> 48 / 0.5</f>
        <v>96</v>
      </c>
      <c r="V47" s="93"/>
      <c r="W47" s="15"/>
      <c r="Y47" s="12"/>
      <c r="Z47" s="93"/>
      <c r="AA47" s="16">
        <f xml:space="preserve"> 48 / 0.5</f>
        <v>96</v>
      </c>
      <c r="AB47" s="93"/>
      <c r="AC47" s="15"/>
      <c r="AE47" s="12"/>
      <c r="AF47" s="93"/>
      <c r="AG47" s="16">
        <v>48</v>
      </c>
      <c r="AH47" s="93"/>
      <c r="AI47" s="15"/>
      <c r="AK47" s="12"/>
      <c r="AL47" s="93"/>
      <c r="AM47" s="16">
        <v>48</v>
      </c>
      <c r="AN47" s="93"/>
      <c r="AO47" s="15"/>
      <c r="AQ47" s="12"/>
      <c r="AR47" s="93"/>
      <c r="AS47" s="16">
        <v>48</v>
      </c>
      <c r="AT47" s="93"/>
      <c r="AU47" s="15"/>
      <c r="AW47" s="12"/>
      <c r="AX47" s="93"/>
      <c r="AY47" s="16">
        <v>48</v>
      </c>
      <c r="AZ47" s="93"/>
      <c r="BA47" s="15"/>
      <c r="BC47" s="12"/>
      <c r="BD47" s="93"/>
      <c r="BE47" s="16">
        <v>24</v>
      </c>
      <c r="BF47" s="93"/>
      <c r="BG47" s="15"/>
      <c r="BI47" s="12"/>
      <c r="BJ47" s="93"/>
      <c r="BK47" s="16">
        <v>24</v>
      </c>
      <c r="BL47" s="93"/>
      <c r="BM47" s="15"/>
      <c r="BO47" s="12"/>
      <c r="BP47" s="93"/>
      <c r="BQ47" s="16">
        <v>24</v>
      </c>
      <c r="BR47" s="93"/>
      <c r="BS47" s="15"/>
      <c r="BU47" s="12"/>
      <c r="BV47" s="93"/>
      <c r="BW47" s="16">
        <v>24</v>
      </c>
      <c r="BX47" s="93"/>
      <c r="BY47" s="15"/>
    </row>
    <row r="48" spans="1:79" x14ac:dyDescent="0.3">
      <c r="E48" s="96" t="s">
        <v>84</v>
      </c>
      <c r="F48" s="95" t="s">
        <v>82</v>
      </c>
      <c r="G48" s="12"/>
      <c r="I48" s="187">
        <f xml:space="preserve"> 59.5 / 7</f>
        <v>8.5</v>
      </c>
      <c r="K48" s="15"/>
      <c r="M48" s="12"/>
      <c r="N48" s="93"/>
      <c r="O48" s="187">
        <f xml:space="preserve"> 59.5 / 7</f>
        <v>8.5</v>
      </c>
      <c r="P48" s="93"/>
      <c r="Q48" s="15"/>
      <c r="S48" s="12"/>
      <c r="T48" s="93"/>
      <c r="U48" s="187">
        <f xml:space="preserve"> 59.5 / 7</f>
        <v>8.5</v>
      </c>
      <c r="V48" s="93"/>
      <c r="W48" s="15"/>
      <c r="Y48" s="12"/>
      <c r="Z48" s="93"/>
      <c r="AA48" s="187">
        <f xml:space="preserve"> 59.5 / 7</f>
        <v>8.5</v>
      </c>
      <c r="AB48" s="93"/>
      <c r="AC48" s="15"/>
      <c r="AE48" s="12"/>
      <c r="AF48" s="93"/>
      <c r="AG48" s="187">
        <f xml:space="preserve"> 59.5 / 7</f>
        <v>8.5</v>
      </c>
      <c r="AH48" s="93"/>
      <c r="AI48" s="15"/>
      <c r="AK48" s="12"/>
      <c r="AL48" s="93"/>
      <c r="AM48" s="187">
        <f xml:space="preserve"> 59.5 / 7</f>
        <v>8.5</v>
      </c>
      <c r="AN48" s="93"/>
      <c r="AO48" s="15"/>
      <c r="AQ48" s="12"/>
      <c r="AR48" s="93"/>
      <c r="AS48" s="187">
        <f xml:space="preserve"> 59.5 / 7</f>
        <v>8.5</v>
      </c>
      <c r="AT48" s="93"/>
      <c r="AU48" s="15"/>
      <c r="AW48" s="12"/>
      <c r="AX48" s="93"/>
      <c r="AY48" s="187">
        <f xml:space="preserve"> 59.5 / 7</f>
        <v>8.5</v>
      </c>
      <c r="AZ48" s="93"/>
      <c r="BA48" s="15"/>
      <c r="BC48" s="12"/>
      <c r="BD48" s="93"/>
      <c r="BE48" s="187">
        <f xml:space="preserve"> 59.5 / 7</f>
        <v>8.5</v>
      </c>
      <c r="BF48" s="93"/>
      <c r="BG48" s="15"/>
      <c r="BI48" s="12"/>
      <c r="BJ48" s="93"/>
      <c r="BK48" s="187">
        <f xml:space="preserve"> 59.5 / 7</f>
        <v>8.5</v>
      </c>
      <c r="BL48" s="93"/>
      <c r="BM48" s="15"/>
      <c r="BO48" s="12"/>
      <c r="BP48" s="93"/>
      <c r="BQ48" s="187">
        <f xml:space="preserve"> 59.5 / 7</f>
        <v>8.5</v>
      </c>
      <c r="BR48" s="93"/>
      <c r="BS48" s="15"/>
      <c r="BU48" s="12"/>
      <c r="BV48" s="93"/>
      <c r="BW48" s="187">
        <f xml:space="preserve"> 59.5 / 7</f>
        <v>8.5</v>
      </c>
      <c r="BX48" s="93"/>
      <c r="BY48" s="15"/>
    </row>
    <row r="49" spans="1:79" x14ac:dyDescent="0.3">
      <c r="A49" s="1"/>
      <c r="B49" s="21"/>
      <c r="C49" s="22"/>
      <c r="D49" s="4"/>
      <c r="E49" s="90" t="s">
        <v>52</v>
      </c>
      <c r="F49" s="95" t="s">
        <v>64</v>
      </c>
      <c r="G49" s="12"/>
      <c r="H49" s="3"/>
      <c r="I49" s="34">
        <v>0.95</v>
      </c>
      <c r="J49" s="3"/>
      <c r="K49" s="15"/>
      <c r="L49" s="4"/>
      <c r="M49" s="12"/>
      <c r="N49" s="3"/>
      <c r="O49" s="34">
        <v>0.95</v>
      </c>
      <c r="P49" s="3"/>
      <c r="Q49" s="15"/>
      <c r="R49" s="4"/>
      <c r="S49" s="12"/>
      <c r="T49" s="3"/>
      <c r="U49" s="34">
        <v>0.95</v>
      </c>
      <c r="V49" s="3"/>
      <c r="W49" s="15"/>
      <c r="X49" s="4"/>
      <c r="Y49" s="12"/>
      <c r="Z49" s="3"/>
      <c r="AA49" s="34">
        <v>0.95</v>
      </c>
      <c r="AB49" s="3"/>
      <c r="AC49" s="15"/>
      <c r="AD49" s="4"/>
      <c r="AE49" s="12"/>
      <c r="AF49" s="3"/>
      <c r="AG49" s="34">
        <v>0.95</v>
      </c>
      <c r="AH49" s="3"/>
      <c r="AI49" s="15"/>
      <c r="AJ49" s="4"/>
      <c r="AK49" s="12"/>
      <c r="AL49" s="3"/>
      <c r="AM49" s="34">
        <v>0.95</v>
      </c>
      <c r="AN49" s="3"/>
      <c r="AO49" s="15"/>
      <c r="AP49" s="4"/>
      <c r="AQ49" s="12"/>
      <c r="AR49" s="3"/>
      <c r="AS49" s="34">
        <v>0.95</v>
      </c>
      <c r="AT49" s="3"/>
      <c r="AU49" s="15"/>
      <c r="AV49" s="4"/>
      <c r="AW49" s="12"/>
      <c r="AX49" s="3"/>
      <c r="AY49" s="34">
        <v>0.95</v>
      </c>
      <c r="AZ49" s="3"/>
      <c r="BA49" s="15"/>
      <c r="BB49" s="4"/>
      <c r="BC49" s="12"/>
      <c r="BD49" s="3"/>
      <c r="BE49" s="34">
        <v>0.95</v>
      </c>
      <c r="BF49" s="3"/>
      <c r="BG49" s="15"/>
      <c r="BH49" s="4"/>
      <c r="BI49" s="12"/>
      <c r="BJ49" s="3"/>
      <c r="BK49" s="34">
        <v>0.95</v>
      </c>
      <c r="BL49" s="3"/>
      <c r="BM49" s="15"/>
      <c r="BN49" s="4"/>
      <c r="BO49" s="12"/>
      <c r="BP49" s="3"/>
      <c r="BQ49" s="34">
        <v>0.95</v>
      </c>
      <c r="BR49" s="3"/>
      <c r="BS49" s="15"/>
      <c r="BT49" s="4"/>
      <c r="BU49" s="12"/>
      <c r="BV49" s="3"/>
      <c r="BW49" s="34">
        <v>0.95</v>
      </c>
      <c r="BX49" s="3"/>
      <c r="BY49" s="15"/>
      <c r="BZ49" s="4"/>
      <c r="CA49" s="4"/>
    </row>
    <row r="50" spans="1:79" x14ac:dyDescent="0.3">
      <c r="E50" s="76" t="s">
        <v>85</v>
      </c>
      <c r="F50" s="95" t="s">
        <v>48</v>
      </c>
      <c r="G50" s="112"/>
      <c r="I50" s="55">
        <v>0</v>
      </c>
      <c r="K50" s="15"/>
      <c r="M50" s="112"/>
      <c r="N50" s="93"/>
      <c r="O50" s="55">
        <v>0</v>
      </c>
      <c r="P50" s="93"/>
      <c r="Q50" s="15"/>
      <c r="S50" s="112"/>
      <c r="T50" s="93"/>
      <c r="U50" s="55">
        <v>0</v>
      </c>
      <c r="V50" s="93"/>
      <c r="W50" s="15"/>
      <c r="Y50" s="112"/>
      <c r="Z50" s="93"/>
      <c r="AA50" s="55">
        <v>0</v>
      </c>
      <c r="AB50" s="93"/>
      <c r="AC50" s="15"/>
      <c r="AE50" s="112"/>
      <c r="AF50" s="93"/>
      <c r="AG50" s="55">
        <v>0</v>
      </c>
      <c r="AH50" s="93"/>
      <c r="AI50" s="15"/>
      <c r="AK50" s="112"/>
      <c r="AL50" s="93"/>
      <c r="AM50" s="55">
        <v>0</v>
      </c>
      <c r="AN50" s="93"/>
      <c r="AO50" s="15"/>
      <c r="AQ50" s="112"/>
      <c r="AR50" s="93"/>
      <c r="AS50" s="55">
        <v>0</v>
      </c>
      <c r="AT50" s="93"/>
      <c r="AU50" s="15"/>
      <c r="AW50" s="112"/>
      <c r="AX50" s="93"/>
      <c r="AY50" s="55">
        <v>0</v>
      </c>
      <c r="AZ50" s="93"/>
      <c r="BA50" s="15"/>
      <c r="BC50" s="112"/>
      <c r="BD50" s="93"/>
      <c r="BE50" s="55">
        <v>0</v>
      </c>
      <c r="BF50" s="93"/>
      <c r="BG50" s="15"/>
      <c r="BI50" s="112"/>
      <c r="BJ50" s="93"/>
      <c r="BK50" s="55">
        <v>0</v>
      </c>
      <c r="BL50" s="93"/>
      <c r="BM50" s="15"/>
      <c r="BO50" s="112"/>
      <c r="BP50" s="93"/>
      <c r="BQ50" s="55">
        <v>0</v>
      </c>
      <c r="BR50" s="93"/>
      <c r="BS50" s="15"/>
      <c r="BU50" s="112"/>
      <c r="BV50" s="93"/>
      <c r="BW50" s="55">
        <v>0</v>
      </c>
      <c r="BX50" s="93"/>
      <c r="BY50" s="15"/>
    </row>
    <row r="51" spans="1:79" x14ac:dyDescent="0.3">
      <c r="E51" s="91" t="s">
        <v>42</v>
      </c>
      <c r="F51" s="95" t="s">
        <v>48</v>
      </c>
      <c r="G51" s="112"/>
      <c r="I51" s="55">
        <v>0</v>
      </c>
      <c r="K51" s="15"/>
      <c r="M51" s="112"/>
      <c r="N51" s="93"/>
      <c r="O51" s="55">
        <v>0</v>
      </c>
      <c r="P51" s="93"/>
      <c r="Q51" s="15"/>
      <c r="S51" s="112"/>
      <c r="T51" s="93"/>
      <c r="U51" s="55">
        <v>0</v>
      </c>
      <c r="V51" s="93"/>
      <c r="W51" s="15"/>
      <c r="Y51" s="112"/>
      <c r="Z51" s="93"/>
      <c r="AA51" s="55">
        <v>0</v>
      </c>
      <c r="AB51" s="93"/>
      <c r="AC51" s="15"/>
      <c r="AE51" s="112"/>
      <c r="AF51" s="93"/>
      <c r="AG51" s="55">
        <v>0</v>
      </c>
      <c r="AH51" s="93"/>
      <c r="AI51" s="15"/>
      <c r="AK51" s="112"/>
      <c r="AL51" s="93"/>
      <c r="AM51" s="55">
        <v>0</v>
      </c>
      <c r="AN51" s="93"/>
      <c r="AO51" s="15"/>
      <c r="AQ51" s="112"/>
      <c r="AR51" s="93"/>
      <c r="AS51" s="55">
        <v>0</v>
      </c>
      <c r="AT51" s="93"/>
      <c r="AU51" s="15"/>
      <c r="AW51" s="112"/>
      <c r="AX51" s="93"/>
      <c r="AY51" s="55">
        <v>0</v>
      </c>
      <c r="AZ51" s="93"/>
      <c r="BA51" s="15"/>
      <c r="BC51" s="112"/>
      <c r="BD51" s="93"/>
      <c r="BE51" s="55">
        <v>0</v>
      </c>
      <c r="BF51" s="93"/>
      <c r="BG51" s="15"/>
      <c r="BI51" s="112"/>
      <c r="BJ51" s="93"/>
      <c r="BK51" s="55">
        <v>0</v>
      </c>
      <c r="BL51" s="93"/>
      <c r="BM51" s="15"/>
      <c r="BO51" s="112"/>
      <c r="BP51" s="93"/>
      <c r="BQ51" s="55">
        <v>0</v>
      </c>
      <c r="BR51" s="93"/>
      <c r="BS51" s="15"/>
      <c r="BU51" s="112"/>
      <c r="BV51" s="93"/>
      <c r="BW51" s="55">
        <v>0</v>
      </c>
      <c r="BX51" s="93"/>
      <c r="BY51" s="15"/>
    </row>
    <row r="52" spans="1:79" x14ac:dyDescent="0.3">
      <c r="A52" s="93"/>
      <c r="B52" s="72"/>
      <c r="C52" s="98"/>
      <c r="E52" s="105" t="s">
        <v>76</v>
      </c>
      <c r="F52" s="23" t="s">
        <v>38</v>
      </c>
      <c r="G52" s="73"/>
      <c r="H52" s="83"/>
      <c r="I52" s="74">
        <f xml:space="preserve"> IF(I47="", 0, ( I44 * I48 / I47 / I49 ) + I50 + I51)</f>
        <v>5.0785901944729481</v>
      </c>
      <c r="J52" s="83"/>
      <c r="K52" s="75"/>
      <c r="M52" s="73"/>
      <c r="N52" s="83"/>
      <c r="O52" s="74">
        <f xml:space="preserve"> IF(O47="", 0, ( O44 * O48 / O47 / O49 ) + O50 + O51)</f>
        <v>5.3381125372964506</v>
      </c>
      <c r="P52" s="83"/>
      <c r="Q52" s="75"/>
      <c r="R52" s="95"/>
      <c r="S52" s="73"/>
      <c r="T52" s="83"/>
      <c r="U52" s="74">
        <f xml:space="preserve"> IF(U47="", 0, ( U44 * U48 / U47 / U49 ) + U50 + U51)</f>
        <v>4.8797579007848908</v>
      </c>
      <c r="V52" s="83"/>
      <c r="W52" s="75"/>
      <c r="X52" s="95"/>
      <c r="Y52" s="73"/>
      <c r="Z52" s="83"/>
      <c r="AA52" s="74">
        <f xml:space="preserve"> IF(AA47="", 0, ( AA44 * AA48 / AA47 / AA49 ) + AA50 + AA51)</f>
        <v>5.0646164271987377</v>
      </c>
      <c r="AB52" s="83"/>
      <c r="AC52" s="75"/>
      <c r="AD52" s="95"/>
      <c r="AE52" s="73"/>
      <c r="AF52" s="83"/>
      <c r="AG52" s="74">
        <f xml:space="preserve"> IF(AG47="", 0, ( AG44 * AG48 / AG47 / AG49 ) + AG50 + AG51)</f>
        <v>10.157180388945896</v>
      </c>
      <c r="AH52" s="83"/>
      <c r="AI52" s="75"/>
      <c r="AJ52" s="95"/>
      <c r="AK52" s="73"/>
      <c r="AL52" s="83"/>
      <c r="AM52" s="74">
        <f xml:space="preserve"> IF(AM47="", 0, ( AM44 * AM48 / AM47 / AM49 ) + AM50 + AM51)</f>
        <v>10.676225074592901</v>
      </c>
      <c r="AN52" s="83"/>
      <c r="AO52" s="75"/>
      <c r="AP52" s="95"/>
      <c r="AQ52" s="73"/>
      <c r="AR52" s="83"/>
      <c r="AS52" s="74">
        <f xml:space="preserve"> IF(AS47="", 0, ( AS44 * AS48 / AS47 / AS49 ) + AS50 + AS51)</f>
        <v>9.7595158015697816</v>
      </c>
      <c r="AT52" s="83"/>
      <c r="AU52" s="75"/>
      <c r="AV52" s="95"/>
      <c r="AW52" s="73"/>
      <c r="AX52" s="83"/>
      <c r="AY52" s="74">
        <f xml:space="preserve"> IF(AY47="", 0, ( AY44 * AY48 / AY47 / AY49 ) + AY50 + AY51)</f>
        <v>10.129232854397475</v>
      </c>
      <c r="AZ52" s="83"/>
      <c r="BA52" s="75"/>
      <c r="BB52" s="95"/>
      <c r="BC52" s="73"/>
      <c r="BD52" s="83"/>
      <c r="BE52" s="74">
        <f xml:space="preserve"> IF(BE47="", 0, ( BE44 * BE48 / BE47 / BE49 ) + BE50 + BE51)</f>
        <v>20.314360777891793</v>
      </c>
      <c r="BF52" s="83"/>
      <c r="BG52" s="75"/>
      <c r="BH52" s="95"/>
      <c r="BI52" s="73"/>
      <c r="BJ52" s="83"/>
      <c r="BK52" s="74">
        <f xml:space="preserve"> IF(BK47="", 0, ( BK44 * BK48 / BK47 / BK49 ) + BK50 + BK51)</f>
        <v>21.352450149185803</v>
      </c>
      <c r="BL52" s="83"/>
      <c r="BM52" s="75"/>
      <c r="BO52" s="73"/>
      <c r="BP52" s="83"/>
      <c r="BQ52" s="74">
        <f xml:space="preserve"> IF(BQ47="", 0, ( BQ44 * BQ48 / BQ47 / BQ49 ) + BQ50 + BQ51)</f>
        <v>19.519031603139563</v>
      </c>
      <c r="BR52" s="83"/>
      <c r="BS52" s="75"/>
      <c r="BU52" s="73"/>
      <c r="BV52" s="83"/>
      <c r="BW52" s="74">
        <f xml:space="preserve"> IF(BW47="", 0, ( BW44 * BW48 / BW47 / BW49 ) + BW50 + BW51)</f>
        <v>20.258465708794951</v>
      </c>
      <c r="BX52" s="83"/>
      <c r="BY52" s="75"/>
      <c r="CA52" s="95"/>
    </row>
    <row r="53" spans="1:79" ht="6" customHeight="1" x14ac:dyDescent="0.3">
      <c r="E53" s="142"/>
      <c r="F53" s="60"/>
      <c r="G53" s="70"/>
      <c r="H53" s="81"/>
      <c r="I53" s="61"/>
      <c r="J53" s="81"/>
      <c r="K53" s="71"/>
      <c r="M53" s="70"/>
      <c r="N53" s="81"/>
      <c r="O53" s="61"/>
      <c r="P53" s="81"/>
      <c r="Q53" s="71"/>
      <c r="R53" s="95"/>
      <c r="S53" s="70"/>
      <c r="T53" s="81"/>
      <c r="U53" s="61"/>
      <c r="V53" s="81"/>
      <c r="W53" s="71"/>
      <c r="X53" s="95"/>
      <c r="Y53" s="70"/>
      <c r="Z53" s="81"/>
      <c r="AA53" s="61"/>
      <c r="AB53" s="81"/>
      <c r="AC53" s="71"/>
      <c r="AD53" s="95"/>
      <c r="AE53" s="70"/>
      <c r="AF53" s="81"/>
      <c r="AG53" s="61"/>
      <c r="AH53" s="81"/>
      <c r="AI53" s="71"/>
      <c r="AJ53" s="95"/>
      <c r="AK53" s="70"/>
      <c r="AL53" s="81"/>
      <c r="AM53" s="61"/>
      <c r="AN53" s="81"/>
      <c r="AO53" s="71"/>
      <c r="AP53" s="95"/>
      <c r="AQ53" s="70"/>
      <c r="AR53" s="81"/>
      <c r="AS53" s="61"/>
      <c r="AT53" s="81"/>
      <c r="AU53" s="71"/>
      <c r="AV53" s="95"/>
      <c r="AW53" s="70"/>
      <c r="AX53" s="81"/>
      <c r="AY53" s="61"/>
      <c r="AZ53" s="81"/>
      <c r="BA53" s="71"/>
      <c r="BB53" s="95"/>
      <c r="BC53" s="70"/>
      <c r="BD53" s="81"/>
      <c r="BE53" s="61"/>
      <c r="BF53" s="81"/>
      <c r="BG53" s="71"/>
      <c r="BH53" s="95"/>
      <c r="BI53" s="70"/>
      <c r="BJ53" s="81"/>
      <c r="BK53" s="61"/>
      <c r="BL53" s="81"/>
      <c r="BM53" s="71"/>
      <c r="BO53" s="70"/>
      <c r="BP53" s="81"/>
      <c r="BQ53" s="61"/>
      <c r="BR53" s="81"/>
      <c r="BS53" s="71"/>
      <c r="BU53" s="70"/>
      <c r="BV53" s="81"/>
      <c r="BW53" s="61"/>
      <c r="BX53" s="81"/>
      <c r="BY53" s="71"/>
      <c r="CA53" s="95"/>
    </row>
    <row r="54" spans="1:79" x14ac:dyDescent="0.3">
      <c r="A54" s="189"/>
      <c r="B54" s="190"/>
      <c r="C54" s="189"/>
      <c r="D54" s="195"/>
      <c r="E54" s="195" t="s">
        <v>27</v>
      </c>
      <c r="F54" s="127" t="s">
        <v>77</v>
      </c>
      <c r="G54" s="12"/>
      <c r="H54" s="3"/>
      <c r="I54" s="193">
        <f xml:space="preserve"> 29% / ( 1 - 29% )</f>
        <v>0.40845070422535212</v>
      </c>
      <c r="J54" s="3"/>
      <c r="K54" s="15"/>
      <c r="L54" s="4"/>
      <c r="M54" s="12"/>
      <c r="N54" s="3"/>
      <c r="O54" s="193">
        <v>0.253</v>
      </c>
      <c r="P54" s="3"/>
      <c r="Q54" s="15"/>
      <c r="R54" s="4"/>
      <c r="S54" s="12"/>
      <c r="T54" s="3"/>
      <c r="U54" s="193">
        <v>0.253</v>
      </c>
      <c r="V54" s="3"/>
      <c r="W54" s="15"/>
      <c r="X54" s="4"/>
      <c r="Y54" s="12"/>
      <c r="Z54" s="3"/>
      <c r="AA54" s="193">
        <f xml:space="preserve"> (24.7% / ( 1 - 24.7%))</f>
        <v>0.32802124833997343</v>
      </c>
      <c r="AB54" s="3"/>
      <c r="AC54" s="15"/>
      <c r="AD54" s="4"/>
      <c r="AE54" s="12"/>
      <c r="AF54" s="3"/>
      <c r="AG54" s="193">
        <f xml:space="preserve"> 29% / ( 1 - 29% )</f>
        <v>0.40845070422535212</v>
      </c>
      <c r="AH54" s="3"/>
      <c r="AI54" s="15"/>
      <c r="AJ54" s="4"/>
      <c r="AK54" s="12"/>
      <c r="AL54" s="3"/>
      <c r="AM54" s="193">
        <v>0.253</v>
      </c>
      <c r="AN54" s="3"/>
      <c r="AO54" s="15"/>
      <c r="AP54" s="4"/>
      <c r="AQ54" s="12"/>
      <c r="AR54" s="3"/>
      <c r="AS54" s="193">
        <v>0.253</v>
      </c>
      <c r="AT54" s="3"/>
      <c r="AU54" s="15"/>
      <c r="AV54" s="4"/>
      <c r="AW54" s="12"/>
      <c r="AX54" s="3"/>
      <c r="AY54" s="193">
        <f xml:space="preserve"> (24.7% / ( 1 - 24.7%))</f>
        <v>0.32802124833997343</v>
      </c>
      <c r="AZ54" s="3"/>
      <c r="BA54" s="15"/>
      <c r="BB54" s="4"/>
      <c r="BC54" s="12"/>
      <c r="BD54" s="3"/>
      <c r="BE54" s="193">
        <f xml:space="preserve"> 29% / ( 1 - 29% )</f>
        <v>0.40845070422535212</v>
      </c>
      <c r="BF54" s="3"/>
      <c r="BG54" s="15"/>
      <c r="BH54" s="4"/>
      <c r="BI54" s="12"/>
      <c r="BJ54" s="3"/>
      <c r="BK54" s="193">
        <v>0.253</v>
      </c>
      <c r="BL54" s="3"/>
      <c r="BM54" s="15"/>
      <c r="BN54" s="4"/>
      <c r="BO54" s="12"/>
      <c r="BP54" s="3"/>
      <c r="BQ54" s="193">
        <v>0.253</v>
      </c>
      <c r="BR54" s="3"/>
      <c r="BS54" s="15"/>
      <c r="BT54" s="4"/>
      <c r="BU54" s="12"/>
      <c r="BV54" s="3"/>
      <c r="BW54" s="193">
        <f xml:space="preserve"> (24.7% / ( 1 - 24.7%))</f>
        <v>0.32802124833997343</v>
      </c>
      <c r="BX54" s="3"/>
      <c r="BY54" s="15"/>
      <c r="BZ54" s="195"/>
      <c r="CA54" s="195"/>
    </row>
    <row r="55" spans="1:79" x14ac:dyDescent="0.3">
      <c r="A55" s="93"/>
      <c r="B55" s="72"/>
      <c r="C55" s="98"/>
      <c r="E55" s="105" t="s">
        <v>105</v>
      </c>
      <c r="F55" s="23" t="str">
        <f>F52</f>
        <v>EUR / etmaal</v>
      </c>
      <c r="G55" s="73"/>
      <c r="H55" s="83"/>
      <c r="I55" s="74">
        <f xml:space="preserve"> I52 * ( 1 + I54 )</f>
        <v>7.1529439358773912</v>
      </c>
      <c r="J55" s="83"/>
      <c r="K55" s="75"/>
      <c r="M55" s="73"/>
      <c r="N55" s="83"/>
      <c r="O55" s="74">
        <f xml:space="preserve"> O52 * ( 1 + O54 )</f>
        <v>6.6886550092324528</v>
      </c>
      <c r="P55" s="83"/>
      <c r="Q55" s="75"/>
      <c r="R55" s="95"/>
      <c r="S55" s="73"/>
      <c r="T55" s="83"/>
      <c r="U55" s="74">
        <f xml:space="preserve"> U52 * ( 1 + U54 )</f>
        <v>6.1143366496834686</v>
      </c>
      <c r="V55" s="83"/>
      <c r="W55" s="75"/>
      <c r="X55" s="95"/>
      <c r="Y55" s="73"/>
      <c r="Z55" s="83"/>
      <c r="AA55" s="74">
        <f xml:space="preserve"> AA52 * ( 1 + AA54 )</f>
        <v>6.7259182300116036</v>
      </c>
      <c r="AB55" s="83"/>
      <c r="AC55" s="75"/>
      <c r="AD55" s="95"/>
      <c r="AE55" s="73"/>
      <c r="AF55" s="83"/>
      <c r="AG55" s="74">
        <f xml:space="preserve"> AG52 * ( 1 + AG54 )</f>
        <v>14.305887871754782</v>
      </c>
      <c r="AH55" s="83"/>
      <c r="AI55" s="75"/>
      <c r="AJ55" s="95"/>
      <c r="AK55" s="73"/>
      <c r="AL55" s="83"/>
      <c r="AM55" s="74">
        <f xml:space="preserve"> AM52 * ( 1 + AM54 )</f>
        <v>13.377310018464906</v>
      </c>
      <c r="AN55" s="83"/>
      <c r="AO55" s="75"/>
      <c r="AP55" s="95"/>
      <c r="AQ55" s="73"/>
      <c r="AR55" s="83"/>
      <c r="AS55" s="74">
        <f xml:space="preserve"> AS52 * ( 1 + AS54 )</f>
        <v>12.228673299366937</v>
      </c>
      <c r="AT55" s="83"/>
      <c r="AU55" s="75"/>
      <c r="AV55" s="95"/>
      <c r="AW55" s="73"/>
      <c r="AX55" s="83"/>
      <c r="AY55" s="74">
        <f xml:space="preserve"> AY52 * ( 1 + AY54 )</f>
        <v>13.451836460023207</v>
      </c>
      <c r="AZ55" s="83"/>
      <c r="BA55" s="75"/>
      <c r="BB55" s="95"/>
      <c r="BC55" s="73"/>
      <c r="BD55" s="83"/>
      <c r="BE55" s="74">
        <f xml:space="preserve"> BE52 * ( 1 + BE54 )</f>
        <v>28.611775743509565</v>
      </c>
      <c r="BF55" s="83"/>
      <c r="BG55" s="75"/>
      <c r="BH55" s="95"/>
      <c r="BI55" s="73"/>
      <c r="BJ55" s="83"/>
      <c r="BK55" s="74">
        <f xml:space="preserve"> BK52 * ( 1 + BK54 )</f>
        <v>26.754620036929811</v>
      </c>
      <c r="BL55" s="83"/>
      <c r="BM55" s="75"/>
      <c r="BO55" s="73"/>
      <c r="BP55" s="83"/>
      <c r="BQ55" s="74">
        <f xml:space="preserve"> BQ52 * ( 1 + BQ54 )</f>
        <v>24.457346598733874</v>
      </c>
      <c r="BR55" s="83"/>
      <c r="BS55" s="75"/>
      <c r="BU55" s="73"/>
      <c r="BV55" s="83"/>
      <c r="BW55" s="74">
        <f xml:space="preserve"> BW52 * ( 1 + BW54 )</f>
        <v>26.903672920046414</v>
      </c>
      <c r="BX55" s="83"/>
      <c r="BY55" s="75"/>
      <c r="BZ55" s="95"/>
      <c r="CA55" s="95"/>
    </row>
    <row r="56" spans="1:79" ht="6" customHeight="1" x14ac:dyDescent="0.3">
      <c r="A56" s="161"/>
      <c r="B56" s="27"/>
      <c r="C56" s="149"/>
      <c r="D56" s="101"/>
      <c r="E56" s="96"/>
      <c r="F56" s="95"/>
      <c r="G56" s="112"/>
      <c r="H56" s="95"/>
      <c r="I56" s="61"/>
      <c r="J56" s="95"/>
      <c r="K56" s="133"/>
      <c r="L56" s="101"/>
      <c r="M56" s="112"/>
      <c r="N56" s="95"/>
      <c r="O56" s="61"/>
      <c r="P56" s="95"/>
      <c r="Q56" s="133"/>
      <c r="R56" s="101"/>
      <c r="S56" s="112"/>
      <c r="T56" s="95"/>
      <c r="U56" s="61"/>
      <c r="V56" s="95"/>
      <c r="W56" s="133"/>
      <c r="X56" s="101"/>
      <c r="Y56" s="112"/>
      <c r="Z56" s="95"/>
      <c r="AA56" s="61"/>
      <c r="AB56" s="95"/>
      <c r="AC56" s="133"/>
      <c r="AD56" s="101"/>
      <c r="AE56" s="112"/>
      <c r="AF56" s="95"/>
      <c r="AG56" s="61"/>
      <c r="AH56" s="95"/>
      <c r="AI56" s="133"/>
      <c r="AJ56" s="101"/>
      <c r="AK56" s="112"/>
      <c r="AL56" s="95"/>
      <c r="AM56" s="61"/>
      <c r="AN56" s="95"/>
      <c r="AO56" s="133"/>
      <c r="AP56" s="101"/>
      <c r="AQ56" s="112"/>
      <c r="AR56" s="95"/>
      <c r="AS56" s="61"/>
      <c r="AT56" s="95"/>
      <c r="AU56" s="133"/>
      <c r="AV56" s="101"/>
      <c r="AW56" s="112"/>
      <c r="AX56" s="95"/>
      <c r="AY56" s="61"/>
      <c r="AZ56" s="95"/>
      <c r="BA56" s="133"/>
      <c r="BB56" s="101"/>
      <c r="BC56" s="112"/>
      <c r="BD56" s="95"/>
      <c r="BE56" s="61"/>
      <c r="BF56" s="95"/>
      <c r="BG56" s="133"/>
      <c r="BH56" s="101"/>
      <c r="BI56" s="112"/>
      <c r="BJ56" s="95"/>
      <c r="BK56" s="61"/>
      <c r="BL56" s="95"/>
      <c r="BM56" s="133"/>
      <c r="BN56" s="101"/>
      <c r="BO56" s="112"/>
      <c r="BP56" s="95"/>
      <c r="BQ56" s="61"/>
      <c r="BR56" s="95"/>
      <c r="BS56" s="133"/>
      <c r="BT56" s="101"/>
      <c r="BU56" s="112"/>
      <c r="BV56" s="95"/>
      <c r="BW56" s="61"/>
      <c r="BX56" s="95"/>
      <c r="BY56" s="133"/>
      <c r="BZ56" s="95"/>
      <c r="CA56" s="95"/>
    </row>
    <row r="57" spans="1:79" x14ac:dyDescent="0.3">
      <c r="A57" s="466"/>
      <c r="B57" s="467"/>
      <c r="C57" s="466"/>
      <c r="D57" s="468"/>
      <c r="E57" s="468" t="s">
        <v>2</v>
      </c>
      <c r="F57" s="470" t="s">
        <v>77</v>
      </c>
      <c r="G57" s="476"/>
      <c r="H57" s="480"/>
      <c r="I57" s="34">
        <v>0.01</v>
      </c>
      <c r="J57" s="480"/>
      <c r="K57" s="477"/>
      <c r="L57" s="468"/>
      <c r="M57" s="476"/>
      <c r="N57" s="480"/>
      <c r="O57" s="34">
        <v>0.01</v>
      </c>
      <c r="P57" s="480"/>
      <c r="Q57" s="477"/>
      <c r="R57" s="469"/>
      <c r="S57" s="476"/>
      <c r="T57" s="480"/>
      <c r="U57" s="34">
        <v>0.01</v>
      </c>
      <c r="V57" s="480"/>
      <c r="W57" s="477"/>
      <c r="X57" s="469"/>
      <c r="Y57" s="476"/>
      <c r="Z57" s="480"/>
      <c r="AA57" s="34">
        <v>0.01</v>
      </c>
      <c r="AB57" s="480"/>
      <c r="AC57" s="477"/>
      <c r="AD57" s="469"/>
      <c r="AE57" s="476"/>
      <c r="AF57" s="480"/>
      <c r="AG57" s="34">
        <v>0.01</v>
      </c>
      <c r="AH57" s="480"/>
      <c r="AI57" s="477"/>
      <c r="AJ57" s="469"/>
      <c r="AK57" s="476"/>
      <c r="AL57" s="480"/>
      <c r="AM57" s="34">
        <v>0.01</v>
      </c>
      <c r="AN57" s="480"/>
      <c r="AO57" s="477"/>
      <c r="AP57" s="469"/>
      <c r="AQ57" s="476"/>
      <c r="AR57" s="480"/>
      <c r="AS57" s="34">
        <v>0.01</v>
      </c>
      <c r="AT57" s="480"/>
      <c r="AU57" s="477"/>
      <c r="AV57" s="469"/>
      <c r="AW57" s="476"/>
      <c r="AX57" s="480"/>
      <c r="AY57" s="34">
        <v>0.01</v>
      </c>
      <c r="AZ57" s="480"/>
      <c r="BA57" s="477"/>
      <c r="BB57" s="469"/>
      <c r="BC57" s="476"/>
      <c r="BD57" s="480"/>
      <c r="BE57" s="34">
        <v>0.01</v>
      </c>
      <c r="BF57" s="480"/>
      <c r="BG57" s="477"/>
      <c r="BH57" s="469"/>
      <c r="BI57" s="476"/>
      <c r="BJ57" s="480"/>
      <c r="BK57" s="34">
        <v>0.01</v>
      </c>
      <c r="BL57" s="480"/>
      <c r="BM57" s="477"/>
      <c r="BN57" s="468"/>
      <c r="BO57" s="476"/>
      <c r="BP57" s="480"/>
      <c r="BQ57" s="34">
        <v>0.01</v>
      </c>
      <c r="BR57" s="480"/>
      <c r="BS57" s="477"/>
      <c r="BT57" s="468"/>
      <c r="BU57" s="476"/>
      <c r="BV57" s="480"/>
      <c r="BW57" s="34">
        <v>0.01</v>
      </c>
      <c r="BX57" s="480"/>
      <c r="BY57" s="477"/>
      <c r="BZ57" s="468"/>
      <c r="CA57" s="469"/>
    </row>
    <row r="58" spans="1:79" x14ac:dyDescent="0.3">
      <c r="E58" s="136" t="s">
        <v>43</v>
      </c>
      <c r="F58" s="23" t="s">
        <v>38</v>
      </c>
      <c r="G58" s="26"/>
      <c r="H58" s="24"/>
      <c r="I58" s="483">
        <f xml:space="preserve"> I55 * ( 1 + I57 )</f>
        <v>7.2244733752361654</v>
      </c>
      <c r="J58" s="24"/>
      <c r="K58" s="25"/>
      <c r="M58" s="26"/>
      <c r="N58" s="24"/>
      <c r="O58" s="483">
        <f xml:space="preserve"> O55 * ( 1 + O57 )</f>
        <v>6.7555415593247776</v>
      </c>
      <c r="P58" s="24"/>
      <c r="Q58" s="25"/>
      <c r="S58" s="26"/>
      <c r="T58" s="24"/>
      <c r="U58" s="483">
        <f xml:space="preserve"> U55 * ( 1 + U57 )</f>
        <v>6.1754800161803036</v>
      </c>
      <c r="V58" s="24"/>
      <c r="W58" s="25"/>
      <c r="Y58" s="26"/>
      <c r="Z58" s="24"/>
      <c r="AA58" s="483">
        <f xml:space="preserve"> AA55 * ( 1 + AA57 )</f>
        <v>6.7931774123117199</v>
      </c>
      <c r="AB58" s="24"/>
      <c r="AC58" s="25"/>
      <c r="AE58" s="26"/>
      <c r="AF58" s="24"/>
      <c r="AG58" s="483">
        <f xml:space="preserve"> AG55 * ( 1 + AG57 )</f>
        <v>14.448946750472331</v>
      </c>
      <c r="AH58" s="24"/>
      <c r="AI58" s="25"/>
      <c r="AK58" s="26"/>
      <c r="AL58" s="24"/>
      <c r="AM58" s="483">
        <f xml:space="preserve"> AM55 * ( 1 + AM57 )</f>
        <v>13.511083118649555</v>
      </c>
      <c r="AN58" s="24"/>
      <c r="AO58" s="25"/>
      <c r="AQ58" s="26"/>
      <c r="AR58" s="24"/>
      <c r="AS58" s="483">
        <f xml:space="preserve"> AS55 * ( 1 + AS57 )</f>
        <v>12.350960032360607</v>
      </c>
      <c r="AT58" s="24"/>
      <c r="AU58" s="25"/>
      <c r="AW58" s="26"/>
      <c r="AX58" s="24"/>
      <c r="AY58" s="483">
        <f xml:space="preserve"> AY55 * ( 1 + AY57 )</f>
        <v>13.58635482462344</v>
      </c>
      <c r="AZ58" s="24"/>
      <c r="BA58" s="25"/>
      <c r="BC58" s="26"/>
      <c r="BD58" s="24"/>
      <c r="BE58" s="483">
        <f xml:space="preserve"> BE55 * ( 1 + BE57 )</f>
        <v>28.897893500944662</v>
      </c>
      <c r="BF58" s="24"/>
      <c r="BG58" s="25"/>
      <c r="BI58" s="26"/>
      <c r="BJ58" s="24"/>
      <c r="BK58" s="483">
        <f xml:space="preserve"> BK55 * ( 1 + BK57 )</f>
        <v>27.02216623729911</v>
      </c>
      <c r="BL58" s="24"/>
      <c r="BM58" s="25"/>
      <c r="BO58" s="26"/>
      <c r="BP58" s="24"/>
      <c r="BQ58" s="483">
        <f xml:space="preserve"> BQ55 * ( 1 + BQ57 )</f>
        <v>24.701920064721214</v>
      </c>
      <c r="BR58" s="24"/>
      <c r="BS58" s="25"/>
      <c r="BU58" s="26"/>
      <c r="BV58" s="24"/>
      <c r="BW58" s="483">
        <f xml:space="preserve"> BW55 * ( 1 + BW57 )</f>
        <v>27.17270964924688</v>
      </c>
      <c r="BX58" s="24"/>
      <c r="BY58" s="25"/>
    </row>
    <row r="59" spans="1:79" x14ac:dyDescent="0.3">
      <c r="L59" s="93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/>
      <c r="AP59" s="95"/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5"/>
      <c r="BH59" s="95"/>
      <c r="BI59" s="95"/>
      <c r="BJ59" s="95"/>
      <c r="BK59" s="95"/>
      <c r="BL59" s="95"/>
      <c r="BM59" s="95"/>
      <c r="BN59" s="95"/>
      <c r="BO59" s="95"/>
      <c r="BP59" s="95"/>
      <c r="BQ59" s="95"/>
      <c r="BR59" s="95"/>
      <c r="BS59" s="95"/>
      <c r="BT59" s="95"/>
      <c r="BU59" s="95"/>
      <c r="BV59" s="95"/>
      <c r="BW59" s="95"/>
      <c r="BX59" s="95"/>
      <c r="BY59" s="95"/>
      <c r="BZ59" s="95"/>
      <c r="CA59" s="95"/>
    </row>
    <row r="60" spans="1:79" x14ac:dyDescent="0.3">
      <c r="A60" s="173" t="s">
        <v>63</v>
      </c>
      <c r="B60" s="173" t="s">
        <v>63</v>
      </c>
      <c r="C60" s="173" t="s">
        <v>63</v>
      </c>
      <c r="D60" s="173" t="s">
        <v>63</v>
      </c>
      <c r="E60" s="173" t="s">
        <v>63</v>
      </c>
      <c r="F60" s="173" t="s">
        <v>63</v>
      </c>
      <c r="G60" s="173" t="s">
        <v>63</v>
      </c>
      <c r="H60" s="173" t="s">
        <v>63</v>
      </c>
      <c r="I60" s="80" t="s">
        <v>63</v>
      </c>
      <c r="J60" s="173"/>
      <c r="K60" s="173"/>
      <c r="L60" s="173" t="s">
        <v>63</v>
      </c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  <c r="BQ60" s="173"/>
      <c r="BR60" s="173"/>
      <c r="BS60" s="173"/>
      <c r="BT60" s="173"/>
      <c r="BU60" s="173"/>
      <c r="BV60" s="173"/>
      <c r="BW60" s="173"/>
      <c r="BX60" s="173"/>
      <c r="BY60" s="173"/>
      <c r="BZ60" s="173"/>
      <c r="CA60" s="173"/>
    </row>
    <row r="61" spans="1:79" x14ac:dyDescent="0.3">
      <c r="I61" s="126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  <c r="AC61" s="95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95"/>
      <c r="AP61" s="95"/>
      <c r="AQ61" s="95"/>
      <c r="AR61" s="95"/>
      <c r="AS61" s="95"/>
      <c r="AT61" s="95"/>
      <c r="AU61" s="95"/>
      <c r="AV61" s="95"/>
      <c r="AW61" s="95"/>
      <c r="AX61" s="95"/>
      <c r="AY61" s="95"/>
      <c r="AZ61" s="95"/>
      <c r="BA61" s="95"/>
      <c r="BB61" s="95"/>
      <c r="BC61" s="95"/>
      <c r="BD61" s="95"/>
      <c r="BE61" s="95"/>
      <c r="BF61" s="95"/>
      <c r="BG61" s="95"/>
      <c r="BH61" s="95"/>
      <c r="BI61" s="95"/>
      <c r="BJ61" s="95"/>
      <c r="BK61" s="95"/>
      <c r="BL61" s="95"/>
      <c r="BM61" s="95"/>
      <c r="BN61" s="95"/>
      <c r="BO61" s="95"/>
      <c r="BP61" s="95"/>
      <c r="BQ61" s="95"/>
      <c r="BR61" s="95"/>
      <c r="BS61" s="95"/>
      <c r="BT61" s="95"/>
      <c r="BU61" s="95"/>
      <c r="BV61" s="95"/>
      <c r="BW61" s="95"/>
      <c r="BX61" s="95"/>
      <c r="BY61" s="95"/>
      <c r="BZ61" s="95"/>
      <c r="CA61" s="95"/>
    </row>
    <row r="62" spans="1:79" x14ac:dyDescent="0.3">
      <c r="I62" s="126"/>
      <c r="O62" s="126"/>
    </row>
    <row r="64" spans="1:79" x14ac:dyDescent="0.3">
      <c r="I64" s="126"/>
    </row>
    <row r="65" spans="9:9" x14ac:dyDescent="0.3">
      <c r="I65" s="126"/>
    </row>
    <row r="66" spans="9:9" x14ac:dyDescent="0.3">
      <c r="I66" s="82"/>
    </row>
  </sheetData>
  <mergeCells count="36">
    <mergeCell ref="G10:K10"/>
    <mergeCell ref="M10:Q10"/>
    <mergeCell ref="S10:W10"/>
    <mergeCell ref="BC10:BG10"/>
    <mergeCell ref="BI10:BM10"/>
    <mergeCell ref="BI9:BM9"/>
    <mergeCell ref="AK8:AO8"/>
    <mergeCell ref="AQ8:AU8"/>
    <mergeCell ref="AQ9:AU9"/>
    <mergeCell ref="G9:K9"/>
    <mergeCell ref="M9:Q9"/>
    <mergeCell ref="S9:W9"/>
    <mergeCell ref="AE9:AI9"/>
    <mergeCell ref="AK9:AO9"/>
    <mergeCell ref="G8:K8"/>
    <mergeCell ref="M8:Q8"/>
    <mergeCell ref="S8:W8"/>
    <mergeCell ref="BC8:BG8"/>
    <mergeCell ref="BI8:BM8"/>
    <mergeCell ref="AE8:AI8"/>
    <mergeCell ref="BU8:BY8"/>
    <mergeCell ref="BU9:BY9"/>
    <mergeCell ref="BU10:BY10"/>
    <mergeCell ref="Y8:AC8"/>
    <mergeCell ref="Y9:AC9"/>
    <mergeCell ref="Y10:AC10"/>
    <mergeCell ref="AW8:BA8"/>
    <mergeCell ref="AW9:BA9"/>
    <mergeCell ref="AW10:BA10"/>
    <mergeCell ref="BO8:BS8"/>
    <mergeCell ref="BO10:BS10"/>
    <mergeCell ref="AE10:AI10"/>
    <mergeCell ref="AK10:AO10"/>
    <mergeCell ref="AQ10:AU10"/>
    <mergeCell ref="BO9:BS9"/>
    <mergeCell ref="BC9:BG9"/>
  </mergeCells>
  <conditionalFormatting sqref="BC9:BG9">
    <cfRule type="notContainsBlanks" dxfId="11" priority="27" stopIfTrue="1">
      <formula>LEN(TRIM(BC9))&gt;0</formula>
    </cfRule>
  </conditionalFormatting>
  <conditionalFormatting sqref="G9:K9">
    <cfRule type="notContainsBlanks" dxfId="10" priority="26" stopIfTrue="1">
      <formula>LEN(TRIM(G9))&gt;0</formula>
    </cfRule>
  </conditionalFormatting>
  <conditionalFormatting sqref="AE9:AI9">
    <cfRule type="notContainsBlanks" dxfId="9" priority="22" stopIfTrue="1">
      <formula>LEN(TRIM(AE9))&gt;0</formula>
    </cfRule>
  </conditionalFormatting>
  <conditionalFormatting sqref="M9:Q9">
    <cfRule type="notContainsBlanks" dxfId="8" priority="9" stopIfTrue="1">
      <formula>LEN(TRIM(M9))&gt;0</formula>
    </cfRule>
  </conditionalFormatting>
  <conditionalFormatting sqref="S9:W9">
    <cfRule type="notContainsBlanks" dxfId="7" priority="8" stopIfTrue="1">
      <formula>LEN(TRIM(S9))&gt;0</formula>
    </cfRule>
  </conditionalFormatting>
  <conditionalFormatting sqref="Y9:AC9">
    <cfRule type="notContainsBlanks" dxfId="6" priority="7" stopIfTrue="1">
      <formula>LEN(TRIM(Y9))&gt;0</formula>
    </cfRule>
  </conditionalFormatting>
  <conditionalFormatting sqref="AK9:AO9">
    <cfRule type="notContainsBlanks" dxfId="5" priority="6" stopIfTrue="1">
      <formula>LEN(TRIM(AK9))&gt;0</formula>
    </cfRule>
  </conditionalFormatting>
  <conditionalFormatting sqref="AQ9:AU9">
    <cfRule type="notContainsBlanks" dxfId="4" priority="5" stopIfTrue="1">
      <formula>LEN(TRIM(AQ9))&gt;0</formula>
    </cfRule>
  </conditionalFormatting>
  <conditionalFormatting sqref="AW9:BA9">
    <cfRule type="notContainsBlanks" dxfId="3" priority="4" stopIfTrue="1">
      <formula>LEN(TRIM(AW9))&gt;0</formula>
    </cfRule>
  </conditionalFormatting>
  <conditionalFormatting sqref="BI9:BM9">
    <cfRule type="notContainsBlanks" dxfId="2" priority="3" stopIfTrue="1">
      <formula>LEN(TRIM(BI9))&gt;0</formula>
    </cfRule>
  </conditionalFormatting>
  <conditionalFormatting sqref="BO9:BS9">
    <cfRule type="notContainsBlanks" dxfId="1" priority="2" stopIfTrue="1">
      <formula>LEN(TRIM(BO9))&gt;0</formula>
    </cfRule>
  </conditionalFormatting>
  <conditionalFormatting sqref="BU9:BY9">
    <cfRule type="notContainsBlanks" dxfId="0" priority="1" stopIfTrue="1">
      <formula>LEN(TRIM(BU9))&gt;0</formula>
    </cfRule>
  </conditionalFormatting>
  <dataValidations count="2">
    <dataValidation type="list" allowBlank="1" showInputMessage="1" showErrorMessage="1" sqref="BC8:BG8 G8:K8 M8:Q8 S8:W8 BI8:BM8 BO8:BS8 AE8:AI8 AK8:AO8 AQ8:AU8 Y8:AC8 AW8:BA8 BU8:BY8" xr:uid="{8DC34C93-202F-4F27-96E6-EC0BE2CA8A54}">
      <formula1>"Module 2a: veiligheid, Module 2b: sociaal beheer"</formula1>
    </dataValidation>
    <dataValidation type="list" allowBlank="1" showInputMessage="1" showErrorMessage="1" sqref="M16 G16 S16 BC16 BI16 BO16 AE16 AK16 AQ16 Y16 AW16 BU16" xr:uid="{536F57AE-A83D-4014-8EF7-08B7FABF03D1}">
      <formula1>"% jaarsalaris EXCL. VU, % jaarsalaris INCL. VU"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69D3E-8DBF-4823-AE97-FC5612BA0D0B}">
  <sheetPr>
    <tabColor rgb="FFFFFFAF"/>
  </sheetPr>
  <dimension ref="A1:P41"/>
  <sheetViews>
    <sheetView showGridLines="0" zoomScaleNormal="100" workbookViewId="0">
      <selection activeCell="I33" sqref="I33"/>
    </sheetView>
  </sheetViews>
  <sheetFormatPr defaultColWidth="0" defaultRowHeight="13.8" x14ac:dyDescent="0.3"/>
  <cols>
    <col min="1" max="2" width="1.21875" style="7" customWidth="1"/>
    <col min="3" max="3" width="1.21875" style="8" customWidth="1"/>
    <col min="4" max="4" width="1.21875" style="9" customWidth="1"/>
    <col min="5" max="5" width="10.77734375" style="6" customWidth="1"/>
    <col min="6" max="6" width="20.77734375" style="6" customWidth="1"/>
    <col min="7" max="7" width="1.77734375" style="6" customWidth="1"/>
    <col min="8" max="8" width="10.77734375" style="6" customWidth="1"/>
    <col min="9" max="9" width="20.77734375" style="6" customWidth="1"/>
    <col min="10" max="10" width="1.77734375" style="6" customWidth="1"/>
    <col min="11" max="11" width="10.77734375" style="6" customWidth="1"/>
    <col min="12" max="12" width="20.77734375" style="6" customWidth="1"/>
    <col min="13" max="13" width="1.77734375" style="6" customWidth="1"/>
    <col min="14" max="16" width="0" style="6" hidden="1" customWidth="1"/>
    <col min="17" max="16384" width="9.21875" style="6" hidden="1"/>
  </cols>
  <sheetData>
    <row r="1" spans="1:12" ht="25.8" x14ac:dyDescent="0.5">
      <c r="A1" s="106" t="str">
        <f ca="1">RIGHT(CELL("filename",$A$1),LEN(CELL("filename",$A$1))-SEARCH("]",CELL("filename",$A$1)))</f>
        <v>Bron - cao's 2020</v>
      </c>
    </row>
    <row r="5" spans="1:12" x14ac:dyDescent="0.3">
      <c r="E5" s="35" t="s">
        <v>59</v>
      </c>
      <c r="F5" s="36"/>
      <c r="H5" s="35" t="s">
        <v>59</v>
      </c>
      <c r="I5" s="36"/>
      <c r="K5" s="35" t="s">
        <v>59</v>
      </c>
      <c r="L5" s="36"/>
    </row>
    <row r="6" spans="1:12" x14ac:dyDescent="0.3">
      <c r="E6" s="37" t="s">
        <v>8</v>
      </c>
      <c r="F6" s="38" t="s">
        <v>56</v>
      </c>
      <c r="H6" s="37" t="s">
        <v>8</v>
      </c>
      <c r="I6" s="38" t="s">
        <v>57</v>
      </c>
      <c r="K6" s="37" t="s">
        <v>8</v>
      </c>
      <c r="L6" s="38" t="s">
        <v>91</v>
      </c>
    </row>
    <row r="7" spans="1:12" x14ac:dyDescent="0.3">
      <c r="E7" s="41"/>
      <c r="F7" s="42"/>
      <c r="H7" s="39">
        <v>5</v>
      </c>
      <c r="I7" s="43">
        <v>1963</v>
      </c>
      <c r="K7" s="39">
        <v>5</v>
      </c>
      <c r="L7" s="43">
        <v>1653.6</v>
      </c>
    </row>
    <row r="8" spans="1:12" x14ac:dyDescent="0.3">
      <c r="E8" s="39">
        <v>10</v>
      </c>
      <c r="F8" s="43">
        <v>2077</v>
      </c>
      <c r="H8" s="39">
        <v>10</v>
      </c>
      <c r="I8" s="43">
        <v>2085</v>
      </c>
      <c r="K8" s="39">
        <v>10</v>
      </c>
      <c r="L8" s="43">
        <v>1774.69</v>
      </c>
    </row>
    <row r="9" spans="1:12" x14ac:dyDescent="0.3">
      <c r="E9" s="39">
        <v>15</v>
      </c>
      <c r="F9" s="43">
        <v>2218</v>
      </c>
      <c r="H9" s="39">
        <v>15</v>
      </c>
      <c r="I9" s="43">
        <v>2226</v>
      </c>
      <c r="K9" s="39">
        <v>15</v>
      </c>
      <c r="L9" s="43">
        <v>2205.77</v>
      </c>
    </row>
    <row r="10" spans="1:12" x14ac:dyDescent="0.3">
      <c r="E10" s="39">
        <v>20</v>
      </c>
      <c r="F10" s="43">
        <v>2357</v>
      </c>
      <c r="H10" s="39">
        <v>20</v>
      </c>
      <c r="I10" s="43">
        <v>2365</v>
      </c>
      <c r="K10" s="39">
        <v>20</v>
      </c>
      <c r="L10" s="43">
        <v>2344.9299999999998</v>
      </c>
    </row>
    <row r="11" spans="1:12" x14ac:dyDescent="0.3">
      <c r="E11" s="39">
        <v>25</v>
      </c>
      <c r="F11" s="43">
        <v>2487</v>
      </c>
      <c r="H11" s="39">
        <v>25</v>
      </c>
      <c r="I11" s="43">
        <v>2495</v>
      </c>
      <c r="K11" s="39">
        <v>25</v>
      </c>
      <c r="L11" s="43">
        <v>2481.3000000000002</v>
      </c>
    </row>
    <row r="12" spans="1:12" x14ac:dyDescent="0.3">
      <c r="E12" s="39">
        <v>30</v>
      </c>
      <c r="F12" s="43">
        <v>2622</v>
      </c>
      <c r="H12" s="39">
        <v>30</v>
      </c>
      <c r="I12" s="43">
        <v>2633</v>
      </c>
      <c r="K12" s="39">
        <v>30</v>
      </c>
      <c r="L12" s="43">
        <v>2554.98</v>
      </c>
    </row>
    <row r="13" spans="1:12" x14ac:dyDescent="0.3">
      <c r="E13" s="39">
        <v>35</v>
      </c>
      <c r="F13" s="43">
        <v>2757</v>
      </c>
      <c r="H13" s="39">
        <v>35</v>
      </c>
      <c r="I13" s="43">
        <v>2766</v>
      </c>
      <c r="K13" s="39">
        <v>35</v>
      </c>
      <c r="L13" s="43">
        <v>2762.34</v>
      </c>
    </row>
    <row r="14" spans="1:12" x14ac:dyDescent="0.3">
      <c r="E14" s="39">
        <v>40</v>
      </c>
      <c r="F14" s="43">
        <v>3037</v>
      </c>
      <c r="H14" s="39">
        <v>40</v>
      </c>
      <c r="I14" s="43">
        <v>2902</v>
      </c>
      <c r="K14" s="39">
        <v>40</v>
      </c>
      <c r="L14" s="43">
        <v>2971.05</v>
      </c>
    </row>
    <row r="15" spans="1:12" x14ac:dyDescent="0.3">
      <c r="E15" s="39">
        <v>45</v>
      </c>
      <c r="F15" s="43">
        <v>3326</v>
      </c>
      <c r="H15" s="39">
        <v>45</v>
      </c>
      <c r="I15" s="43">
        <v>3189</v>
      </c>
      <c r="K15" s="39">
        <v>45</v>
      </c>
      <c r="L15" s="43">
        <v>3264.29</v>
      </c>
    </row>
    <row r="16" spans="1:12" x14ac:dyDescent="0.3">
      <c r="E16" s="39">
        <v>50</v>
      </c>
      <c r="F16" s="43">
        <v>3678</v>
      </c>
      <c r="H16" s="39">
        <v>50</v>
      </c>
      <c r="I16" s="43">
        <v>3624</v>
      </c>
      <c r="K16" s="39">
        <v>50</v>
      </c>
      <c r="L16" s="43">
        <v>3707.64</v>
      </c>
    </row>
    <row r="17" spans="5:12" x14ac:dyDescent="0.3">
      <c r="E17" s="39">
        <v>55</v>
      </c>
      <c r="F17" s="43">
        <v>4131</v>
      </c>
      <c r="H17" s="39">
        <v>55</v>
      </c>
      <c r="I17" s="43">
        <v>4082</v>
      </c>
      <c r="K17" s="39">
        <v>55</v>
      </c>
      <c r="L17" s="43">
        <v>4161.92</v>
      </c>
    </row>
    <row r="18" spans="5:12" x14ac:dyDescent="0.3">
      <c r="E18" s="39">
        <v>60</v>
      </c>
      <c r="F18" s="43">
        <v>4620</v>
      </c>
      <c r="H18" s="39">
        <v>60</v>
      </c>
      <c r="I18" s="43">
        <v>4652</v>
      </c>
      <c r="K18" s="39">
        <v>60</v>
      </c>
      <c r="L18" s="43">
        <v>4744.3999999999996</v>
      </c>
    </row>
    <row r="19" spans="5:12" x14ac:dyDescent="0.3">
      <c r="E19" s="39">
        <v>65</v>
      </c>
      <c r="F19" s="43">
        <v>5439</v>
      </c>
      <c r="H19" s="39">
        <v>65</v>
      </c>
      <c r="I19" s="43">
        <v>5476</v>
      </c>
      <c r="K19" s="39">
        <v>65</v>
      </c>
      <c r="L19" s="43">
        <v>5584.67</v>
      </c>
    </row>
    <row r="20" spans="5:12" x14ac:dyDescent="0.3">
      <c r="E20" s="39">
        <v>70</v>
      </c>
      <c r="F20" s="43">
        <v>6564</v>
      </c>
      <c r="H20" s="39">
        <v>70</v>
      </c>
      <c r="I20" s="43">
        <v>6613</v>
      </c>
      <c r="K20" s="39">
        <v>70</v>
      </c>
      <c r="L20" s="43">
        <v>6740.1</v>
      </c>
    </row>
    <row r="21" spans="5:12" x14ac:dyDescent="0.3">
      <c r="E21" s="39">
        <v>75</v>
      </c>
      <c r="F21" s="43">
        <v>7934</v>
      </c>
      <c r="H21" s="39">
        <v>75</v>
      </c>
      <c r="I21" s="43">
        <v>8004</v>
      </c>
      <c r="K21" s="39">
        <v>75</v>
      </c>
      <c r="L21" s="43">
        <v>8146.47</v>
      </c>
    </row>
    <row r="22" spans="5:12" x14ac:dyDescent="0.3">
      <c r="E22" s="39">
        <v>80</v>
      </c>
      <c r="F22" s="43">
        <v>9278</v>
      </c>
      <c r="H22" s="39">
        <v>80</v>
      </c>
      <c r="I22" s="43">
        <v>9515</v>
      </c>
      <c r="K22" s="39">
        <v>80</v>
      </c>
      <c r="L22" s="43">
        <v>9525.59</v>
      </c>
    </row>
    <row r="23" spans="5:12" x14ac:dyDescent="0.3">
      <c r="E23" s="47" t="s">
        <v>60</v>
      </c>
      <c r="F23" s="44">
        <v>9294</v>
      </c>
      <c r="H23" s="45"/>
      <c r="I23" s="46"/>
      <c r="K23" s="45"/>
      <c r="L23" s="46"/>
    </row>
    <row r="25" spans="5:12" x14ac:dyDescent="0.3">
      <c r="E25" s="35" t="s">
        <v>59</v>
      </c>
      <c r="F25" s="36"/>
      <c r="H25" s="35" t="s">
        <v>59</v>
      </c>
      <c r="I25" s="36"/>
    </row>
    <row r="26" spans="5:12" x14ac:dyDescent="0.3">
      <c r="E26" s="37" t="s">
        <v>8</v>
      </c>
      <c r="F26" s="38" t="s">
        <v>58</v>
      </c>
      <c r="H26" s="37" t="s">
        <v>8</v>
      </c>
      <c r="I26" s="38" t="s">
        <v>61</v>
      </c>
    </row>
    <row r="27" spans="5:12" x14ac:dyDescent="0.3">
      <c r="E27" s="39">
        <v>1</v>
      </c>
      <c r="F27" s="43">
        <v>2208.16</v>
      </c>
      <c r="H27" s="39">
        <v>1</v>
      </c>
      <c r="I27" s="43">
        <v>2262</v>
      </c>
    </row>
    <row r="28" spans="5:12" x14ac:dyDescent="0.3">
      <c r="E28" s="39">
        <v>2</v>
      </c>
      <c r="F28" s="43">
        <v>2323.1999999999998</v>
      </c>
      <c r="H28" s="39">
        <v>2</v>
      </c>
      <c r="I28" s="43">
        <v>2403</v>
      </c>
    </row>
    <row r="29" spans="5:12" x14ac:dyDescent="0.3">
      <c r="E29" s="39">
        <v>3</v>
      </c>
      <c r="F29" s="43">
        <v>2452.48</v>
      </c>
      <c r="H29" s="39">
        <v>3</v>
      </c>
      <c r="I29" s="43">
        <v>2550</v>
      </c>
    </row>
    <row r="30" spans="5:12" x14ac:dyDescent="0.3">
      <c r="E30" s="39">
        <v>4</v>
      </c>
      <c r="F30" s="43">
        <v>2623.43</v>
      </c>
      <c r="H30" s="39">
        <v>4</v>
      </c>
      <c r="I30" s="43">
        <v>2763</v>
      </c>
    </row>
    <row r="31" spans="5:12" x14ac:dyDescent="0.3">
      <c r="E31" s="39">
        <v>5</v>
      </c>
      <c r="F31" s="43">
        <v>2816.77</v>
      </c>
      <c r="H31" s="39">
        <v>5</v>
      </c>
      <c r="I31" s="43">
        <v>2936</v>
      </c>
    </row>
    <row r="32" spans="5:12" x14ac:dyDescent="0.3">
      <c r="E32" s="39">
        <v>6</v>
      </c>
      <c r="F32" s="43">
        <v>3036.87</v>
      </c>
      <c r="H32" s="39">
        <v>6</v>
      </c>
      <c r="I32" s="43">
        <v>3279</v>
      </c>
    </row>
    <row r="33" spans="5:9" x14ac:dyDescent="0.3">
      <c r="E33" s="39">
        <v>7</v>
      </c>
      <c r="F33" s="43">
        <v>3285.52</v>
      </c>
      <c r="H33" s="39">
        <v>7</v>
      </c>
      <c r="I33" s="43">
        <v>3494</v>
      </c>
    </row>
    <row r="34" spans="5:9" x14ac:dyDescent="0.3">
      <c r="E34" s="39">
        <v>8</v>
      </c>
      <c r="F34" s="43">
        <v>3568.98</v>
      </c>
      <c r="H34" s="39">
        <v>8</v>
      </c>
      <c r="I34" s="43">
        <v>3738</v>
      </c>
    </row>
    <row r="35" spans="5:9" x14ac:dyDescent="0.3">
      <c r="E35" s="39">
        <v>9</v>
      </c>
      <c r="F35" s="43">
        <v>3888.56</v>
      </c>
      <c r="H35" s="39">
        <v>9</v>
      </c>
      <c r="I35" s="43">
        <v>4252</v>
      </c>
    </row>
    <row r="36" spans="5:9" x14ac:dyDescent="0.3">
      <c r="E36" s="39">
        <v>10</v>
      </c>
      <c r="F36" s="43">
        <v>4255.95</v>
      </c>
      <c r="H36" s="39">
        <v>10</v>
      </c>
      <c r="I36" s="43">
        <v>4712</v>
      </c>
    </row>
    <row r="37" spans="5:9" x14ac:dyDescent="0.3">
      <c r="E37" s="39">
        <v>11</v>
      </c>
      <c r="F37" s="43">
        <v>4896.26</v>
      </c>
      <c r="H37" s="39">
        <v>11</v>
      </c>
      <c r="I37" s="43">
        <v>5225</v>
      </c>
    </row>
    <row r="38" spans="5:9" x14ac:dyDescent="0.3">
      <c r="E38" s="39">
        <v>12</v>
      </c>
      <c r="F38" s="43">
        <v>5616.78</v>
      </c>
      <c r="H38" s="39">
        <v>12</v>
      </c>
      <c r="I38" s="43">
        <v>5801</v>
      </c>
    </row>
    <row r="39" spans="5:9" x14ac:dyDescent="0.3">
      <c r="E39" s="39">
        <v>13</v>
      </c>
      <c r="F39" s="43">
        <v>6443.6</v>
      </c>
      <c r="H39" s="39">
        <v>13</v>
      </c>
      <c r="I39" s="43">
        <v>6466</v>
      </c>
    </row>
    <row r="40" spans="5:9" x14ac:dyDescent="0.3">
      <c r="E40" s="39">
        <v>14</v>
      </c>
      <c r="F40" s="43">
        <v>8125.24</v>
      </c>
      <c r="H40" s="39">
        <v>14</v>
      </c>
      <c r="I40" s="43">
        <v>7183</v>
      </c>
    </row>
    <row r="41" spans="5:9" x14ac:dyDescent="0.3">
      <c r="E41" s="40">
        <v>15</v>
      </c>
      <c r="F41" s="44">
        <v>9500.9599999999991</v>
      </c>
      <c r="H41" s="40">
        <v>15</v>
      </c>
      <c r="I41" s="44">
        <v>7976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99F3624B59614EA54D7B143317B441" ma:contentTypeVersion="" ma:contentTypeDescription="Create a new document." ma:contentTypeScope="" ma:versionID="cf8569fb2536c102bd57431556b41640">
  <xsd:schema xmlns:xsd="http://www.w3.org/2001/XMLSchema" xmlns:xs="http://www.w3.org/2001/XMLSchema" xmlns:p="http://schemas.microsoft.com/office/2006/metadata/properties" xmlns:ns1="http://schemas.microsoft.com/sharepoint/v3" xmlns:ns2="e722d3c4-5633-40de-9150-dbf9b67024c0" xmlns:ns3="203c0d2d-9c8c-44e5-9724-d7b86ef69e66" targetNamespace="http://schemas.microsoft.com/office/2006/metadata/properties" ma:root="true" ma:fieldsID="cf364e1c79a70081f5c9c9fb0fca649d" ns1:_="" ns2:_="" ns3:_="">
    <xsd:import namespace="http://schemas.microsoft.com/sharepoint/v3"/>
    <xsd:import namespace="e722d3c4-5633-40de-9150-dbf9b67024c0"/>
    <xsd:import namespace="203c0d2d-9c8c-44e5-9724-d7b86ef69e6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22d3c4-5633-40de-9150-dbf9b67024c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3c0d2d-9c8c-44e5-9724-d7b86ef69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F9C449-00EE-415D-A5BB-424E4D2EC8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722d3c4-5633-40de-9150-dbf9b67024c0"/>
    <ds:schemaRef ds:uri="203c0d2d-9c8c-44e5-9724-d7b86ef69e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EB43F7-EA53-4222-B209-22BDA846B54F}">
  <ds:schemaRefs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e722d3c4-5633-40de-9150-dbf9b67024c0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1ab7933d-5d76-4aca-8e2c-aaf9fd698b0f"/>
    <ds:schemaRef ds:uri="a8f515e1-b07c-45d7-8c90-46c31aadc490"/>
    <ds:schemaRef ds:uri="http://schemas.microsoft.com/office/2006/metadata/propertie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933A3EC6-5DF0-4CCF-B4FD-2CFE459D2A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PPT</vt:lpstr>
      <vt:lpstr>Tarieven</vt:lpstr>
      <vt:lpstr>Ind. beg. Ambulant</vt:lpstr>
      <vt:lpstr>Ind. beg. Wonen</vt:lpstr>
      <vt:lpstr>Daginvulling</vt:lpstr>
      <vt:lpstr>Wonen - Sociaal beheer</vt:lpstr>
      <vt:lpstr>Wonen - Veiligheid</vt:lpstr>
      <vt:lpstr>Bron - cao's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Berens</dc:creator>
  <cp:lastModifiedBy>Erwin Post</cp:lastModifiedBy>
  <cp:lastPrinted>2022-02-15T13:02:36Z</cp:lastPrinted>
  <dcterms:created xsi:type="dcterms:W3CDTF">2021-09-09T11:28:57Z</dcterms:created>
  <dcterms:modified xsi:type="dcterms:W3CDTF">2022-03-29T10:16:26Z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0x010100D999F3624B59614EA54D7B143317B441</vt:lpwstr>
  </property>
</Properties>
</file>