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sparkparkeren.sharepoint.com/sites/GemeenteNissewaardOndersteuningparkeermanagement/Gedeelde documenten/General/NvI/"/>
    </mc:Choice>
  </mc:AlternateContent>
  <xr:revisionPtr revIDLastSave="1107" documentId="8_{3583DED2-0B0B-465A-9EDA-970C3748C367}" xr6:coauthVersionLast="47" xr6:coauthVersionMax="47" xr10:uidLastSave="{64202896-4E7D-4F6D-86D2-72C7A0D05EFF}"/>
  <bookViews>
    <workbookView xWindow="-120" yWindow="-16320" windowWidth="29040" windowHeight="15840" tabRatio="870" xr2:uid="{210FBEF3-94CD-4871-8B74-DCC40A998AAB}"/>
  </bookViews>
  <sheets>
    <sheet name="Totaalblad" sheetId="9" r:id="rId1"/>
    <sheet name="PMS en PA" sheetId="5" r:id="rId2"/>
    <sheet name="Aannames tbv netwerk" sheetId="11" state="hidden" r:id="rId3"/>
    <sheet name="terugkerende kosten" sheetId="6" r:id="rId4"/>
    <sheet name="reserve en diversen"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6" l="1"/>
  <c r="G25" i="6" l="1"/>
  <c r="G26" i="6"/>
  <c r="G27" i="6"/>
  <c r="K25" i="5"/>
  <c r="L25" i="5"/>
  <c r="M25" i="5"/>
  <c r="N25" i="5"/>
  <c r="O25" i="5"/>
  <c r="J25" i="5"/>
  <c r="J51" i="5"/>
  <c r="D43" i="5"/>
  <c r="D54" i="5"/>
  <c r="E54" i="5"/>
  <c r="E28" i="5"/>
  <c r="F28" i="5" s="1"/>
  <c r="F38" i="5"/>
  <c r="E56" i="5"/>
  <c r="E22" i="5"/>
  <c r="E23" i="5"/>
  <c r="F23" i="5" s="1"/>
  <c r="B6" i="7"/>
  <c r="E72" i="5"/>
  <c r="F72" i="5" s="1"/>
  <c r="E84" i="5"/>
  <c r="F84" i="5" s="1"/>
  <c r="E85" i="5"/>
  <c r="F85" i="5" s="1"/>
  <c r="E86" i="5"/>
  <c r="F86" i="5" s="1"/>
  <c r="E87" i="5"/>
  <c r="F87" i="5" s="1"/>
  <c r="E88" i="5"/>
  <c r="F88" i="5" s="1"/>
  <c r="E89" i="5"/>
  <c r="F89" i="5" s="1"/>
  <c r="E90" i="5"/>
  <c r="F90" i="5" s="1"/>
  <c r="E91" i="5"/>
  <c r="F91" i="5" s="1"/>
  <c r="E5" i="11"/>
  <c r="F5" i="11"/>
  <c r="G5" i="11"/>
  <c r="H5" i="11"/>
  <c r="I5" i="11"/>
  <c r="J5" i="11"/>
  <c r="F54" i="5" l="1"/>
  <c r="G30" i="6"/>
  <c r="E76" i="5"/>
  <c r="F76" i="5" s="1"/>
  <c r="K101" i="5"/>
  <c r="L101" i="5"/>
  <c r="M101" i="5"/>
  <c r="N101" i="5"/>
  <c r="O101" i="5"/>
  <c r="J101" i="5"/>
  <c r="D15" i="11"/>
  <c r="D29" i="11" s="1"/>
  <c r="D16" i="11"/>
  <c r="D30" i="11" s="1"/>
  <c r="J10" i="11"/>
  <c r="J22" i="11" s="1"/>
  <c r="I10" i="11"/>
  <c r="H10" i="11"/>
  <c r="H23" i="11" s="1"/>
  <c r="G10" i="11"/>
  <c r="F10" i="11"/>
  <c r="F23" i="11" s="1"/>
  <c r="E10" i="11"/>
  <c r="J9" i="11"/>
  <c r="I9" i="11"/>
  <c r="H9" i="11"/>
  <c r="H22" i="11" s="1"/>
  <c r="G9" i="11"/>
  <c r="F9" i="11"/>
  <c r="F22" i="11" s="1"/>
  <c r="E9" i="11"/>
  <c r="B2" i="11"/>
  <c r="D11" i="11" l="1"/>
  <c r="D21" i="11"/>
  <c r="D27" i="11" s="1"/>
  <c r="G22" i="11"/>
  <c r="E22" i="11"/>
  <c r="I22" i="11"/>
  <c r="D28" i="11" l="1"/>
  <c r="D12" i="11"/>
  <c r="F97" i="5"/>
  <c r="F98" i="5"/>
  <c r="F99" i="5"/>
  <c r="F100" i="5"/>
  <c r="D64" i="5" l="1"/>
  <c r="D56" i="5"/>
  <c r="F56" i="5" s="1"/>
  <c r="F96" i="5"/>
  <c r="B18" i="9" l="1"/>
  <c r="E67" i="5" l="1"/>
  <c r="F67" i="5" s="1"/>
  <c r="J44" i="5"/>
  <c r="E71" i="5"/>
  <c r="F71" i="5" s="1"/>
  <c r="E73" i="5"/>
  <c r="F73" i="5" s="1"/>
  <c r="M27" i="5"/>
  <c r="E30" i="5"/>
  <c r="F30" i="5" s="1"/>
  <c r="E101" i="5" l="1"/>
  <c r="F101" i="5" s="1"/>
  <c r="E15" i="5"/>
  <c r="E16" i="5"/>
  <c r="D23" i="6" s="1"/>
  <c r="G23" i="6" s="1"/>
  <c r="E18" i="5"/>
  <c r="E14" i="5"/>
  <c r="E70" i="5"/>
  <c r="M63" i="5"/>
  <c r="K62" i="5"/>
  <c r="L62" i="5"/>
  <c r="M62" i="5"/>
  <c r="N62" i="5"/>
  <c r="O62" i="5"/>
  <c r="K63" i="5"/>
  <c r="L63" i="5"/>
  <c r="N63" i="5"/>
  <c r="O63" i="5"/>
  <c r="J63" i="5"/>
  <c r="J62" i="5"/>
  <c r="E60" i="5"/>
  <c r="E61" i="5"/>
  <c r="E50" i="5"/>
  <c r="E48" i="5"/>
  <c r="E35" i="5"/>
  <c r="E36" i="5"/>
  <c r="E37" i="5"/>
  <c r="F37" i="5" s="1"/>
  <c r="E39" i="5"/>
  <c r="K44" i="5"/>
  <c r="L44" i="5"/>
  <c r="M44" i="5"/>
  <c r="N44" i="5"/>
  <c r="O44" i="5"/>
  <c r="K40" i="5"/>
  <c r="L40" i="5"/>
  <c r="M40" i="5"/>
  <c r="N40" i="5"/>
  <c r="O40" i="5"/>
  <c r="J40" i="5"/>
  <c r="O55" i="5"/>
  <c r="J8" i="11" s="1"/>
  <c r="N55" i="5"/>
  <c r="M55" i="5"/>
  <c r="L55" i="5"/>
  <c r="K55" i="5"/>
  <c r="J55" i="5"/>
  <c r="E8" i="11" s="1"/>
  <c r="O52" i="5"/>
  <c r="N51" i="5"/>
  <c r="N52" i="5" s="1"/>
  <c r="M51" i="5"/>
  <c r="M52" i="5" s="1"/>
  <c r="L51" i="5"/>
  <c r="L53" i="5" s="1"/>
  <c r="K51" i="5"/>
  <c r="K53" i="5" s="1"/>
  <c r="K29" i="5"/>
  <c r="L29" i="5"/>
  <c r="G6" i="11" s="1"/>
  <c r="M29" i="5"/>
  <c r="H6" i="11" s="1"/>
  <c r="N29" i="5"/>
  <c r="I6" i="11" s="1"/>
  <c r="O29" i="5"/>
  <c r="J6" i="11" s="1"/>
  <c r="J29" i="5"/>
  <c r="E24" i="5"/>
  <c r="D51" i="5"/>
  <c r="C50" i="5"/>
  <c r="D50" i="5"/>
  <c r="L27" i="5"/>
  <c r="M26" i="5"/>
  <c r="N27" i="5"/>
  <c r="O26" i="5"/>
  <c r="D55" i="5"/>
  <c r="D44" i="5"/>
  <c r="D42" i="5"/>
  <c r="D53" i="5"/>
  <c r="D52" i="5"/>
  <c r="D41" i="5"/>
  <c r="D40" i="5"/>
  <c r="D49" i="5"/>
  <c r="D35" i="5"/>
  <c r="D34" i="5"/>
  <c r="E49" i="5"/>
  <c r="D39" i="5"/>
  <c r="E34" i="5"/>
  <c r="C4" i="5"/>
  <c r="H7" i="11" l="1"/>
  <c r="F7" i="11"/>
  <c r="J15" i="11"/>
  <c r="J29" i="11" s="1"/>
  <c r="K41" i="5"/>
  <c r="G7" i="11"/>
  <c r="G8" i="11"/>
  <c r="H8" i="11"/>
  <c r="H11" i="11" s="1"/>
  <c r="F8" i="11"/>
  <c r="F6" i="11"/>
  <c r="I8" i="11"/>
  <c r="J7" i="11"/>
  <c r="J11" i="11" s="1"/>
  <c r="E6" i="11"/>
  <c r="I7" i="11"/>
  <c r="E7" i="11"/>
  <c r="I15" i="11"/>
  <c r="I29" i="11" s="1"/>
  <c r="G15" i="11"/>
  <c r="G29" i="11" s="1"/>
  <c r="H16" i="11"/>
  <c r="H30" i="11" s="1"/>
  <c r="E15" i="11"/>
  <c r="E29" i="11" s="1"/>
  <c r="H15" i="11"/>
  <c r="H29" i="11" s="1"/>
  <c r="F15" i="11"/>
  <c r="F29" i="11" s="1"/>
  <c r="J16" i="11"/>
  <c r="J30" i="11" s="1"/>
  <c r="O41" i="5"/>
  <c r="N42" i="5"/>
  <c r="L42" i="5"/>
  <c r="K27" i="5"/>
  <c r="M41" i="5"/>
  <c r="D18" i="6"/>
  <c r="F70" i="5"/>
  <c r="D21" i="6"/>
  <c r="F36" i="5"/>
  <c r="D20" i="6"/>
  <c r="E62" i="5"/>
  <c r="F62" i="5" s="1"/>
  <c r="M53" i="5"/>
  <c r="L26" i="5"/>
  <c r="E55" i="5"/>
  <c r="O42" i="5"/>
  <c r="M42" i="5"/>
  <c r="E44" i="5"/>
  <c r="F44" i="5" s="1"/>
  <c r="K42" i="5"/>
  <c r="N26" i="5"/>
  <c r="K52" i="5"/>
  <c r="E63" i="5"/>
  <c r="F63" i="5" s="1"/>
  <c r="N41" i="5"/>
  <c r="F39" i="5"/>
  <c r="F50" i="5"/>
  <c r="K26" i="5"/>
  <c r="O27" i="5"/>
  <c r="L41" i="5"/>
  <c r="L52" i="5"/>
  <c r="F35" i="5"/>
  <c r="N53" i="5"/>
  <c r="O53" i="5"/>
  <c r="E40" i="5"/>
  <c r="F40" i="5" s="1"/>
  <c r="E29" i="5"/>
  <c r="F49" i="5"/>
  <c r="E21" i="5"/>
  <c r="D19" i="6" s="1"/>
  <c r="F34" i="5"/>
  <c r="C54" i="7"/>
  <c r="C44" i="7"/>
  <c r="C43" i="7"/>
  <c r="F38" i="7"/>
  <c r="F37" i="7"/>
  <c r="F36" i="7"/>
  <c r="F35" i="7"/>
  <c r="F34" i="7"/>
  <c r="F33" i="7"/>
  <c r="F32" i="7"/>
  <c r="F31" i="7"/>
  <c r="F26" i="7"/>
  <c r="F25" i="7"/>
  <c r="F24" i="7"/>
  <c r="F23" i="7"/>
  <c r="F22" i="7"/>
  <c r="F21" i="7"/>
  <c r="F20" i="7"/>
  <c r="F19" i="7"/>
  <c r="F18" i="7"/>
  <c r="F17" i="7"/>
  <c r="F16" i="7"/>
  <c r="F15" i="7"/>
  <c r="F14" i="7"/>
  <c r="F13" i="7"/>
  <c r="F12" i="7"/>
  <c r="F11" i="7"/>
  <c r="F10" i="7"/>
  <c r="F9" i="7"/>
  <c r="F8" i="7"/>
  <c r="F7" i="7"/>
  <c r="B7" i="7"/>
  <c r="B8" i="7" s="1"/>
  <c r="B9" i="7" s="1"/>
  <c r="B10" i="7" s="1"/>
  <c r="B11" i="7" s="1"/>
  <c r="B12" i="7" s="1"/>
  <c r="B13" i="7" s="1"/>
  <c r="B14" i="7" s="1"/>
  <c r="B15" i="7" s="1"/>
  <c r="B16" i="7" s="1"/>
  <c r="B17" i="7" s="1"/>
  <c r="B18" i="7" s="1"/>
  <c r="B19" i="7" s="1"/>
  <c r="B20" i="7" s="1"/>
  <c r="B21" i="7" s="1"/>
  <c r="B22" i="7" s="1"/>
  <c r="B23" i="7" s="1"/>
  <c r="B24" i="7" s="1"/>
  <c r="B25" i="7" s="1"/>
  <c r="B26" i="7" s="1"/>
  <c r="B31" i="7" s="1"/>
  <c r="B32" i="7" s="1"/>
  <c r="F6" i="7"/>
  <c r="C4" i="7"/>
  <c r="C42" i="7" s="1"/>
  <c r="C44" i="6"/>
  <c r="C35" i="6"/>
  <c r="F34" i="6"/>
  <c r="G34" i="6" s="1"/>
  <c r="F33" i="6"/>
  <c r="G33" i="6" s="1"/>
  <c r="F32" i="6"/>
  <c r="G32" i="6" s="1"/>
  <c r="F29" i="6"/>
  <c r="G29" i="6" s="1"/>
  <c r="F28" i="6"/>
  <c r="G28" i="6" s="1"/>
  <c r="F22" i="6"/>
  <c r="G22" i="6" s="1"/>
  <c r="F21" i="6"/>
  <c r="F20" i="6"/>
  <c r="F19" i="6"/>
  <c r="F18" i="6"/>
  <c r="F17" i="6"/>
  <c r="G17" i="6" s="1"/>
  <c r="F16" i="6"/>
  <c r="G16" i="6" s="1"/>
  <c r="G15" i="6"/>
  <c r="G12" i="6"/>
  <c r="C8" i="6"/>
  <c r="G6" i="6"/>
  <c r="C4" i="6"/>
  <c r="C93" i="5"/>
  <c r="C103" i="5" s="1"/>
  <c r="F61" i="5"/>
  <c r="F60" i="5"/>
  <c r="D57" i="5"/>
  <c r="C57" i="5"/>
  <c r="C64" i="5" s="1"/>
  <c r="C55" i="5"/>
  <c r="C53" i="5"/>
  <c r="F24" i="5"/>
  <c r="F22" i="5"/>
  <c r="F18" i="5"/>
  <c r="F16" i="5"/>
  <c r="F15" i="5"/>
  <c r="F14" i="5"/>
  <c r="F7" i="5"/>
  <c r="B33" i="7" l="1"/>
  <c r="B34" i="7" s="1"/>
  <c r="B35" i="7" s="1"/>
  <c r="B36" i="7" s="1"/>
  <c r="B37" i="7" s="1"/>
  <c r="B38" i="7" s="1"/>
  <c r="H21" i="11"/>
  <c r="H27" i="11"/>
  <c r="H28" i="11"/>
  <c r="I11" i="11"/>
  <c r="I21" i="11"/>
  <c r="I28" i="11" s="1"/>
  <c r="G21" i="11"/>
  <c r="G28" i="11" s="1"/>
  <c r="G11" i="11"/>
  <c r="F21" i="11"/>
  <c r="F11" i="11"/>
  <c r="E21" i="11"/>
  <c r="E28" i="11" s="1"/>
  <c r="E11" i="11"/>
  <c r="J21" i="11"/>
  <c r="H12" i="11"/>
  <c r="F16" i="11"/>
  <c r="F30" i="11" s="1"/>
  <c r="G16" i="11"/>
  <c r="G30" i="11" s="1"/>
  <c r="I16" i="11"/>
  <c r="I30" i="11" s="1"/>
  <c r="E82" i="5"/>
  <c r="F82" i="5" s="1"/>
  <c r="E42" i="5"/>
  <c r="F42" i="5" s="1"/>
  <c r="F39" i="7"/>
  <c r="F43" i="7" s="1"/>
  <c r="F27" i="7"/>
  <c r="F8" i="6" s="1"/>
  <c r="G18" i="6"/>
  <c r="C7" i="6"/>
  <c r="G19" i="6"/>
  <c r="F29" i="5"/>
  <c r="F21" i="5"/>
  <c r="C107" i="5"/>
  <c r="I12" i="11" l="1"/>
  <c r="I27" i="11"/>
  <c r="G27" i="11"/>
  <c r="G12" i="11"/>
  <c r="F12" i="11"/>
  <c r="F27" i="11"/>
  <c r="F28" i="11"/>
  <c r="J28" i="11"/>
  <c r="J27" i="11"/>
  <c r="E27" i="11"/>
  <c r="E12" i="11"/>
  <c r="J12" i="11"/>
  <c r="F42" i="7"/>
  <c r="F44" i="7" s="1"/>
  <c r="C8" i="9" s="1"/>
  <c r="G20" i="6"/>
  <c r="F55" i="5"/>
  <c r="E81" i="5" l="1"/>
  <c r="F81" i="5" s="1"/>
  <c r="E80" i="5"/>
  <c r="F80" i="5" s="1"/>
  <c r="E77" i="5"/>
  <c r="F77" i="5" s="1"/>
  <c r="E79" i="5"/>
  <c r="F79" i="5" s="1"/>
  <c r="G21" i="6"/>
  <c r="C12" i="9" s="1"/>
  <c r="E78" i="5" l="1"/>
  <c r="F78" i="5" s="1"/>
  <c r="D48" i="5"/>
  <c r="F48" i="5" s="1"/>
  <c r="J41" i="5"/>
  <c r="E27" i="5"/>
  <c r="F27" i="5" s="1"/>
  <c r="J26" i="5"/>
  <c r="E25" i="5"/>
  <c r="F25" i="5" s="1"/>
  <c r="E51" i="5"/>
  <c r="F51" i="5" s="1"/>
  <c r="E53" i="5"/>
  <c r="F53" i="5" s="1"/>
  <c r="J52" i="5"/>
  <c r="E52" i="5" s="1"/>
  <c r="F52" i="5" s="1"/>
  <c r="E41" i="5" l="1"/>
  <c r="F41" i="5" s="1"/>
  <c r="E43" i="5"/>
  <c r="F43" i="5" s="1"/>
  <c r="E16" i="11"/>
  <c r="E30" i="11" s="1"/>
  <c r="E26" i="5"/>
  <c r="F26" i="5" s="1"/>
  <c r="E83" i="5" l="1"/>
  <c r="F83" i="5" s="1"/>
  <c r="F93" i="5" s="1"/>
  <c r="F7" i="6" l="1"/>
  <c r="F10" i="6" s="1"/>
  <c r="G10" i="6" s="1"/>
  <c r="C13" i="9" s="1"/>
  <c r="C14" i="9" s="1"/>
  <c r="F103" i="5" l="1"/>
  <c r="G35" i="6"/>
  <c r="F104" i="5" l="1"/>
  <c r="F107" i="5" s="1"/>
  <c r="C7" i="9" s="1"/>
  <c r="C9" i="9" s="1"/>
  <c r="C16" i="9" s="1"/>
</calcChain>
</file>

<file path=xl/sharedStrings.xml><?xml version="1.0" encoding="utf-8"?>
<sst xmlns="http://schemas.openxmlformats.org/spreadsheetml/2006/main" count="328" uniqueCount="181">
  <si>
    <t>Totaal prijsformulier PMS en PA</t>
  </si>
  <si>
    <t>Vervanging PMS en PA</t>
  </si>
  <si>
    <t>Prijs</t>
  </si>
  <si>
    <t>Totaal PMS en PA</t>
  </si>
  <si>
    <t>Totaal Reserve en diversen</t>
  </si>
  <si>
    <t>Totaal vervanging PMS en PA</t>
  </si>
  <si>
    <t>Terugkerende kosten</t>
  </si>
  <si>
    <t>Totaal onderhoudsvergoeding 1e jaar</t>
  </si>
  <si>
    <t>Jaarlijkse onderhoudsvergoeding</t>
  </si>
  <si>
    <t>TCO (koop + 10 jaar onderhoud):</t>
  </si>
  <si>
    <t>Ondertekening rechtsgeldig vertegenwoordiger</t>
  </si>
  <si>
    <t>Datum:</t>
  </si>
  <si>
    <t>Naam :</t>
  </si>
  <si>
    <t>Opmerking:</t>
  </si>
  <si>
    <t>1. Alleen de nietgeblokkeerde paarse cellen invullen de overige cellen zijn vastgesteld of worden automatisch gevuld.</t>
  </si>
  <si>
    <t xml:space="preserve">
</t>
  </si>
  <si>
    <t>2. Cellen met omschrijvingen van te beprijzen componenten kunnen binnen een oranje kader vallen. Alle cellen binnen de omkadering vormen een cluster. Aan dit cluster hangt een SLA weging varierend van Laag naar Kritisch.</t>
  </si>
  <si>
    <t>serverruimte en Beheerderruimte</t>
  </si>
  <si>
    <t>SLA weging: -&gt;</t>
  </si>
  <si>
    <t>Kritisch</t>
  </si>
  <si>
    <t>Meldkamer</t>
  </si>
  <si>
    <t>Kolkplein</t>
  </si>
  <si>
    <t>Theater</t>
  </si>
  <si>
    <t>Boekenberg</t>
  </si>
  <si>
    <t>Stadhuis</t>
  </si>
  <si>
    <t>CityPlaza</t>
  </si>
  <si>
    <t>Kopspijker</t>
  </si>
  <si>
    <t>Webbased server ten behoeve van PMS &amp;PA (SaaS)</t>
  </si>
  <si>
    <t>Webbased server ten behoeve van Kentekenherkenning (SaaS)</t>
  </si>
  <si>
    <t>software incl. licenties t.b.v. kentekenherkenning</t>
  </si>
  <si>
    <t>software incl. licenties t.b.v. PMS &amp;PA</t>
  </si>
  <si>
    <t>Webbased digitale intercomcentrale (SaaS)</t>
  </si>
  <si>
    <t>nvt</t>
  </si>
  <si>
    <t>software incl. licenties t.b.v. DVMS</t>
  </si>
  <si>
    <t>Midden</t>
  </si>
  <si>
    <t>kaartcodeerstation</t>
  </si>
  <si>
    <t>Kortinggever</t>
  </si>
  <si>
    <t>intercom hoofdpost</t>
  </si>
  <si>
    <t>verantw TKH</t>
  </si>
  <si>
    <t>Minimaal 22“ TFT monitoren (multi monitor) t.b.v. PMS, Spot, CCTV</t>
  </si>
  <si>
    <t>Inrit</t>
  </si>
  <si>
    <t>Hoog</t>
  </si>
  <si>
    <t>aantal IP adressen per app</t>
  </si>
  <si>
    <t>inritterminal compleet ((intercom, (ParkeerID)kaartlezers, Betaalunit))</t>
  </si>
  <si>
    <t>inritterminal abonnement (intercom, abonnementkaartlezer)</t>
  </si>
  <si>
    <t>slagboomterminal, met rechte slagboom (max 3m)</t>
  </si>
  <si>
    <t>slagboomterminal, met knikarm</t>
  </si>
  <si>
    <t>sluit- en detectielussen slagbomen en terminals</t>
  </si>
  <si>
    <t>camera's met software ten behoeve van kentekenherkenning incl. licenties</t>
  </si>
  <si>
    <t>Aansturing speedgate/rolluik</t>
  </si>
  <si>
    <t xml:space="preserve">overzichtscamera tbv Apparatuur </t>
  </si>
  <si>
    <t>Wisselstrook</t>
  </si>
  <si>
    <t>uitritterminal compleet (intercom, (ParkeerID)kaartlezers, Betaalunit)</t>
  </si>
  <si>
    <t>uitritterminal abonnement (intercom, abonnementkaartlezer)</t>
  </si>
  <si>
    <t>Aansturing rijbaanwissel</t>
  </si>
  <si>
    <t>Uitrit</t>
  </si>
  <si>
    <t>Betaalfunctionaliteit</t>
  </si>
  <si>
    <t>SLA weging</t>
  </si>
  <si>
    <t>betaalautomaat compleet (munt / biljet / pin /credit card / contactloos / voorbereiding vd  Hoppers) inclusief 1 muntcassetten en 1 biljetcassette</t>
  </si>
  <si>
    <t>betaalautomaat cashless (pin /credit card / contactloos)</t>
  </si>
  <si>
    <t>extra muntcassette</t>
  </si>
  <si>
    <t>extra biljetcassette</t>
  </si>
  <si>
    <t>LED-displays beschikbaarheidsinformatie</t>
  </si>
  <si>
    <t>Laag</t>
  </si>
  <si>
    <t>LED-display vol/vrij indicatie bij de inrit, inclusief voeding, bevestigingsmateriaal en aansturing</t>
  </si>
  <si>
    <t>Deurlezer</t>
  </si>
  <si>
    <t>deurlezer compleet, montage aan de wand ((intercom, (ParkeerID)kaartlezers, Betaalunit))</t>
  </si>
  <si>
    <t>deurlezer compleet, montage staand ((intercom, (ParkeerID)kaartlezers, Betaalunit))</t>
  </si>
  <si>
    <t>deurlezer abonnement, montage aan de wand  (intercom, abonnementkaartlezer)</t>
  </si>
  <si>
    <t>deurlezer abonnement, montage staand  (intercom, abonnementkaartlezer)</t>
  </si>
  <si>
    <t>overige voorzieningen ten behoeve van de PA (oa wensen netwerk etc)</t>
  </si>
  <si>
    <t>Stuksprijs</t>
  </si>
  <si>
    <t>Aantal</t>
  </si>
  <si>
    <t>19" kast</t>
  </si>
  <si>
    <t>hergebruik</t>
  </si>
  <si>
    <t>Managed Switch (48 poorts)</t>
  </si>
  <si>
    <t>Managed Switch (24 poorts)</t>
  </si>
  <si>
    <t>Managed Switch (12 poorts)</t>
  </si>
  <si>
    <t>Cat 6 kabel (prijs obv meterprijs)</t>
  </si>
  <si>
    <t>Glasvezel (prijs obv meterprijs)</t>
  </si>
  <si>
    <t>Stroomkabel 3x2,5 mm</t>
  </si>
  <si>
    <t xml:space="preserve">Signaalkabel 6x2x0,8 mm </t>
  </si>
  <si>
    <t>Installatie</t>
  </si>
  <si>
    <t>Aansluiting op de Centrale Meldkamer</t>
  </si>
  <si>
    <t>aansluiting NPR</t>
  </si>
  <si>
    <t>aansluiting RDW (dynamische data)</t>
  </si>
  <si>
    <t>aansluiting PRIS (dynamische data)</t>
  </si>
  <si>
    <t>Inrichten koppelingen ivm digitaal loket</t>
  </si>
  <si>
    <t>Overzetten pinholecamera's van bestaande apparatuur</t>
  </si>
  <si>
    <t>overige installatie</t>
  </si>
  <si>
    <t>totaal overige installatie</t>
  </si>
  <si>
    <t>Alle opgegeven aantallen zijn indicatief en er kunnen geen rechten aan worden ontleend</t>
  </si>
  <si>
    <t xml:space="preserve">
</t>
  </si>
  <si>
    <t xml:space="preserve">Het opgeven van een prijs nihil ( € 0,- )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 </t>
  </si>
  <si>
    <t>Alleen de nietgeblokkeerde paarse cellen invullen de overige cellen zijn vastgesteld of worden automatisch gevuld.</t>
  </si>
  <si>
    <t>Alle prijzen op basis prijspeil 1-1-2023, exclusief btw.</t>
  </si>
  <si>
    <t>Aantallen IP adressen</t>
  </si>
  <si>
    <t xml:space="preserve">PMS
Intercom </t>
  </si>
  <si>
    <t>Inritten</t>
  </si>
  <si>
    <r>
      <t xml:space="preserve">PMS
Display
Intercom 
Betaalunit 
</t>
    </r>
    <r>
      <rPr>
        <strike/>
        <sz val="11"/>
        <color theme="1"/>
        <rFont val="Calibri"/>
        <family val="2"/>
        <scheme val="minor"/>
      </rPr>
      <t>pinholecamera</t>
    </r>
    <r>
      <rPr>
        <sz val="11"/>
        <color theme="1"/>
        <rFont val="Calibri"/>
        <family val="2"/>
        <scheme val="minor"/>
      </rPr>
      <t xml:space="preserve">
Slagboom
Kentekenherkenning</t>
    </r>
  </si>
  <si>
    <t>Wisselstroken</t>
  </si>
  <si>
    <r>
      <t xml:space="preserve">2x PMS
2x Display
2x Intercom 
2x Betaalunit 
</t>
    </r>
    <r>
      <rPr>
        <strike/>
        <sz val="11"/>
        <color theme="1"/>
        <rFont val="Calibri"/>
        <family val="2"/>
        <scheme val="minor"/>
      </rPr>
      <t>2x pinholecamera</t>
    </r>
    <r>
      <rPr>
        <sz val="11"/>
        <color theme="1"/>
        <rFont val="Calibri"/>
        <family val="2"/>
        <scheme val="minor"/>
      </rPr>
      <t xml:space="preserve">
2x Slagboom
2x Kentekenherkenning</t>
    </r>
  </si>
  <si>
    <t>Uitritten</t>
  </si>
  <si>
    <t>Betaalautomaten</t>
  </si>
  <si>
    <r>
      <t xml:space="preserve">PMS
Display
Intercom 
Betaalunit 
</t>
    </r>
    <r>
      <rPr>
        <strike/>
        <sz val="11"/>
        <color theme="1"/>
        <rFont val="Calibri"/>
        <family val="2"/>
        <scheme val="minor"/>
      </rPr>
      <t>pinholecamera</t>
    </r>
  </si>
  <si>
    <t>Deurlezers</t>
  </si>
  <si>
    <t>Totaal aantal IP adressen</t>
  </si>
  <si>
    <t>controle</t>
  </si>
  <si>
    <t>Aantal app met 230v</t>
  </si>
  <si>
    <t>Aantal app met signaalkabel</t>
  </si>
  <si>
    <t>Groepering IP adressen</t>
  </si>
  <si>
    <t>Lengte van Switch/stroompunt naar apparaat</t>
  </si>
  <si>
    <t>IP aansluitingen Switch 1</t>
  </si>
  <si>
    <t>IP aansluitingen Switch 2</t>
  </si>
  <si>
    <t>IP aansluitingen Switch 3</t>
  </si>
  <si>
    <t>IP aansluitingen Switch 4</t>
  </si>
  <si>
    <t>IP aansluitingen Switch 5</t>
  </si>
  <si>
    <t>IP aansluitingen Switch 6</t>
  </si>
  <si>
    <t>Cat 6</t>
  </si>
  <si>
    <t>Glasvezel van hoofdswitch naar overige switch</t>
  </si>
  <si>
    <t>Garantie en onderhoud</t>
  </si>
  <si>
    <t>Aantal jaar</t>
  </si>
  <si>
    <t>Prijs / Percentage</t>
  </si>
  <si>
    <t>Totaal prijs uitvraag</t>
  </si>
  <si>
    <t>Garantie jaar 1 (vanaf Acceptatie)</t>
  </si>
  <si>
    <t xml:space="preserve">
</t>
  </si>
  <si>
    <t>% Onderhoud (vanaf het tweede jaar incl. reserve-onderdelen en alle overige onderdelen die de Opdrachtnemer noodzakelijk acht voor het adequaat uitvoeren)</t>
  </si>
  <si>
    <t>onderhoudskosten per jaar (vanaf het tweede jaar - PMS en PA)</t>
  </si>
  <si>
    <t>Jaarlijks terugkerende kosten</t>
  </si>
  <si>
    <t>Prijs per stuk per jaar</t>
  </si>
  <si>
    <t>Totaal prijs</t>
  </si>
  <si>
    <t>Acceptatie omgeving</t>
  </si>
  <si>
    <t>terugkerende kosten Virusscanner(s), firewalls en ander hieronder niet gespecificeerde jaarlijkse kosten</t>
  </si>
  <si>
    <t>updates PMS en PA (besturingssystemen, componenten etc)</t>
  </si>
  <si>
    <t>girale Betaalunit Betaalautomaten</t>
  </si>
  <si>
    <t>girale Betaalunit inritten</t>
  </si>
  <si>
    <t>girale Betaalunit uitritten</t>
  </si>
  <si>
    <t>girale Betaalunit deurlezers</t>
  </si>
  <si>
    <t>pool- en reserveringsfunctionaliteit</t>
  </si>
  <si>
    <t>Koppelvlakken</t>
  </si>
  <si>
    <t>Prijs per jaar voor alle Parkeervoorzieningen</t>
  </si>
  <si>
    <t>Indicatief aantal jaar</t>
  </si>
  <si>
    <t>Verwijsindex methode III - handmatig</t>
  </si>
  <si>
    <t>Verwijsindex methode II - halfautomatisch (meerprijs tov handmatig)</t>
  </si>
  <si>
    <t>Verwijsindex methode I - volledig automatisch (meerprijs tov halfautomatisch)</t>
  </si>
  <si>
    <t>RDW (dynamische data)</t>
  </si>
  <si>
    <t>Koppeling NPR (mbt abonnementen)</t>
  </si>
  <si>
    <t>Koppeling digitaal loket vergunning/abonnementen</t>
  </si>
  <si>
    <t>Werkzaamheden buiten onderhoudscontract i.v.m. meerwerk en Calamiteit (uurtarief, inclusief eventuele voorrijkosten)</t>
  </si>
  <si>
    <t>Forfaitair aantal per jaar</t>
  </si>
  <si>
    <t>Prijs per uur</t>
  </si>
  <si>
    <t xml:space="preserve">voor werkzaamheden die worden uitgevoerd op maandag - zaterdag tussen 8.30 en 18.00 uur. </t>
  </si>
  <si>
    <t xml:space="preserve">voor werkzaamheden die worden uitgevoerd op maandag - zaterdag tussen 18:00 en 8:30 uur. </t>
  </si>
  <si>
    <t>voor werkzaamheden buiten bovenstaande tijden (op zondagen)</t>
  </si>
  <si>
    <t>Indien voor het goed functioneren van de te leveren PMS en PA leveringen/installaties nodig zijn die niet in de overige tabbladen zijn voorzien kunnen deze onder "reserve en diversen" worden opgenomen. U dient een beschrijving, het aantal en de stuksprijs apart in te vullen.</t>
  </si>
  <si>
    <t>Reserve onderdelen</t>
  </si>
  <si>
    <t>Stukprijs</t>
  </si>
  <si>
    <t>Uitvraag</t>
  </si>
  <si>
    <t>slagboomarm met knik uitvoering (inclusief alle voor vervanging benodigde materialen)</t>
  </si>
  <si>
    <t>betaalautomaat Betaalunit</t>
  </si>
  <si>
    <t>betaalautomaat kaartgever</t>
  </si>
  <si>
    <t>kortparkeerBetaalunit in- uitrit (inclusief alle voor vervanging benodigde materialen)</t>
  </si>
  <si>
    <t>overige ParkeerID lezers in- uitrit (inclusief alle voor vervanging benodigde materialen), niet zijn de een betaalterminal</t>
  </si>
  <si>
    <t>specifieke voor onderhoud benodigde gereedschapsset en schoonmaak- en smeermiddelen</t>
  </si>
  <si>
    <t>Alle overige onderdelen die de Opdrachtnemer noodzakelijk acht voor het adequaat uitvoeren van het 1e lijns onderhoud door de Beheerder</t>
  </si>
  <si>
    <t>Totaal Reserve onderdelen</t>
  </si>
  <si>
    <t>Specificatie diversen,  aantal is forfaittair</t>
  </si>
  <si>
    <t>Aantal 
(tbv TCO berekening)</t>
  </si>
  <si>
    <t xml:space="preserve">Opleiding, regulier beheer en onderhoud (1e lijns preventief en 1e lijns correctief) </t>
  </si>
  <si>
    <t>Opleiding, beheer op managementniveau, deze gaat onder andere in op het functioneel beheer van het PMS</t>
  </si>
  <si>
    <t>Totaal diversen</t>
  </si>
  <si>
    <t>Reserve en diversen</t>
  </si>
  <si>
    <t>7b</t>
  </si>
  <si>
    <t>inritterminal abonnement (intercom, abonnementkaartlezer, wandmontage)</t>
  </si>
  <si>
    <t>inritterminal abonnement (intercom, abonnementkaartlezer, losstaand)</t>
  </si>
  <si>
    <t>Rijstrook signalering per rijbaan (kruis, rood/pijlbak, groen), incl. aansturing</t>
  </si>
  <si>
    <t>11a</t>
  </si>
  <si>
    <t>sluit- en detectieplaten slagbomen en terminals</t>
  </si>
  <si>
    <t>Aantal per jaar</t>
  </si>
  <si>
    <t>Werkstation</t>
  </si>
  <si>
    <t>HERZIEN PRIJSFOMULIER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</si>
</sst>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413]mmm/yy;@"/>
    <numFmt numFmtId="165" formatCode="_-&quot;€&quot;\ * #,##0_-;_-&quot;€&quot;\ * #,##0\-;_-&quot;€&quot;\ * &quot;-&quot;_-;_-@_-"/>
    <numFmt numFmtId="166" formatCode="_ &quot;€&quot;\ * #,##0_ ;_ &quot;€&quot;\ * \-#,##0_ ;_ &quot;€&quot;\ * &quot;-&quot;??_ ;_ @_ "/>
    <numFmt numFmtId="167" formatCode="0.000%"/>
    <numFmt numFmtId="168" formatCode="_-&quot;€&quot;\ * #,##0.00_-;_-&quot;€&quot;\ * #,##0.00\-;_-&quot;€&quot;\ * &quot;-&quot;_-;_-@_-"/>
  </numFmts>
  <fonts count="18" x14ac:knownFonts="1">
    <font>
      <sz val="11"/>
      <color theme="1"/>
      <name val="Calibri"/>
      <family val="2"/>
      <scheme val="minor"/>
    </font>
    <font>
      <sz val="11"/>
      <color theme="1"/>
      <name val="Calibri"/>
      <family val="2"/>
      <scheme val="minor"/>
    </font>
    <font>
      <sz val="10"/>
      <name val="Arial"/>
      <family val="2"/>
    </font>
    <font>
      <sz val="9"/>
      <color indexed="9"/>
      <name val="Arial"/>
      <family val="2"/>
    </font>
    <font>
      <sz val="8"/>
      <name val="Arial"/>
      <family val="2"/>
    </font>
    <font>
      <sz val="8"/>
      <color indexed="8"/>
      <name val="Arial"/>
      <family val="2"/>
    </font>
    <font>
      <sz val="10"/>
      <color indexed="8"/>
      <name val="Arial"/>
      <family val="2"/>
    </font>
    <font>
      <sz val="10"/>
      <color indexed="9"/>
      <name val="Arial"/>
      <family val="2"/>
    </font>
    <font>
      <sz val="10"/>
      <color theme="1"/>
      <name val="Arial"/>
      <family val="2"/>
    </font>
    <font>
      <sz val="2"/>
      <name val="Arial"/>
      <family val="2"/>
    </font>
    <font>
      <sz val="2"/>
      <color indexed="8"/>
      <name val="Arial"/>
      <family val="2"/>
    </font>
    <font>
      <sz val="9"/>
      <name val="Arial"/>
      <family val="2"/>
    </font>
    <font>
      <sz val="8"/>
      <name val="Calibri"/>
      <family val="2"/>
      <scheme val="minor"/>
    </font>
    <font>
      <sz val="10"/>
      <color theme="0" tint="-0.249977111117893"/>
      <name val="Arial"/>
      <family val="2"/>
    </font>
    <font>
      <sz val="11"/>
      <color theme="1"/>
      <name val="Arial"/>
      <family val="2"/>
    </font>
    <font>
      <b/>
      <sz val="9"/>
      <color indexed="9"/>
      <name val="Arial"/>
      <family val="2"/>
    </font>
    <font>
      <b/>
      <sz val="9"/>
      <color theme="0"/>
      <name val="Arial"/>
      <family val="2"/>
    </font>
    <font>
      <strike/>
      <sz val="11"/>
      <color theme="1"/>
      <name val="Calibri"/>
      <family val="2"/>
      <scheme val="minor"/>
    </font>
  </fonts>
  <fills count="15">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E7F5F5"/>
        <bgColor indexed="64"/>
      </patternFill>
    </fill>
    <fill>
      <patternFill patternType="solid">
        <fgColor rgb="FFE7CBE5"/>
        <bgColor indexed="64"/>
      </patternFill>
    </fill>
    <fill>
      <patternFill patternType="solid">
        <fgColor theme="0" tint="-0.249977111117893"/>
        <bgColor indexed="64"/>
      </patternFill>
    </fill>
    <fill>
      <patternFill patternType="solid">
        <fgColor rgb="FF5EC4FF"/>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0EBEC"/>
        <bgColor indexed="64"/>
      </patternFill>
    </fill>
    <fill>
      <patternFill patternType="solid">
        <fgColor rgb="FFCE97CA"/>
        <bgColor indexed="64"/>
      </patternFill>
    </fill>
    <fill>
      <patternFill patternType="solid">
        <fgColor theme="0" tint="-4.9989318521683403E-2"/>
        <bgColor indexed="64"/>
      </patternFill>
    </fill>
    <fill>
      <patternFill patternType="solid">
        <fgColor rgb="FFFF0000"/>
        <bgColor indexed="64"/>
      </patternFill>
    </fill>
  </fills>
  <borders count="21">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
      <left style="thin">
        <color theme="0"/>
      </left>
      <right/>
      <top/>
      <bottom/>
      <diagonal/>
    </border>
    <border>
      <left/>
      <right/>
      <top style="thin">
        <color theme="0"/>
      </top>
      <bottom style="thin">
        <color theme="0"/>
      </bottom>
      <diagonal/>
    </border>
    <border>
      <left style="thick">
        <color rgb="FFFFC000"/>
      </left>
      <right style="thick">
        <color rgb="FFFFC000"/>
      </right>
      <top style="thick">
        <color rgb="FFFFC000"/>
      </top>
      <bottom style="thin">
        <color theme="0"/>
      </bottom>
      <diagonal/>
    </border>
    <border>
      <left style="thick">
        <color rgb="FFFFC000"/>
      </left>
      <right style="thick">
        <color rgb="FFFFC000"/>
      </right>
      <top style="thin">
        <color theme="0"/>
      </top>
      <bottom style="thin">
        <color theme="0"/>
      </bottom>
      <diagonal/>
    </border>
    <border>
      <left style="thick">
        <color rgb="FFFFC000"/>
      </left>
      <right style="thick">
        <color rgb="FFFFC000"/>
      </right>
      <top style="thin">
        <color theme="0"/>
      </top>
      <bottom style="thick">
        <color rgb="FFFFC000"/>
      </bottom>
      <diagonal/>
    </border>
    <border>
      <left style="thick">
        <color rgb="FFFFC000"/>
      </left>
      <right style="thick">
        <color rgb="FFFFC000"/>
      </right>
      <top/>
      <bottom style="thin">
        <color theme="0"/>
      </bottom>
      <diagonal/>
    </border>
    <border>
      <left style="thick">
        <color rgb="FFFFC000"/>
      </left>
      <right style="thick">
        <color rgb="FFFFC000"/>
      </right>
      <top style="thick">
        <color rgb="FFFFC000"/>
      </top>
      <bottom style="thick">
        <color rgb="FFFFC000"/>
      </bottom>
      <diagonal/>
    </border>
    <border>
      <left style="thick">
        <color rgb="FFFFC000"/>
      </left>
      <right style="thick">
        <color rgb="FFFFC000"/>
      </right>
      <top/>
      <bottom/>
      <diagonal/>
    </border>
    <border>
      <left style="thick">
        <color rgb="FFFFC000"/>
      </left>
      <right style="thick">
        <color rgb="FFFFC000"/>
      </right>
      <top style="thick">
        <color rgb="FFFFC000"/>
      </top>
      <bottom/>
      <diagonal/>
    </border>
    <border>
      <left style="thick">
        <color rgb="FFFFC000"/>
      </left>
      <right style="thick">
        <color rgb="FFFFC000"/>
      </right>
      <top/>
      <bottom style="thick">
        <color rgb="FFFFC000"/>
      </bottom>
      <diagonal/>
    </border>
    <border>
      <left style="thin">
        <color theme="0"/>
      </left>
      <right style="thin">
        <color theme="0"/>
      </right>
      <top/>
      <bottom/>
      <diagonal/>
    </border>
    <border>
      <left style="thick">
        <color rgb="FFFFC000"/>
      </left>
      <right style="thin">
        <color theme="0"/>
      </right>
      <top style="thin">
        <color theme="0"/>
      </top>
      <bottom/>
      <diagonal/>
    </border>
    <border>
      <left style="thick">
        <color rgb="FFFFC000"/>
      </left>
      <right style="thin">
        <color theme="0"/>
      </right>
      <top/>
      <bottom style="thin">
        <color theme="0"/>
      </bottom>
      <diagonal/>
    </border>
    <border>
      <left style="thin">
        <color theme="0"/>
      </left>
      <right style="thin">
        <color theme="0"/>
      </right>
      <top/>
      <bottom style="thin">
        <color theme="0"/>
      </bottom>
      <diagonal/>
    </border>
    <border>
      <left style="thick">
        <color rgb="FFFFC000"/>
      </left>
      <right style="thin">
        <color theme="0"/>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63">
    <xf numFmtId="0" fontId="0" fillId="0" borderId="0" xfId="0"/>
    <xf numFmtId="165" fontId="4" fillId="5" borderId="2" xfId="3" applyNumberFormat="1" applyFont="1" applyFill="1" applyBorder="1" applyAlignment="1" applyProtection="1">
      <alignment horizontal="right" vertical="center"/>
      <protection locked="0"/>
    </xf>
    <xf numFmtId="165" fontId="4" fillId="5" borderId="3" xfId="3" applyNumberFormat="1" applyFont="1" applyFill="1" applyBorder="1" applyAlignment="1" applyProtection="1">
      <alignment horizontal="right" vertical="center"/>
      <protection locked="0"/>
    </xf>
    <xf numFmtId="0" fontId="4" fillId="5" borderId="3" xfId="3" applyFont="1" applyFill="1" applyBorder="1" applyAlignment="1" applyProtection="1">
      <alignment horizontal="center" vertical="center"/>
      <protection locked="0"/>
    </xf>
    <xf numFmtId="167" fontId="4" fillId="5" borderId="3" xfId="2" applyNumberFormat="1" applyFont="1" applyFill="1" applyBorder="1" applyAlignment="1" applyProtection="1">
      <alignment horizontal="right" vertical="center"/>
      <protection locked="0"/>
    </xf>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6" fillId="0" borderId="0" xfId="0" applyFont="1" applyAlignment="1">
      <alignment vertical="center"/>
    </xf>
    <xf numFmtId="3" fontId="8" fillId="7" borderId="3" xfId="3" applyNumberFormat="1" applyFont="1" applyFill="1" applyBorder="1" applyAlignment="1">
      <alignment horizontal="center" vertical="center" wrapText="1"/>
    </xf>
    <xf numFmtId="166" fontId="5" fillId="4" borderId="3" xfId="1" applyNumberFormat="1" applyFont="1" applyFill="1" applyBorder="1" applyAlignment="1" applyProtection="1">
      <alignment horizontal="center" vertical="center" wrapText="1"/>
    </xf>
    <xf numFmtId="166" fontId="4" fillId="4" borderId="3" xfId="1" applyNumberFormat="1" applyFont="1" applyFill="1" applyBorder="1" applyAlignment="1" applyProtection="1">
      <alignment horizontal="center" vertical="center" wrapText="1"/>
    </xf>
    <xf numFmtId="0" fontId="4" fillId="4" borderId="8" xfId="1" applyNumberFormat="1" applyFont="1" applyFill="1" applyBorder="1" applyAlignment="1" applyProtection="1">
      <alignment horizontal="left" vertical="center" wrapText="1"/>
    </xf>
    <xf numFmtId="0" fontId="8" fillId="7" borderId="4" xfId="3" applyFont="1" applyFill="1" applyBorder="1" applyAlignment="1">
      <alignment vertical="center"/>
    </xf>
    <xf numFmtId="0" fontId="4" fillId="5" borderId="3" xfId="3" applyFont="1" applyFill="1" applyBorder="1" applyAlignment="1" applyProtection="1">
      <alignment horizontal="left" vertical="center"/>
      <protection locked="0"/>
    </xf>
    <xf numFmtId="0" fontId="4" fillId="4" borderId="12" xfId="1" applyNumberFormat="1" applyFont="1" applyFill="1" applyBorder="1" applyAlignment="1" applyProtection="1">
      <alignment horizontal="left" vertical="center" wrapText="1"/>
    </xf>
    <xf numFmtId="44" fontId="4" fillId="4" borderId="3" xfId="1" applyFont="1" applyFill="1" applyBorder="1" applyAlignment="1" applyProtection="1">
      <alignment horizontal="left" vertical="center" wrapText="1"/>
    </xf>
    <xf numFmtId="164" fontId="7" fillId="3" borderId="1" xfId="0" applyNumberFormat="1" applyFont="1" applyFill="1" applyBorder="1" applyAlignment="1">
      <alignment vertical="center" wrapText="1"/>
    </xf>
    <xf numFmtId="164" fontId="7" fillId="3" borderId="7" xfId="0" applyNumberFormat="1" applyFont="1" applyFill="1" applyBorder="1" applyAlignment="1">
      <alignment vertical="center" wrapText="1"/>
    </xf>
    <xf numFmtId="0" fontId="4" fillId="4" borderId="13" xfId="1" applyNumberFormat="1" applyFont="1" applyFill="1" applyBorder="1" applyAlignment="1" applyProtection="1">
      <alignment horizontal="left" vertical="center" wrapText="1"/>
    </xf>
    <xf numFmtId="0" fontId="4" fillId="4" borderId="14" xfId="1" applyNumberFormat="1" applyFont="1" applyFill="1" applyBorder="1" applyAlignment="1" applyProtection="1">
      <alignment horizontal="left" vertical="center" wrapText="1"/>
    </xf>
    <xf numFmtId="0" fontId="4" fillId="4" borderId="15" xfId="1" applyNumberFormat="1" applyFont="1" applyFill="1" applyBorder="1" applyAlignment="1" applyProtection="1">
      <alignment horizontal="left" vertical="center" wrapText="1"/>
    </xf>
    <xf numFmtId="9" fontId="4" fillId="11" borderId="3" xfId="2" applyFont="1" applyFill="1" applyBorder="1" applyAlignment="1" applyProtection="1">
      <alignment horizontal="left" indent="1"/>
    </xf>
    <xf numFmtId="9" fontId="4" fillId="4" borderId="3" xfId="2" applyFont="1" applyFill="1" applyBorder="1" applyAlignment="1" applyProtection="1">
      <alignment horizontal="left" indent="1"/>
    </xf>
    <xf numFmtId="168" fontId="4" fillId="5" borderId="2" xfId="3" applyNumberFormat="1" applyFont="1" applyFill="1" applyBorder="1" applyAlignment="1" applyProtection="1">
      <alignment horizontal="right" vertical="center"/>
      <protection locked="0"/>
    </xf>
    <xf numFmtId="0" fontId="4" fillId="4" borderId="9" xfId="1" applyNumberFormat="1" applyFont="1" applyFill="1" applyBorder="1" applyAlignment="1" applyProtection="1">
      <alignment horizontal="left" vertical="center" wrapText="1"/>
    </xf>
    <xf numFmtId="0" fontId="8" fillId="7" borderId="0" xfId="3" applyFont="1" applyFill="1" applyAlignment="1">
      <alignment vertical="center"/>
    </xf>
    <xf numFmtId="0" fontId="2" fillId="10" borderId="0" xfId="0" applyFont="1" applyFill="1" applyAlignment="1">
      <alignment vertical="center"/>
    </xf>
    <xf numFmtId="0" fontId="8" fillId="9" borderId="0" xfId="3" applyFont="1" applyFill="1" applyAlignment="1">
      <alignment vertical="center"/>
    </xf>
    <xf numFmtId="3" fontId="8" fillId="9" borderId="0" xfId="3" applyNumberFormat="1" applyFont="1" applyFill="1" applyAlignment="1">
      <alignment horizontal="center" vertical="center" wrapText="1"/>
    </xf>
    <xf numFmtId="0" fontId="2" fillId="9" borderId="0" xfId="0" applyFont="1" applyFill="1" applyAlignment="1">
      <alignment vertical="center"/>
    </xf>
    <xf numFmtId="0" fontId="8" fillId="13" borderId="0" xfId="3" applyFont="1" applyFill="1" applyAlignment="1">
      <alignment vertical="center"/>
    </xf>
    <xf numFmtId="3" fontId="8" fillId="13" borderId="0" xfId="3" applyNumberFormat="1" applyFont="1" applyFill="1" applyAlignment="1">
      <alignment horizontal="center" vertical="center" wrapText="1"/>
    </xf>
    <xf numFmtId="0" fontId="2" fillId="13" borderId="0" xfId="0" applyFont="1" applyFill="1" applyAlignment="1">
      <alignment vertical="center"/>
    </xf>
    <xf numFmtId="3" fontId="2" fillId="10" borderId="0" xfId="0" applyNumberFormat="1" applyFont="1" applyFill="1" applyAlignment="1">
      <alignment vertical="center"/>
    </xf>
    <xf numFmtId="3" fontId="8" fillId="10" borderId="0" xfId="3" applyNumberFormat="1" applyFont="1" applyFill="1" applyAlignment="1">
      <alignment horizontal="center" vertical="center" wrapText="1"/>
    </xf>
    <xf numFmtId="3" fontId="2" fillId="2" borderId="0" xfId="0" applyNumberFormat="1" applyFont="1" applyFill="1" applyAlignment="1">
      <alignment vertical="center"/>
    </xf>
    <xf numFmtId="0" fontId="8" fillId="9" borderId="0" xfId="3" applyFont="1" applyFill="1" applyAlignment="1">
      <alignment vertical="center" wrapText="1"/>
    </xf>
    <xf numFmtId="0" fontId="8" fillId="13" borderId="0" xfId="3" applyFont="1" applyFill="1" applyAlignment="1">
      <alignment vertical="center" wrapText="1"/>
    </xf>
    <xf numFmtId="3" fontId="8" fillId="8" borderId="3" xfId="3" applyNumberFormat="1" applyFont="1" applyFill="1" applyBorder="1" applyAlignment="1">
      <alignment vertical="center"/>
    </xf>
    <xf numFmtId="3" fontId="8" fillId="8" borderId="3" xfId="3" applyNumberFormat="1" applyFont="1" applyFill="1" applyBorder="1" applyAlignment="1">
      <alignment horizontal="center" vertical="center"/>
    </xf>
    <xf numFmtId="0" fontId="5" fillId="4" borderId="8" xfId="0" applyFont="1" applyFill="1" applyBorder="1" applyAlignment="1">
      <alignment horizontal="left" vertical="center" wrapText="1"/>
    </xf>
    <xf numFmtId="165" fontId="0" fillId="0" borderId="0" xfId="0" applyNumberFormat="1"/>
    <xf numFmtId="0" fontId="5" fillId="4" borderId="9" xfId="0" applyFont="1" applyFill="1" applyBorder="1" applyAlignment="1">
      <alignment horizontal="left" vertical="center" wrapText="1"/>
    </xf>
    <xf numFmtId="3" fontId="5" fillId="9" borderId="3" xfId="0" applyNumberFormat="1" applyFont="1" applyFill="1" applyBorder="1" applyAlignment="1">
      <alignment horizontal="center" vertical="center" wrapText="1"/>
    </xf>
    <xf numFmtId="0" fontId="5" fillId="4" borderId="10" xfId="0" applyFont="1" applyFill="1" applyBorder="1" applyAlignment="1">
      <alignment horizontal="left" vertical="center" wrapText="1"/>
    </xf>
    <xf numFmtId="3" fontId="8" fillId="8" borderId="5" xfId="3" applyNumberFormat="1" applyFont="1" applyFill="1" applyBorder="1" applyAlignment="1">
      <alignment horizontal="center" vertical="center"/>
    </xf>
    <xf numFmtId="0" fontId="5" fillId="4" borderId="3" xfId="0" applyFont="1" applyFill="1" applyBorder="1" applyAlignment="1">
      <alignment horizontal="center" vertical="center" wrapText="1"/>
    </xf>
    <xf numFmtId="0" fontId="5" fillId="11" borderId="3" xfId="2" applyNumberFormat="1" applyFont="1" applyFill="1" applyBorder="1" applyAlignment="1" applyProtection="1">
      <alignment horizontal="center" vertical="center" wrapText="1"/>
    </xf>
    <xf numFmtId="0" fontId="9" fillId="2" borderId="0" xfId="0" applyFont="1" applyFill="1" applyAlignment="1">
      <alignment vertical="center"/>
    </xf>
    <xf numFmtId="0" fontId="10" fillId="0" borderId="0" xfId="0" applyFont="1" applyAlignment="1">
      <alignment vertical="center"/>
    </xf>
    <xf numFmtId="0" fontId="8" fillId="0" borderId="0" xfId="0" applyFont="1" applyAlignment="1">
      <alignment vertical="center"/>
    </xf>
    <xf numFmtId="0" fontId="5" fillId="4" borderId="11" xfId="0" applyFont="1" applyFill="1" applyBorder="1" applyAlignment="1">
      <alignment horizontal="left" vertical="center" wrapText="1"/>
    </xf>
    <xf numFmtId="0" fontId="5" fillId="11" borderId="3" xfId="0" applyFont="1" applyFill="1" applyBorder="1" applyAlignment="1">
      <alignment horizontal="center" vertical="center" wrapText="1"/>
    </xf>
    <xf numFmtId="0" fontId="5" fillId="4" borderId="13" xfId="0" applyFont="1" applyFill="1" applyBorder="1" applyAlignment="1">
      <alignment horizontal="left" vertical="center" wrapText="1"/>
    </xf>
    <xf numFmtId="0" fontId="4" fillId="9" borderId="10" xfId="3" applyFont="1" applyFill="1" applyBorder="1" applyAlignment="1">
      <alignment horizontal="left" vertical="center" wrapText="1"/>
    </xf>
    <xf numFmtId="165" fontId="5" fillId="4" borderId="3" xfId="0" applyNumberFormat="1" applyFont="1" applyFill="1" applyBorder="1" applyAlignment="1">
      <alignment horizontal="center" vertical="center" wrapText="1"/>
    </xf>
    <xf numFmtId="0" fontId="4" fillId="11" borderId="3" xfId="0" applyFont="1" applyFill="1" applyBorder="1" applyAlignment="1">
      <alignment horizontal="center" vertical="center" wrapText="1"/>
    </xf>
    <xf numFmtId="0" fontId="8" fillId="7" borderId="4" xfId="3" applyFont="1" applyFill="1" applyBorder="1" applyAlignment="1">
      <alignment horizontal="left" vertical="center" wrapText="1"/>
    </xf>
    <xf numFmtId="3" fontId="8" fillId="7" borderId="3" xfId="3" applyNumberFormat="1" applyFont="1" applyFill="1" applyBorder="1" applyAlignment="1">
      <alignment horizontal="left" vertical="center"/>
    </xf>
    <xf numFmtId="0" fontId="3" fillId="3" borderId="1" xfId="0" applyFont="1" applyFill="1" applyBorder="1" applyAlignment="1">
      <alignment horizontal="left" vertical="center" wrapText="1"/>
    </xf>
    <xf numFmtId="164" fontId="3" fillId="3" borderId="7" xfId="0" applyNumberFormat="1" applyFont="1" applyFill="1" applyBorder="1" applyAlignment="1">
      <alignment horizontal="left" vertical="center" wrapText="1"/>
    </xf>
    <xf numFmtId="164" fontId="3" fillId="3" borderId="2" xfId="0" applyNumberFormat="1" applyFont="1" applyFill="1" applyBorder="1" applyAlignment="1">
      <alignment horizontal="left" vertical="center" wrapText="1"/>
    </xf>
    <xf numFmtId="165" fontId="3" fillId="3" borderId="3" xfId="0" applyNumberFormat="1" applyFont="1" applyFill="1" applyBorder="1" applyAlignment="1">
      <alignment horizontal="center" vertical="center" wrapText="1"/>
    </xf>
    <xf numFmtId="0" fontId="8" fillId="7" borderId="3" xfId="3" applyFont="1" applyFill="1" applyBorder="1" applyAlignment="1">
      <alignment horizontal="left" vertical="center"/>
    </xf>
    <xf numFmtId="0" fontId="4" fillId="4" borderId="3" xfId="3" applyFont="1" applyFill="1" applyBorder="1" applyAlignment="1">
      <alignment horizontal="left" vertical="center" wrapText="1"/>
    </xf>
    <xf numFmtId="165" fontId="4" fillId="5" borderId="3" xfId="3" applyNumberFormat="1" applyFont="1" applyFill="1" applyBorder="1" applyAlignment="1">
      <alignment horizontal="right" vertical="center"/>
    </xf>
    <xf numFmtId="3" fontId="4" fillId="4" borderId="3" xfId="3" applyNumberFormat="1" applyFont="1" applyFill="1" applyBorder="1" applyAlignment="1">
      <alignment horizontal="center" vertical="center" wrapText="1"/>
    </xf>
    <xf numFmtId="3" fontId="4" fillId="4" borderId="3" xfId="3" applyNumberFormat="1" applyFont="1" applyFill="1" applyBorder="1" applyAlignment="1">
      <alignment horizontal="left" vertical="center" wrapText="1"/>
    </xf>
    <xf numFmtId="9" fontId="2" fillId="2" borderId="0" xfId="0" applyNumberFormat="1" applyFont="1" applyFill="1" applyAlignment="1">
      <alignment vertical="center"/>
    </xf>
    <xf numFmtId="0" fontId="11" fillId="2" borderId="0" xfId="0" applyFont="1" applyFill="1" applyAlignment="1">
      <alignment vertical="center" wrapText="1"/>
    </xf>
    <xf numFmtId="0" fontId="11" fillId="2" borderId="0" xfId="0" applyFont="1" applyFill="1" applyAlignment="1">
      <alignment vertical="center"/>
    </xf>
    <xf numFmtId="0" fontId="11" fillId="2" borderId="0" xfId="0" applyFont="1" applyFill="1" applyAlignment="1">
      <alignment horizontal="center" vertical="center"/>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11" fillId="6" borderId="0" xfId="3" applyFont="1" applyFill="1" applyAlignment="1">
      <alignment vertical="center" wrapText="1"/>
    </xf>
    <xf numFmtId="0" fontId="2" fillId="6" borderId="0" xfId="3" applyFont="1" applyFill="1" applyAlignment="1">
      <alignment horizontal="left" vertical="center" wrapText="1"/>
    </xf>
    <xf numFmtId="165" fontId="2" fillId="6" borderId="0" xfId="3" applyNumberFormat="1" applyFont="1" applyFill="1" applyAlignment="1">
      <alignment horizontal="left" vertical="center" wrapText="1"/>
    </xf>
    <xf numFmtId="165" fontId="2" fillId="6" borderId="0" xfId="3" applyNumberFormat="1" applyFont="1" applyFill="1" applyAlignment="1">
      <alignment horizontal="center" vertical="center" wrapText="1"/>
    </xf>
    <xf numFmtId="0" fontId="7" fillId="3" borderId="6" xfId="0" applyFont="1" applyFill="1" applyBorder="1" applyAlignment="1">
      <alignment horizontal="left" vertical="center" wrapText="1"/>
    </xf>
    <xf numFmtId="164" fontId="7" fillId="3" borderId="0" xfId="0" applyNumberFormat="1" applyFont="1" applyFill="1" applyAlignment="1">
      <alignment horizontal="left" vertical="center" wrapText="1"/>
    </xf>
    <xf numFmtId="164" fontId="3" fillId="3" borderId="1" xfId="0" applyNumberFormat="1" applyFont="1" applyFill="1" applyBorder="1" applyAlignment="1">
      <alignment vertical="center" wrapText="1"/>
    </xf>
    <xf numFmtId="0" fontId="5" fillId="4" borderId="3" xfId="0" applyFont="1" applyFill="1" applyBorder="1" applyAlignment="1">
      <alignment vertical="center"/>
    </xf>
    <xf numFmtId="0" fontId="5" fillId="11" borderId="3" xfId="0" applyFont="1" applyFill="1" applyBorder="1" applyAlignment="1">
      <alignment vertical="center"/>
    </xf>
    <xf numFmtId="165" fontId="4" fillId="4" borderId="3" xfId="3" applyNumberFormat="1" applyFont="1" applyFill="1" applyBorder="1" applyAlignment="1">
      <alignment horizontal="right" vertical="center"/>
    </xf>
    <xf numFmtId="0" fontId="4" fillId="5" borderId="3" xfId="3" applyFont="1" applyFill="1" applyBorder="1" applyAlignment="1">
      <alignment horizontal="left" vertical="center"/>
    </xf>
    <xf numFmtId="0" fontId="4" fillId="5" borderId="3" xfId="3" applyFont="1" applyFill="1" applyBorder="1" applyAlignment="1">
      <alignment horizontal="center" vertical="center"/>
    </xf>
    <xf numFmtId="0" fontId="0" fillId="0" borderId="0" xfId="0" quotePrefix="1" applyAlignment="1">
      <alignment wrapText="1"/>
    </xf>
    <xf numFmtId="0" fontId="4" fillId="2" borderId="0" xfId="0" applyFont="1" applyFill="1" applyAlignment="1">
      <alignment vertical="center"/>
    </xf>
    <xf numFmtId="0" fontId="4" fillId="2" borderId="0" xfId="0" applyFont="1" applyFill="1" applyAlignment="1">
      <alignment vertical="center" wrapText="1"/>
    </xf>
    <xf numFmtId="0" fontId="4" fillId="2" borderId="0" xfId="0" applyFont="1" applyFill="1" applyAlignment="1">
      <alignment horizontal="left" vertical="center" wrapText="1"/>
    </xf>
    <xf numFmtId="165" fontId="4" fillId="6" borderId="0" xfId="3" applyNumberFormat="1" applyFont="1" applyFill="1" applyAlignment="1">
      <alignment horizontal="left" vertical="center" wrapText="1"/>
    </xf>
    <xf numFmtId="3" fontId="8" fillId="7" borderId="3" xfId="3" applyNumberFormat="1" applyFont="1" applyFill="1" applyBorder="1" applyAlignment="1">
      <alignment horizontal="left" vertical="center" wrapText="1"/>
    </xf>
    <xf numFmtId="3" fontId="8" fillId="7" borderId="3" xfId="3" applyNumberFormat="1" applyFont="1" applyFill="1" applyBorder="1" applyAlignment="1">
      <alignment vertical="center"/>
    </xf>
    <xf numFmtId="3" fontId="4" fillId="11" borderId="3" xfId="3" applyNumberFormat="1" applyFont="1" applyFill="1" applyBorder="1" applyAlignment="1">
      <alignment horizontal="center" vertical="center" wrapText="1"/>
    </xf>
    <xf numFmtId="3" fontId="4" fillId="4" borderId="1" xfId="3" applyNumberFormat="1" applyFont="1" applyFill="1" applyBorder="1" applyAlignment="1">
      <alignment horizontal="left" vertical="center" wrapText="1"/>
    </xf>
    <xf numFmtId="3" fontId="4" fillId="4" borderId="2" xfId="3" applyNumberFormat="1" applyFont="1" applyFill="1" applyBorder="1" applyAlignment="1">
      <alignment horizontal="left" vertical="center" wrapText="1"/>
    </xf>
    <xf numFmtId="3" fontId="8" fillId="7" borderId="3" xfId="3" applyNumberFormat="1" applyFont="1" applyFill="1" applyBorder="1" applyAlignment="1">
      <alignment vertical="center" wrapText="1"/>
    </xf>
    <xf numFmtId="3" fontId="8" fillId="7" borderId="3" xfId="3" applyNumberFormat="1" applyFont="1" applyFill="1" applyBorder="1" applyAlignment="1">
      <alignment horizontal="center" vertical="center"/>
    </xf>
    <xf numFmtId="0" fontId="13" fillId="2" borderId="0" xfId="0" applyFont="1" applyFill="1" applyAlignment="1">
      <alignment vertical="center"/>
    </xf>
    <xf numFmtId="0" fontId="14" fillId="0" borderId="0" xfId="0" applyFont="1" applyAlignment="1">
      <alignment vertical="center"/>
    </xf>
    <xf numFmtId="164" fontId="3" fillId="3" borderId="3" xfId="0" applyNumberFormat="1" applyFont="1" applyFill="1" applyBorder="1" applyAlignment="1">
      <alignment vertical="center" wrapText="1"/>
    </xf>
    <xf numFmtId="0" fontId="5" fillId="4" borderId="3" xfId="0" applyFont="1" applyFill="1" applyBorder="1" applyAlignment="1">
      <alignment vertical="center" wrapText="1"/>
    </xf>
    <xf numFmtId="165" fontId="16" fillId="3" borderId="3" xfId="3" applyNumberFormat="1" applyFont="1" applyFill="1" applyBorder="1" applyAlignment="1">
      <alignment horizontal="right" vertical="center"/>
    </xf>
    <xf numFmtId="164" fontId="15" fillId="3" borderId="1" xfId="0" applyNumberFormat="1" applyFont="1" applyFill="1" applyBorder="1" applyAlignment="1">
      <alignment horizontal="left" vertical="center" wrapText="1"/>
    </xf>
    <xf numFmtId="0" fontId="4" fillId="2" borderId="0" xfId="0" applyFont="1" applyFill="1" applyAlignment="1">
      <alignment horizontal="right" vertical="center"/>
    </xf>
    <xf numFmtId="9" fontId="4" fillId="2" borderId="0" xfId="0" applyNumberFormat="1" applyFont="1" applyFill="1" applyAlignment="1">
      <alignment vertical="center"/>
    </xf>
    <xf numFmtId="0" fontId="2" fillId="2" borderId="0" xfId="0" applyFont="1" applyFill="1"/>
    <xf numFmtId="0" fontId="2" fillId="0" borderId="0" xfId="0" applyFont="1"/>
    <xf numFmtId="14" fontId="4" fillId="12" borderId="3" xfId="3" applyNumberFormat="1" applyFont="1" applyFill="1" applyBorder="1"/>
    <xf numFmtId="49" fontId="4" fillId="5" borderId="3" xfId="3" applyNumberFormat="1" applyFont="1" applyFill="1" applyBorder="1" applyAlignment="1">
      <alignment horizontal="right"/>
    </xf>
    <xf numFmtId="3" fontId="5" fillId="0" borderId="0" xfId="0" applyNumberFormat="1" applyFont="1" applyAlignment="1">
      <alignment vertical="center"/>
    </xf>
    <xf numFmtId="0" fontId="5" fillId="0" borderId="0" xfId="0" applyFont="1" applyAlignment="1">
      <alignment vertical="center"/>
    </xf>
    <xf numFmtId="0" fontId="4" fillId="5" borderId="2" xfId="3" applyFont="1" applyFill="1" applyBorder="1" applyAlignment="1" applyProtection="1">
      <alignment horizontal="right" vertical="center"/>
      <protection locked="0"/>
    </xf>
    <xf numFmtId="0" fontId="4" fillId="5" borderId="9" xfId="3" applyFont="1" applyFill="1" applyBorder="1" applyAlignment="1" applyProtection="1">
      <alignment horizontal="left" vertical="center"/>
      <protection locked="0"/>
    </xf>
    <xf numFmtId="0" fontId="4" fillId="5" borderId="10" xfId="3" applyFont="1" applyFill="1" applyBorder="1" applyAlignment="1" applyProtection="1">
      <alignment horizontal="left" vertical="center"/>
      <protection locked="0"/>
    </xf>
    <xf numFmtId="3" fontId="4" fillId="4" borderId="1" xfId="3" applyNumberFormat="1" applyFont="1" applyFill="1" applyBorder="1" applyAlignment="1">
      <alignment horizontal="left" vertical="center" wrapText="1"/>
    </xf>
    <xf numFmtId="3" fontId="4" fillId="11" borderId="2" xfId="3"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165" fontId="4" fillId="6" borderId="0" xfId="3" applyNumberFormat="1" applyFont="1" applyFill="1" applyAlignment="1">
      <alignment vertical="center" wrapText="1"/>
    </xf>
    <xf numFmtId="164" fontId="3" fillId="14" borderId="1" xfId="0" applyNumberFormat="1" applyFont="1" applyFill="1" applyBorder="1" applyAlignment="1">
      <alignment horizontal="center" vertical="center" wrapText="1"/>
    </xf>
    <xf numFmtId="164" fontId="3" fillId="14" borderId="2" xfId="0" applyNumberFormat="1" applyFont="1" applyFill="1" applyBorder="1" applyAlignment="1">
      <alignment horizontal="center" vertical="center" wrapText="1"/>
    </xf>
    <xf numFmtId="164" fontId="3" fillId="14" borderId="6" xfId="0" applyNumberFormat="1" applyFont="1" applyFill="1" applyBorder="1" applyAlignment="1">
      <alignment horizontal="center" vertical="center" wrapText="1"/>
    </xf>
    <xf numFmtId="164" fontId="3" fillId="14" borderId="0" xfId="0" applyNumberFormat="1" applyFont="1" applyFill="1" applyBorder="1" applyAlignment="1">
      <alignment horizontal="center" vertical="center" wrapText="1"/>
    </xf>
    <xf numFmtId="0" fontId="11" fillId="2" borderId="0" xfId="0" applyFont="1" applyFill="1" applyAlignment="1">
      <alignment horizontal="left" vertical="center" wrapText="1"/>
    </xf>
    <xf numFmtId="0" fontId="11" fillId="6" borderId="0" xfId="3" applyFont="1" applyFill="1" applyAlignment="1">
      <alignment horizontal="left" vertical="center" wrapText="1"/>
    </xf>
    <xf numFmtId="165" fontId="4" fillId="5" borderId="17" xfId="3" applyNumberFormat="1" applyFont="1" applyFill="1" applyBorder="1" applyAlignment="1" applyProtection="1">
      <alignment horizontal="center" vertical="center"/>
      <protection locked="0"/>
    </xf>
    <xf numFmtId="165" fontId="4" fillId="5" borderId="20" xfId="3" applyNumberFormat="1" applyFont="1" applyFill="1" applyBorder="1" applyAlignment="1" applyProtection="1">
      <alignment horizontal="center" vertical="center"/>
      <protection locked="0"/>
    </xf>
    <xf numFmtId="165" fontId="4" fillId="5" borderId="18" xfId="3" applyNumberFormat="1" applyFont="1" applyFill="1" applyBorder="1" applyAlignment="1" applyProtection="1">
      <alignment horizontal="center" vertical="center"/>
      <protection locked="0"/>
    </xf>
    <xf numFmtId="0" fontId="5" fillId="4" borderId="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9" xfId="0" applyFont="1" applyFill="1" applyBorder="1" applyAlignment="1">
      <alignment horizontal="center" vertical="center" wrapText="1"/>
    </xf>
    <xf numFmtId="166" fontId="5" fillId="4" borderId="4" xfId="1" applyNumberFormat="1" applyFont="1" applyFill="1" applyBorder="1" applyAlignment="1" applyProtection="1">
      <alignment horizontal="center" vertical="center" wrapText="1"/>
    </xf>
    <xf numFmtId="166" fontId="5" fillId="4" borderId="16" xfId="1" applyNumberFormat="1" applyFont="1" applyFill="1" applyBorder="1" applyAlignment="1" applyProtection="1">
      <alignment horizontal="center" vertical="center" wrapText="1"/>
    </xf>
    <xf numFmtId="166" fontId="5" fillId="4" borderId="19" xfId="1" applyNumberFormat="1" applyFont="1" applyFill="1" applyBorder="1" applyAlignment="1" applyProtection="1">
      <alignment horizontal="center" vertical="center" wrapText="1"/>
    </xf>
    <xf numFmtId="165" fontId="4" fillId="6" borderId="0" xfId="3" applyNumberFormat="1" applyFont="1" applyFill="1" applyAlignment="1">
      <alignment horizontal="left" vertical="center" wrapText="1"/>
    </xf>
    <xf numFmtId="164" fontId="3" fillId="3" borderId="7" xfId="0" applyNumberFormat="1" applyFont="1" applyFill="1" applyBorder="1" applyAlignment="1">
      <alignment horizontal="center" vertical="center" wrapText="1"/>
    </xf>
    <xf numFmtId="3" fontId="4" fillId="4" borderId="3" xfId="3" applyNumberFormat="1" applyFont="1" applyFill="1" applyBorder="1" applyAlignment="1">
      <alignment horizontal="left" vertical="center" wrapText="1"/>
    </xf>
    <xf numFmtId="3" fontId="8" fillId="7" borderId="1" xfId="3" applyNumberFormat="1" applyFont="1" applyFill="1" applyBorder="1" applyAlignment="1">
      <alignment horizontal="left" vertical="center"/>
    </xf>
    <xf numFmtId="3" fontId="8" fillId="7" borderId="2" xfId="3" applyNumberFormat="1" applyFont="1" applyFill="1" applyBorder="1" applyAlignment="1">
      <alignment horizontal="left" vertical="center"/>
    </xf>
    <xf numFmtId="3" fontId="4" fillId="4" borderId="1" xfId="3" applyNumberFormat="1" applyFont="1" applyFill="1" applyBorder="1" applyAlignment="1">
      <alignment horizontal="left" vertical="center" wrapText="1"/>
    </xf>
    <xf numFmtId="3" fontId="4" fillId="4" borderId="2" xfId="3" applyNumberFormat="1" applyFont="1" applyFill="1" applyBorder="1" applyAlignment="1">
      <alignment horizontal="left" vertical="center" wrapText="1"/>
    </xf>
    <xf numFmtId="164" fontId="3" fillId="3" borderId="3" xfId="0" applyNumberFormat="1" applyFont="1" applyFill="1" applyBorder="1" applyAlignment="1">
      <alignment horizontal="left" vertical="center" wrapText="1"/>
    </xf>
    <xf numFmtId="3" fontId="4" fillId="11" borderId="4" xfId="3" applyNumberFormat="1" applyFont="1" applyFill="1" applyBorder="1" applyAlignment="1">
      <alignment horizontal="center" vertical="center" wrapText="1"/>
    </xf>
    <xf numFmtId="3" fontId="4" fillId="11" borderId="19" xfId="3" applyNumberFormat="1" applyFont="1" applyFill="1" applyBorder="1" applyAlignment="1">
      <alignment horizontal="center" vertical="center" wrapText="1"/>
    </xf>
    <xf numFmtId="165" fontId="4" fillId="5" borderId="4" xfId="3" applyNumberFormat="1" applyFont="1" applyFill="1" applyBorder="1" applyAlignment="1" applyProtection="1">
      <alignment horizontal="center" vertical="center"/>
      <protection locked="0"/>
    </xf>
    <xf numFmtId="165" fontId="4" fillId="5" borderId="19" xfId="3" applyNumberFormat="1" applyFont="1" applyFill="1" applyBorder="1" applyAlignment="1" applyProtection="1">
      <alignment horizontal="center" vertical="center"/>
      <protection locked="0"/>
    </xf>
    <xf numFmtId="3" fontId="4" fillId="4" borderId="4" xfId="3" applyNumberFormat="1" applyFont="1" applyFill="1" applyBorder="1" applyAlignment="1">
      <alignment horizontal="center" vertical="center" wrapText="1"/>
    </xf>
    <xf numFmtId="3" fontId="4" fillId="4" borderId="19" xfId="3" applyNumberFormat="1" applyFont="1" applyFill="1" applyBorder="1" applyAlignment="1">
      <alignment horizontal="center" vertical="center" wrapText="1"/>
    </xf>
    <xf numFmtId="165" fontId="4" fillId="4" borderId="4" xfId="3" applyNumberFormat="1" applyFont="1" applyFill="1" applyBorder="1" applyAlignment="1">
      <alignment horizontal="center" vertical="center"/>
    </xf>
    <xf numFmtId="165" fontId="4" fillId="4" borderId="19" xfId="3" applyNumberFormat="1" applyFont="1" applyFill="1" applyBorder="1" applyAlignment="1">
      <alignment horizontal="center" vertical="center"/>
    </xf>
    <xf numFmtId="0" fontId="4" fillId="2" borderId="0" xfId="0" applyFont="1" applyFill="1" applyAlignment="1">
      <alignment horizontal="left" vertical="center" wrapText="1"/>
    </xf>
    <xf numFmtId="164" fontId="7" fillId="3" borderId="1" xfId="0" applyNumberFormat="1" applyFont="1" applyFill="1" applyBorder="1" applyAlignment="1">
      <alignment horizontal="left" vertical="center" wrapText="1"/>
    </xf>
    <xf numFmtId="164" fontId="7" fillId="3" borderId="7" xfId="0" applyNumberFormat="1" applyFont="1" applyFill="1" applyBorder="1" applyAlignment="1">
      <alignment horizontal="left" vertical="center" wrapText="1"/>
    </xf>
    <xf numFmtId="164" fontId="7" fillId="3" borderId="2" xfId="0" applyNumberFormat="1" applyFont="1" applyFill="1" applyBorder="1" applyAlignment="1">
      <alignment horizontal="left" vertical="center" wrapText="1"/>
    </xf>
    <xf numFmtId="3" fontId="8" fillId="7" borderId="3" xfId="3" applyNumberFormat="1" applyFont="1" applyFill="1" applyBorder="1" applyAlignment="1">
      <alignment horizontal="left" vertical="center"/>
    </xf>
    <xf numFmtId="3" fontId="4" fillId="4" borderId="7" xfId="3" applyNumberFormat="1" applyFont="1" applyFill="1" applyBorder="1" applyAlignment="1">
      <alignment horizontal="left" vertical="center" wrapText="1"/>
    </xf>
    <xf numFmtId="164" fontId="3" fillId="14" borderId="7" xfId="0" applyNumberFormat="1" applyFont="1" applyFill="1" applyBorder="1" applyAlignment="1">
      <alignment horizontal="center" vertical="center" wrapText="1"/>
    </xf>
    <xf numFmtId="164" fontId="3" fillId="3" borderId="1" xfId="0" applyNumberFormat="1" applyFont="1" applyFill="1" applyBorder="1" applyAlignment="1">
      <alignment horizontal="left" vertical="center" wrapText="1"/>
    </xf>
    <xf numFmtId="164" fontId="3" fillId="3" borderId="7" xfId="0" applyNumberFormat="1" applyFont="1" applyFill="1" applyBorder="1" applyAlignment="1">
      <alignment horizontal="left" vertical="center" wrapText="1"/>
    </xf>
    <xf numFmtId="164" fontId="3" fillId="3" borderId="2" xfId="0" applyNumberFormat="1" applyFont="1" applyFill="1" applyBorder="1" applyAlignment="1">
      <alignment horizontal="left" vertical="center" wrapText="1"/>
    </xf>
    <xf numFmtId="164" fontId="7" fillId="3" borderId="3" xfId="0" applyNumberFormat="1" applyFont="1" applyFill="1" applyBorder="1" applyAlignment="1">
      <alignment horizontal="left" vertical="center" wrapText="1"/>
    </xf>
  </cellXfs>
  <cellStyles count="4">
    <cellStyle name="Procent" xfId="2" builtinId="5"/>
    <cellStyle name="Standaard" xfId="0" builtinId="0"/>
    <cellStyle name="Standaard 4" xfId="3" xr:uid="{EF3A5241-A703-4B77-9FC3-64F353787834}"/>
    <cellStyle name="Valuta" xfId="1" builtinId="4"/>
  </cellStyles>
  <dxfs count="0"/>
  <tableStyles count="0" defaultTableStyle="TableStyleMedium2" defaultPivotStyle="PivotStyleLight16"/>
  <colors>
    <mruColors>
      <color rgb="FFD0EBEC"/>
      <color rgb="FFE7F5F5"/>
      <color rgb="FF5EC4FF"/>
      <color rgb="FFE7CBE5"/>
      <color rgb="FFCE97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EC94-43D6-4105-A09E-9FD0DECB8CC3}">
  <dimension ref="A1:J27"/>
  <sheetViews>
    <sheetView tabSelected="1" zoomScaleNormal="100" workbookViewId="0">
      <selection activeCell="B11" sqref="B11"/>
    </sheetView>
  </sheetViews>
  <sheetFormatPr defaultColWidth="11.42578125" defaultRowHeight="14.25" x14ac:dyDescent="0.25"/>
  <cols>
    <col min="1" max="1" width="1.42578125" style="112" customWidth="1"/>
    <col min="2" max="2" width="46.7109375" style="100" customWidth="1"/>
    <col min="3" max="3" width="18.140625" style="100" customWidth="1"/>
    <col min="4" max="4" width="1.42578125" style="112" customWidth="1"/>
    <col min="5" max="16384" width="11.42578125" style="100"/>
  </cols>
  <sheetData>
    <row r="1" spans="1:10" x14ac:dyDescent="0.25">
      <c r="A1" s="99"/>
      <c r="B1" s="5"/>
      <c r="C1" s="5"/>
      <c r="D1" s="5"/>
    </row>
    <row r="2" spans="1:10" x14ac:dyDescent="0.25">
      <c r="A2" s="99"/>
      <c r="B2" s="121" t="s">
        <v>180</v>
      </c>
      <c r="C2" s="122"/>
      <c r="D2" s="5"/>
    </row>
    <row r="3" spans="1:10" x14ac:dyDescent="0.25">
      <c r="A3" s="99"/>
      <c r="B3" s="5"/>
      <c r="C3" s="5"/>
      <c r="D3" s="5"/>
    </row>
    <row r="4" spans="1:10" x14ac:dyDescent="0.25">
      <c r="A4" s="5"/>
      <c r="B4" s="118" t="s">
        <v>0</v>
      </c>
      <c r="C4" s="119"/>
      <c r="D4" s="5"/>
    </row>
    <row r="5" spans="1:10" x14ac:dyDescent="0.25">
      <c r="A5" s="5"/>
      <c r="B5" s="5"/>
      <c r="C5" s="5"/>
      <c r="D5" s="5"/>
    </row>
    <row r="6" spans="1:10" x14ac:dyDescent="0.25">
      <c r="A6" s="5"/>
      <c r="B6" s="81" t="s">
        <v>1</v>
      </c>
      <c r="C6" s="101" t="s">
        <v>2</v>
      </c>
      <c r="D6" s="5"/>
    </row>
    <row r="7" spans="1:10" x14ac:dyDescent="0.25">
      <c r="A7" s="5"/>
      <c r="B7" s="102" t="s">
        <v>3</v>
      </c>
      <c r="C7" s="84">
        <f>'PMS en PA'!F107</f>
        <v>0</v>
      </c>
      <c r="D7" s="5"/>
    </row>
    <row r="8" spans="1:10" x14ac:dyDescent="0.25">
      <c r="A8" s="5"/>
      <c r="B8" s="102" t="s">
        <v>4</v>
      </c>
      <c r="C8" s="84">
        <f>'reserve en diversen'!F44</f>
        <v>0</v>
      </c>
      <c r="D8" s="5"/>
    </row>
    <row r="9" spans="1:10" x14ac:dyDescent="0.25">
      <c r="A9" s="5"/>
      <c r="B9" s="81" t="s">
        <v>5</v>
      </c>
      <c r="C9" s="103">
        <f>SUM(C7:C8)</f>
        <v>0</v>
      </c>
      <c r="D9" s="5"/>
    </row>
    <row r="10" spans="1:10" x14ac:dyDescent="0.25">
      <c r="A10" s="5"/>
      <c r="B10" s="5"/>
      <c r="C10" s="5"/>
      <c r="D10" s="5"/>
    </row>
    <row r="11" spans="1:10" x14ac:dyDescent="0.25">
      <c r="A11" s="5"/>
      <c r="B11" s="81" t="s">
        <v>6</v>
      </c>
      <c r="C11" s="101" t="s">
        <v>2</v>
      </c>
      <c r="D11" s="5"/>
    </row>
    <row r="12" spans="1:10" customFormat="1" ht="15" x14ac:dyDescent="0.25">
      <c r="A12" s="5"/>
      <c r="B12" s="102" t="s">
        <v>7</v>
      </c>
      <c r="C12" s="84">
        <f>SUM('terugkerende kosten'!G12:G30)/10</f>
        <v>0</v>
      </c>
      <c r="D12" s="5"/>
      <c r="E12" s="100"/>
      <c r="F12" s="100"/>
      <c r="G12" s="100"/>
      <c r="H12" s="100"/>
      <c r="I12" s="100"/>
      <c r="J12" s="100"/>
    </row>
    <row r="13" spans="1:10" customFormat="1" ht="15" x14ac:dyDescent="0.25">
      <c r="A13" s="5"/>
      <c r="B13" s="102" t="s">
        <v>8</v>
      </c>
      <c r="C13" s="84">
        <f>C12+'terugkerende kosten'!G10/'terugkerende kosten'!E10</f>
        <v>0</v>
      </c>
      <c r="D13" s="5"/>
      <c r="E13" s="100"/>
      <c r="F13" s="100"/>
      <c r="G13" s="100"/>
      <c r="H13" s="100"/>
      <c r="I13" s="100"/>
      <c r="J13" s="100"/>
    </row>
    <row r="14" spans="1:10" x14ac:dyDescent="0.25">
      <c r="A14" s="5"/>
      <c r="B14" s="81" t="s">
        <v>5</v>
      </c>
      <c r="C14" s="103">
        <f>C12+C13*'terugkerende kosten'!E10</f>
        <v>0</v>
      </c>
      <c r="D14" s="5"/>
    </row>
    <row r="15" spans="1:10" customFormat="1" ht="15" x14ac:dyDescent="0.25">
      <c r="A15" s="5"/>
      <c r="B15" s="5"/>
      <c r="C15" s="5"/>
      <c r="D15" s="5"/>
      <c r="E15" s="100"/>
      <c r="F15" s="100"/>
      <c r="G15" s="100"/>
      <c r="H15" s="100"/>
      <c r="I15" s="100"/>
      <c r="J15" s="100"/>
    </row>
    <row r="16" spans="1:10" x14ac:dyDescent="0.25">
      <c r="A16" s="5"/>
      <c r="B16" s="104" t="s">
        <v>9</v>
      </c>
      <c r="C16" s="103">
        <f>C9+C14</f>
        <v>0</v>
      </c>
      <c r="D16" s="5"/>
    </row>
    <row r="17" spans="1:10" x14ac:dyDescent="0.25">
      <c r="A17" s="5"/>
      <c r="B17" s="105"/>
      <c r="C17" s="106"/>
      <c r="D17" s="5"/>
    </row>
    <row r="18" spans="1:10" x14ac:dyDescent="0.25">
      <c r="A18" s="5"/>
      <c r="B18" s="118" t="str">
        <f>'PMS en PA'!C117</f>
        <v>Alle prijzen op basis prijspeil 1-1-2023, exclusief btw.</v>
      </c>
      <c r="C18" s="119"/>
      <c r="D18" s="5"/>
    </row>
    <row r="19" spans="1:10" x14ac:dyDescent="0.25">
      <c r="A19" s="5"/>
      <c r="B19" s="5"/>
      <c r="C19" s="5"/>
      <c r="D19" s="5"/>
    </row>
    <row r="20" spans="1:10" s="108" customFormat="1" hidden="1" x14ac:dyDescent="0.2">
      <c r="A20" s="107"/>
      <c r="B20" s="101" t="s">
        <v>10</v>
      </c>
      <c r="C20" s="101"/>
      <c r="D20" s="5"/>
      <c r="E20" s="100"/>
      <c r="F20" s="100"/>
      <c r="G20" s="100"/>
      <c r="H20" s="100"/>
      <c r="I20" s="100"/>
      <c r="J20" s="100"/>
    </row>
    <row r="21" spans="1:10" s="108" customFormat="1" hidden="1" x14ac:dyDescent="0.2">
      <c r="A21" s="107"/>
      <c r="B21" s="22" t="s">
        <v>11</v>
      </c>
      <c r="C21" s="109"/>
      <c r="D21" s="5"/>
      <c r="E21" s="100"/>
      <c r="F21" s="100"/>
      <c r="G21" s="100"/>
      <c r="H21" s="100"/>
      <c r="I21" s="100"/>
      <c r="J21" s="100"/>
    </row>
    <row r="22" spans="1:10" s="108" customFormat="1" hidden="1" x14ac:dyDescent="0.2">
      <c r="A22" s="107"/>
      <c r="B22" s="23" t="s">
        <v>12</v>
      </c>
      <c r="C22" s="110"/>
      <c r="D22" s="5"/>
      <c r="E22" s="100"/>
      <c r="F22" s="100"/>
      <c r="G22" s="100"/>
      <c r="H22" s="100"/>
      <c r="I22" s="100"/>
      <c r="J22" s="100"/>
    </row>
    <row r="23" spans="1:10" hidden="1" x14ac:dyDescent="0.25">
      <c r="A23" s="5"/>
      <c r="B23" s="5"/>
      <c r="C23" s="5"/>
      <c r="D23" s="5"/>
    </row>
    <row r="24" spans="1:10" hidden="1" x14ac:dyDescent="0.25">
      <c r="A24" s="5"/>
      <c r="B24" s="88" t="s">
        <v>13</v>
      </c>
      <c r="C24" s="5"/>
      <c r="D24" s="5"/>
    </row>
    <row r="25" spans="1:10" ht="38.25" hidden="1" x14ac:dyDescent="0.25">
      <c r="A25" s="5"/>
      <c r="B25" s="120" t="s">
        <v>14</v>
      </c>
      <c r="C25" s="120"/>
      <c r="D25" s="6" t="s">
        <v>15</v>
      </c>
    </row>
    <row r="26" spans="1:10" ht="38.25" hidden="1" x14ac:dyDescent="0.25">
      <c r="A26" s="5"/>
      <c r="B26" s="120" t="s">
        <v>16</v>
      </c>
      <c r="C26" s="120"/>
      <c r="D26" s="6" t="s">
        <v>15</v>
      </c>
    </row>
    <row r="27" spans="1:10" x14ac:dyDescent="0.25">
      <c r="A27" s="111"/>
      <c r="C27" s="111"/>
    </row>
  </sheetData>
  <sheetProtection algorithmName="SHA-512" hashValue="jLpKhv2mfiyXrABQSJQ3F15etRm1ssvTIB9zVw+qnQXXVWUCTfOMw/iVJpSQIscVCJmSDgJyLe6m21qp1SAyGQ==" saltValue="KG/vq5lXKyIie8VXGzeIvg==" spinCount="100000" sheet="1" objects="1" scenarios="1"/>
  <mergeCells count="5">
    <mergeCell ref="B4:C4"/>
    <mergeCell ref="B18:C18"/>
    <mergeCell ref="B25:C25"/>
    <mergeCell ref="B26:C26"/>
    <mergeCell ref="B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D3F8-FCCD-41F8-825E-FA7370017995}">
  <dimension ref="A1:R118"/>
  <sheetViews>
    <sheetView view="pageBreakPreview" zoomScaleNormal="115" zoomScaleSheetLayoutView="100" workbookViewId="0">
      <selection activeCell="C5" sqref="C5"/>
    </sheetView>
  </sheetViews>
  <sheetFormatPr defaultRowHeight="15" x14ac:dyDescent="0.25"/>
  <cols>
    <col min="1" max="1" width="2.28515625" customWidth="1"/>
    <col min="2" max="2" width="3" bestFit="1" customWidth="1"/>
    <col min="3" max="3" width="67" customWidth="1"/>
    <col min="4" max="4" width="13.85546875" bestFit="1" customWidth="1"/>
    <col min="5" max="6" width="13.85546875" customWidth="1"/>
    <col min="7" max="7" width="10.5703125" hidden="1" customWidth="1"/>
    <col min="8" max="8" width="11.140625" hidden="1" customWidth="1"/>
    <col min="9" max="15" width="10.5703125" customWidth="1"/>
    <col min="16" max="16" width="3" customWidth="1"/>
    <col min="17" max="17" width="2.28515625" customWidth="1"/>
  </cols>
  <sheetData>
    <row r="1" spans="1:17" x14ac:dyDescent="0.25">
      <c r="A1" s="5"/>
      <c r="B1" s="5"/>
      <c r="C1" s="5"/>
      <c r="D1" s="5"/>
      <c r="E1" s="7"/>
      <c r="F1" s="7"/>
      <c r="G1" s="5"/>
      <c r="H1" s="7"/>
      <c r="I1" s="7"/>
      <c r="J1" s="7"/>
      <c r="K1" s="7"/>
      <c r="L1" s="7"/>
      <c r="M1" s="7"/>
      <c r="N1" s="7"/>
      <c r="O1" s="7"/>
      <c r="P1" s="5"/>
    </row>
    <row r="2" spans="1:17" x14ac:dyDescent="0.25">
      <c r="A2" s="5"/>
      <c r="B2" s="99"/>
      <c r="C2" s="123" t="s">
        <v>180</v>
      </c>
      <c r="D2" s="124"/>
      <c r="E2" s="124"/>
      <c r="F2" s="124"/>
      <c r="G2" s="124"/>
      <c r="H2" s="124"/>
      <c r="I2" s="124"/>
      <c r="J2" s="124"/>
      <c r="K2" s="124"/>
      <c r="L2" s="124"/>
      <c r="M2" s="124"/>
      <c r="N2" s="124"/>
      <c r="O2" s="124"/>
      <c r="P2" s="5"/>
    </row>
    <row r="3" spans="1:17" x14ac:dyDescent="0.25">
      <c r="A3" s="5"/>
      <c r="B3" s="5"/>
      <c r="C3" s="5"/>
      <c r="D3" s="5"/>
      <c r="E3" s="7"/>
      <c r="F3" s="7"/>
      <c r="G3" s="5"/>
      <c r="H3" s="7"/>
      <c r="I3" s="7"/>
      <c r="J3" s="7"/>
      <c r="K3" s="7"/>
      <c r="L3" s="7"/>
      <c r="M3" s="7"/>
      <c r="N3" s="7"/>
      <c r="O3" s="7"/>
      <c r="P3" s="5"/>
      <c r="Q3" s="8"/>
    </row>
    <row r="4" spans="1:17" x14ac:dyDescent="0.25">
      <c r="A4" s="5"/>
      <c r="B4" s="5"/>
      <c r="C4" s="17" t="str">
        <f ca="1">"Specificatie"&amp;MID(CELL("bestandsnaam",$A$3),SEARCH("]",CELL("bestandsnaam",$A$3),1)+1,99)</f>
        <v>SpecificatiePMS en PA</v>
      </c>
      <c r="D4" s="18"/>
      <c r="E4" s="18"/>
      <c r="F4" s="18"/>
      <c r="G4" s="5"/>
      <c r="H4" s="18"/>
      <c r="I4" s="18"/>
      <c r="J4" s="18"/>
      <c r="K4" s="18"/>
      <c r="L4" s="18"/>
      <c r="M4" s="18"/>
      <c r="N4" s="18"/>
      <c r="O4" s="18"/>
      <c r="P4" s="5"/>
      <c r="Q4" s="8"/>
    </row>
    <row r="5" spans="1:17" x14ac:dyDescent="0.25">
      <c r="A5" s="5"/>
      <c r="B5" s="5"/>
      <c r="C5" s="5"/>
      <c r="D5" s="5"/>
      <c r="E5" s="5"/>
      <c r="F5" s="5"/>
      <c r="G5" s="5"/>
      <c r="H5" s="5"/>
      <c r="I5" s="5"/>
      <c r="J5" s="5"/>
      <c r="K5" s="5"/>
      <c r="L5" s="5"/>
      <c r="M5" s="5"/>
      <c r="N5" s="5"/>
      <c r="O5" s="5"/>
      <c r="P5" s="5"/>
      <c r="Q5" s="8"/>
    </row>
    <row r="6" spans="1:17" ht="26.25" thickBot="1" x14ac:dyDescent="0.3">
      <c r="A6" s="5"/>
      <c r="B6" s="5"/>
      <c r="C6" s="13" t="s">
        <v>17</v>
      </c>
      <c r="D6" s="39" t="s">
        <v>18</v>
      </c>
      <c r="E6" s="40" t="s">
        <v>19</v>
      </c>
      <c r="F6" s="9"/>
      <c r="G6" s="5"/>
      <c r="H6" s="5"/>
      <c r="I6" s="9" t="s">
        <v>20</v>
      </c>
      <c r="J6" s="9" t="s">
        <v>21</v>
      </c>
      <c r="K6" s="9" t="s">
        <v>22</v>
      </c>
      <c r="L6" s="9" t="s">
        <v>23</v>
      </c>
      <c r="M6" s="9" t="s">
        <v>24</v>
      </c>
      <c r="N6" s="9" t="s">
        <v>25</v>
      </c>
      <c r="O6" s="9" t="s">
        <v>26</v>
      </c>
      <c r="P6" s="5"/>
      <c r="Q6" s="8"/>
    </row>
    <row r="7" spans="1:17" ht="15.75" thickTop="1" x14ac:dyDescent="0.25">
      <c r="A7" s="5"/>
      <c r="B7" s="5"/>
      <c r="C7" s="41" t="s">
        <v>27</v>
      </c>
      <c r="D7" s="127"/>
      <c r="E7" s="130">
        <v>1</v>
      </c>
      <c r="F7" s="133">
        <f>IFERROR(D7*E7,"")</f>
        <v>0</v>
      </c>
      <c r="G7" s="5"/>
      <c r="H7" s="5"/>
      <c r="I7" s="5"/>
      <c r="J7" s="5"/>
      <c r="K7" s="5"/>
      <c r="L7" s="5"/>
      <c r="M7" s="5"/>
      <c r="N7" s="5"/>
      <c r="O7" s="5"/>
      <c r="P7" s="5"/>
      <c r="Q7" s="42"/>
    </row>
    <row r="8" spans="1:17" x14ac:dyDescent="0.25">
      <c r="A8" s="5"/>
      <c r="B8" s="5"/>
      <c r="C8" s="43" t="s">
        <v>28</v>
      </c>
      <c r="D8" s="128"/>
      <c r="E8" s="131"/>
      <c r="F8" s="134"/>
      <c r="G8" s="5"/>
      <c r="H8" s="5"/>
      <c r="I8" s="5"/>
      <c r="J8" s="5"/>
      <c r="K8" s="5"/>
      <c r="L8" s="5"/>
      <c r="M8" s="5"/>
      <c r="N8" s="5"/>
      <c r="O8" s="5"/>
      <c r="P8" s="5"/>
      <c r="Q8" s="42"/>
    </row>
    <row r="9" spans="1:17" x14ac:dyDescent="0.25">
      <c r="A9" s="5"/>
      <c r="B9" s="5"/>
      <c r="C9" s="43" t="s">
        <v>29</v>
      </c>
      <c r="D9" s="128"/>
      <c r="E9" s="131"/>
      <c r="F9" s="134"/>
      <c r="G9" s="5"/>
      <c r="H9" s="5"/>
      <c r="I9" s="5"/>
      <c r="J9" s="5"/>
      <c r="K9" s="5"/>
      <c r="L9" s="5"/>
      <c r="M9" s="5"/>
      <c r="N9" s="5"/>
      <c r="O9" s="5"/>
      <c r="P9" s="5"/>
      <c r="Q9" s="42"/>
    </row>
    <row r="10" spans="1:17" x14ac:dyDescent="0.25">
      <c r="A10" s="5"/>
      <c r="B10" s="5"/>
      <c r="C10" s="43" t="s">
        <v>30</v>
      </c>
      <c r="D10" s="129"/>
      <c r="E10" s="132"/>
      <c r="F10" s="135"/>
      <c r="G10" s="5"/>
      <c r="H10" s="5"/>
      <c r="I10" s="5"/>
      <c r="J10" s="5"/>
      <c r="K10" s="5"/>
      <c r="L10" s="5"/>
      <c r="M10" s="5"/>
      <c r="N10" s="5"/>
      <c r="O10" s="5"/>
      <c r="P10" s="5"/>
      <c r="Q10" s="42"/>
    </row>
    <row r="11" spans="1:17" x14ac:dyDescent="0.25">
      <c r="A11" s="5"/>
      <c r="B11" s="5"/>
      <c r="C11" s="43" t="s">
        <v>31</v>
      </c>
      <c r="D11" s="44" t="s">
        <v>32</v>
      </c>
      <c r="E11" s="44" t="s">
        <v>32</v>
      </c>
      <c r="F11" s="44" t="s">
        <v>32</v>
      </c>
      <c r="G11" s="5"/>
      <c r="H11" s="5"/>
      <c r="I11" s="5"/>
      <c r="J11" s="5"/>
      <c r="K11" s="5"/>
      <c r="L11" s="5"/>
      <c r="M11" s="5"/>
      <c r="N11" s="5"/>
      <c r="O11" s="5"/>
      <c r="P11" s="5"/>
      <c r="Q11" s="42"/>
    </row>
    <row r="12" spans="1:17" ht="15.75" thickBot="1" x14ac:dyDescent="0.3">
      <c r="A12" s="5"/>
      <c r="B12" s="5"/>
      <c r="C12" s="45" t="s">
        <v>33</v>
      </c>
      <c r="D12" s="44" t="s">
        <v>32</v>
      </c>
      <c r="E12" s="44" t="s">
        <v>32</v>
      </c>
      <c r="F12" s="44" t="s">
        <v>32</v>
      </c>
      <c r="G12" s="5"/>
      <c r="H12" s="5"/>
      <c r="I12" s="5"/>
      <c r="J12" s="5"/>
      <c r="K12" s="5"/>
      <c r="L12" s="5"/>
      <c r="M12" s="5"/>
      <c r="N12" s="5"/>
      <c r="O12" s="5"/>
      <c r="P12" s="5"/>
      <c r="Q12" s="42"/>
    </row>
    <row r="13" spans="1:17" ht="16.5" thickTop="1" thickBot="1" x14ac:dyDescent="0.3">
      <c r="A13" s="5"/>
      <c r="B13" s="5"/>
      <c r="C13" s="5"/>
      <c r="D13" s="39" t="s">
        <v>18</v>
      </c>
      <c r="E13" s="46" t="s">
        <v>34</v>
      </c>
      <c r="F13" s="5"/>
      <c r="G13" s="5"/>
      <c r="H13" s="5"/>
      <c r="I13" s="5"/>
      <c r="J13" s="5"/>
      <c r="K13" s="5"/>
      <c r="L13" s="5"/>
      <c r="M13" s="5"/>
      <c r="N13" s="5"/>
      <c r="O13" s="5"/>
      <c r="P13" s="5"/>
      <c r="Q13" s="8"/>
    </row>
    <row r="14" spans="1:17" ht="15.75" thickTop="1" x14ac:dyDescent="0.25">
      <c r="A14" s="5"/>
      <c r="B14" s="82">
        <v>1</v>
      </c>
      <c r="C14" s="41" t="s">
        <v>179</v>
      </c>
      <c r="D14" s="1"/>
      <c r="E14" s="47">
        <f>SUM(I14:O14)</f>
        <v>6</v>
      </c>
      <c r="F14" s="10">
        <f>IFERROR(D14*E14,"")</f>
        <v>0</v>
      </c>
      <c r="G14" s="5"/>
      <c r="H14" s="5"/>
      <c r="I14" s="5"/>
      <c r="J14" s="48">
        <v>1</v>
      </c>
      <c r="K14" s="48">
        <v>1</v>
      </c>
      <c r="L14" s="48">
        <v>1</v>
      </c>
      <c r="M14" s="48">
        <v>1</v>
      </c>
      <c r="N14" s="48">
        <v>1</v>
      </c>
      <c r="O14" s="48">
        <v>1</v>
      </c>
      <c r="P14" s="5"/>
      <c r="Q14" s="8"/>
    </row>
    <row r="15" spans="1:17" x14ac:dyDescent="0.25">
      <c r="A15" s="5"/>
      <c r="B15" s="82">
        <v>2</v>
      </c>
      <c r="C15" s="43" t="s">
        <v>35</v>
      </c>
      <c r="D15" s="1"/>
      <c r="E15" s="47">
        <f>SUM(I15:O15)</f>
        <v>1</v>
      </c>
      <c r="F15" s="10">
        <f>IFERROR(D15*E15,"")</f>
        <v>0</v>
      </c>
      <c r="G15" s="5"/>
      <c r="H15" s="5"/>
      <c r="I15" s="48">
        <v>1</v>
      </c>
      <c r="J15" s="5"/>
      <c r="K15" s="5"/>
      <c r="L15" s="5"/>
      <c r="M15" s="5"/>
      <c r="N15" s="5"/>
      <c r="O15" s="5"/>
      <c r="P15" s="5"/>
      <c r="Q15" s="8"/>
    </row>
    <row r="16" spans="1:17" x14ac:dyDescent="0.25">
      <c r="A16" s="5"/>
      <c r="B16" s="82">
        <v>3</v>
      </c>
      <c r="C16" s="43" t="s">
        <v>36</v>
      </c>
      <c r="D16" s="1"/>
      <c r="E16" s="47">
        <f>SUM(I16:O16)</f>
        <v>35</v>
      </c>
      <c r="F16" s="10">
        <f>IFERROR(D16*E16,"")</f>
        <v>0</v>
      </c>
      <c r="G16" s="5"/>
      <c r="H16" s="5"/>
      <c r="I16" s="5"/>
      <c r="J16" s="48">
        <v>10</v>
      </c>
      <c r="K16" s="48">
        <v>10</v>
      </c>
      <c r="L16" s="48">
        <v>5</v>
      </c>
      <c r="M16" s="48">
        <v>5</v>
      </c>
      <c r="N16" s="48">
        <v>5</v>
      </c>
      <c r="O16" s="48"/>
      <c r="P16" s="5"/>
      <c r="Q16" s="8"/>
    </row>
    <row r="17" spans="1:17" x14ac:dyDescent="0.25">
      <c r="A17" s="5"/>
      <c r="B17" s="82">
        <v>4</v>
      </c>
      <c r="C17" s="43" t="s">
        <v>37</v>
      </c>
      <c r="D17" s="44" t="s">
        <v>32</v>
      </c>
      <c r="E17" s="44" t="s">
        <v>32</v>
      </c>
      <c r="F17" s="44" t="s">
        <v>32</v>
      </c>
      <c r="G17" s="5"/>
      <c r="H17" s="5" t="s">
        <v>38</v>
      </c>
      <c r="I17" s="5"/>
      <c r="J17" s="5"/>
      <c r="K17" s="5"/>
      <c r="L17" s="5"/>
      <c r="M17" s="5"/>
      <c r="N17" s="5"/>
      <c r="O17" s="5"/>
      <c r="P17" s="5"/>
    </row>
    <row r="18" spans="1:17" ht="15.75" thickBot="1" x14ac:dyDescent="0.3">
      <c r="A18" s="5"/>
      <c r="B18" s="82">
        <v>5</v>
      </c>
      <c r="C18" s="45" t="s">
        <v>39</v>
      </c>
      <c r="D18" s="1"/>
      <c r="E18" s="47">
        <f>SUM(I18:O18)</f>
        <v>6</v>
      </c>
      <c r="F18" s="10">
        <f>IFERROR(D18*E18,"")</f>
        <v>0</v>
      </c>
      <c r="G18" s="5"/>
      <c r="H18" s="5"/>
      <c r="I18" s="5"/>
      <c r="J18" s="48">
        <v>1</v>
      </c>
      <c r="K18" s="48">
        <v>1</v>
      </c>
      <c r="L18" s="48">
        <v>1</v>
      </c>
      <c r="M18" s="48">
        <v>1</v>
      </c>
      <c r="N18" s="48">
        <v>1</v>
      </c>
      <c r="O18" s="48">
        <v>1</v>
      </c>
      <c r="P18" s="5"/>
      <c r="Q18" s="8"/>
    </row>
    <row r="19" spans="1:17" ht="15.75" thickTop="1" x14ac:dyDescent="0.25">
      <c r="A19" s="49"/>
      <c r="B19" s="49"/>
      <c r="C19" s="49"/>
      <c r="D19" s="49"/>
      <c r="E19" s="49"/>
      <c r="F19" s="49"/>
      <c r="G19" s="5"/>
      <c r="H19" s="5"/>
      <c r="I19" s="5"/>
      <c r="J19" s="5"/>
      <c r="K19" s="5"/>
      <c r="L19" s="5"/>
      <c r="M19" s="5"/>
      <c r="N19" s="5"/>
      <c r="O19" s="5"/>
      <c r="P19" s="5"/>
      <c r="Q19" s="50"/>
    </row>
    <row r="20" spans="1:17" ht="26.25" thickBot="1" x14ac:dyDescent="0.3">
      <c r="A20" s="5"/>
      <c r="B20" s="5"/>
      <c r="C20" s="13" t="s">
        <v>40</v>
      </c>
      <c r="D20" s="39" t="s">
        <v>18</v>
      </c>
      <c r="E20" s="40" t="s">
        <v>41</v>
      </c>
      <c r="F20" s="40"/>
      <c r="G20" s="5" t="s">
        <v>42</v>
      </c>
      <c r="H20" s="5"/>
      <c r="I20" s="5"/>
      <c r="J20" s="9" t="s">
        <v>21</v>
      </c>
      <c r="K20" s="9" t="s">
        <v>22</v>
      </c>
      <c r="L20" s="9" t="s">
        <v>23</v>
      </c>
      <c r="M20" s="9" t="s">
        <v>24</v>
      </c>
      <c r="N20" s="9" t="s">
        <v>25</v>
      </c>
      <c r="O20" s="9" t="s">
        <v>26</v>
      </c>
      <c r="P20" s="5"/>
      <c r="Q20" s="51"/>
    </row>
    <row r="21" spans="1:17" ht="15.75" thickTop="1" x14ac:dyDescent="0.25">
      <c r="A21" s="5"/>
      <c r="B21" s="82">
        <v>6</v>
      </c>
      <c r="C21" s="41" t="s">
        <v>43</v>
      </c>
      <c r="D21" s="1"/>
      <c r="E21" s="47">
        <f t="shared" ref="E21:E30" si="0">SUM(J21:O21)</f>
        <v>8</v>
      </c>
      <c r="F21" s="10">
        <f t="shared" ref="F21:F30" si="1">IFERROR(D21*E21,"")</f>
        <v>0</v>
      </c>
      <c r="G21" s="5">
        <v>4</v>
      </c>
      <c r="H21" s="5"/>
      <c r="I21" s="5"/>
      <c r="J21" s="48">
        <v>2</v>
      </c>
      <c r="K21" s="48">
        <v>2</v>
      </c>
      <c r="L21" s="48">
        <v>1</v>
      </c>
      <c r="M21" s="48">
        <v>1</v>
      </c>
      <c r="N21" s="48">
        <v>2</v>
      </c>
      <c r="O21" s="48">
        <v>0</v>
      </c>
      <c r="P21" s="5"/>
      <c r="Q21" s="8"/>
    </row>
    <row r="22" spans="1:17" x14ac:dyDescent="0.25">
      <c r="A22" s="5"/>
      <c r="B22" s="82">
        <v>7</v>
      </c>
      <c r="C22" s="52" t="s">
        <v>173</v>
      </c>
      <c r="D22" s="1"/>
      <c r="E22" s="47">
        <f>SUM(J22:O22)</f>
        <v>2</v>
      </c>
      <c r="F22" s="10">
        <f t="shared" si="1"/>
        <v>0</v>
      </c>
      <c r="G22" s="5">
        <v>3</v>
      </c>
      <c r="H22" s="5"/>
      <c r="I22" s="5"/>
      <c r="J22" s="53">
        <v>0</v>
      </c>
      <c r="K22" s="53">
        <v>0</v>
      </c>
      <c r="L22" s="53">
        <v>0</v>
      </c>
      <c r="M22" s="53">
        <v>1</v>
      </c>
      <c r="N22" s="53">
        <v>0</v>
      </c>
      <c r="O22" s="53">
        <v>1</v>
      </c>
      <c r="P22" s="5"/>
      <c r="Q22" s="8"/>
    </row>
    <row r="23" spans="1:17" x14ac:dyDescent="0.25">
      <c r="A23" s="5"/>
      <c r="B23" s="82" t="s">
        <v>172</v>
      </c>
      <c r="C23" s="52" t="s">
        <v>174</v>
      </c>
      <c r="D23" s="1"/>
      <c r="E23" s="47">
        <f t="shared" ref="E23" si="2">SUM(J23:O23)</f>
        <v>3</v>
      </c>
      <c r="F23" s="10">
        <f t="shared" ref="F23" si="3">IFERROR(D23*E23,"")</f>
        <v>0</v>
      </c>
      <c r="G23" s="5"/>
      <c r="H23" s="5"/>
      <c r="I23" s="5"/>
      <c r="J23" s="53">
        <v>2</v>
      </c>
      <c r="K23" s="53">
        <v>0</v>
      </c>
      <c r="L23" s="53">
        <v>0</v>
      </c>
      <c r="M23" s="53">
        <v>0</v>
      </c>
      <c r="N23" s="53">
        <v>1</v>
      </c>
      <c r="O23" s="53">
        <v>0</v>
      </c>
      <c r="P23" s="5"/>
      <c r="Q23" s="8"/>
    </row>
    <row r="24" spans="1:17" x14ac:dyDescent="0.25">
      <c r="A24" s="5"/>
      <c r="B24" s="82">
        <v>8</v>
      </c>
      <c r="C24" s="52" t="s">
        <v>45</v>
      </c>
      <c r="D24" s="1"/>
      <c r="E24" s="47">
        <f t="shared" si="0"/>
        <v>0</v>
      </c>
      <c r="F24" s="10">
        <f t="shared" si="1"/>
        <v>0</v>
      </c>
      <c r="G24" s="5">
        <v>1</v>
      </c>
      <c r="H24" s="5"/>
      <c r="I24" s="5"/>
      <c r="J24" s="53">
        <v>0</v>
      </c>
      <c r="K24" s="53">
        <v>0</v>
      </c>
      <c r="L24" s="53">
        <v>0</v>
      </c>
      <c r="M24" s="53">
        <v>0</v>
      </c>
      <c r="N24" s="53">
        <v>0</v>
      </c>
      <c r="O24" s="53">
        <v>0</v>
      </c>
      <c r="P24" s="5"/>
      <c r="Q24" s="8"/>
    </row>
    <row r="25" spans="1:17" x14ac:dyDescent="0.25">
      <c r="A25" s="5"/>
      <c r="B25" s="82">
        <v>9</v>
      </c>
      <c r="C25" s="52" t="s">
        <v>46</v>
      </c>
      <c r="D25" s="1"/>
      <c r="E25" s="47">
        <f t="shared" si="0"/>
        <v>13</v>
      </c>
      <c r="F25" s="10">
        <f t="shared" si="1"/>
        <v>0</v>
      </c>
      <c r="G25" s="5">
        <v>1</v>
      </c>
      <c r="H25" s="5"/>
      <c r="I25" s="5"/>
      <c r="J25" s="47">
        <f>SUM(J21:J23)-J24</f>
        <v>4</v>
      </c>
      <c r="K25" s="47">
        <f t="shared" ref="K25:O25" si="4">SUM(K21:K23)-K24</f>
        <v>2</v>
      </c>
      <c r="L25" s="47">
        <f t="shared" si="4"/>
        <v>1</v>
      </c>
      <c r="M25" s="47">
        <f t="shared" si="4"/>
        <v>2</v>
      </c>
      <c r="N25" s="47">
        <f t="shared" si="4"/>
        <v>3</v>
      </c>
      <c r="O25" s="47">
        <f t="shared" si="4"/>
        <v>1</v>
      </c>
      <c r="P25" s="5"/>
      <c r="Q25" s="8"/>
    </row>
    <row r="26" spans="1:17" s="8" customFormat="1" ht="12.75" x14ac:dyDescent="0.25">
      <c r="A26" s="5"/>
      <c r="B26" s="82">
        <v>10</v>
      </c>
      <c r="C26" s="52" t="s">
        <v>175</v>
      </c>
      <c r="D26" s="1"/>
      <c r="E26" s="47">
        <f t="shared" si="0"/>
        <v>13</v>
      </c>
      <c r="F26" s="10">
        <f t="shared" si="1"/>
        <v>0</v>
      </c>
      <c r="G26" s="5"/>
      <c r="H26" s="5"/>
      <c r="I26" s="5"/>
      <c r="J26" s="47">
        <f t="shared" ref="J26:O26" si="5">J25</f>
        <v>4</v>
      </c>
      <c r="K26" s="47">
        <f t="shared" si="5"/>
        <v>2</v>
      </c>
      <c r="L26" s="47">
        <f t="shared" si="5"/>
        <v>1</v>
      </c>
      <c r="M26" s="47">
        <f t="shared" si="5"/>
        <v>2</v>
      </c>
      <c r="N26" s="47">
        <f t="shared" si="5"/>
        <v>3</v>
      </c>
      <c r="O26" s="47">
        <f t="shared" si="5"/>
        <v>1</v>
      </c>
      <c r="P26" s="5"/>
    </row>
    <row r="27" spans="1:17" x14ac:dyDescent="0.25">
      <c r="A27" s="5"/>
      <c r="B27" s="82">
        <v>11</v>
      </c>
      <c r="C27" s="52" t="s">
        <v>47</v>
      </c>
      <c r="D27" s="1"/>
      <c r="E27" s="47">
        <f t="shared" si="0"/>
        <v>21</v>
      </c>
      <c r="F27" s="10">
        <f t="shared" si="1"/>
        <v>0</v>
      </c>
      <c r="G27" s="5"/>
      <c r="H27" s="5"/>
      <c r="I27" s="5"/>
      <c r="J27" s="47">
        <v>3</v>
      </c>
      <c r="K27" s="47">
        <f t="shared" ref="K27:O27" si="6">SUM(K21:K25)</f>
        <v>4</v>
      </c>
      <c r="L27" s="47">
        <f t="shared" si="6"/>
        <v>2</v>
      </c>
      <c r="M27" s="47">
        <f t="shared" si="6"/>
        <v>4</v>
      </c>
      <c r="N27" s="47">
        <f t="shared" si="6"/>
        <v>6</v>
      </c>
      <c r="O27" s="47">
        <f t="shared" si="6"/>
        <v>2</v>
      </c>
      <c r="P27" s="5"/>
      <c r="Q27" s="8"/>
    </row>
    <row r="28" spans="1:17" x14ac:dyDescent="0.25">
      <c r="A28" s="5"/>
      <c r="B28" s="82" t="s">
        <v>176</v>
      </c>
      <c r="C28" s="52" t="s">
        <v>177</v>
      </c>
      <c r="D28" s="1"/>
      <c r="E28" s="47">
        <f t="shared" ref="E28" si="7">SUM(J28:O28)</f>
        <v>2</v>
      </c>
      <c r="F28" s="10">
        <f t="shared" ref="F28" si="8">IFERROR(D28*E28,"")</f>
        <v>0</v>
      </c>
      <c r="G28" s="5"/>
      <c r="H28" s="5"/>
      <c r="I28" s="5"/>
      <c r="J28" s="47">
        <v>2</v>
      </c>
      <c r="K28" s="47"/>
      <c r="L28" s="47"/>
      <c r="M28" s="47"/>
      <c r="N28" s="47"/>
      <c r="O28" s="47"/>
      <c r="P28" s="5"/>
      <c r="Q28" s="8"/>
    </row>
    <row r="29" spans="1:17" x14ac:dyDescent="0.25">
      <c r="A29" s="5"/>
      <c r="B29" s="82">
        <v>12</v>
      </c>
      <c r="C29" s="52" t="s">
        <v>48</v>
      </c>
      <c r="D29" s="1"/>
      <c r="E29" s="47">
        <f t="shared" si="0"/>
        <v>10</v>
      </c>
      <c r="F29" s="10">
        <f t="shared" si="1"/>
        <v>0</v>
      </c>
      <c r="G29" s="5">
        <v>1</v>
      </c>
      <c r="H29" s="5"/>
      <c r="I29" s="5"/>
      <c r="J29" s="47">
        <f t="shared" ref="J29:O29" si="9">J21+J22</f>
        <v>2</v>
      </c>
      <c r="K29" s="47">
        <f t="shared" si="9"/>
        <v>2</v>
      </c>
      <c r="L29" s="47">
        <f t="shared" si="9"/>
        <v>1</v>
      </c>
      <c r="M29" s="47">
        <f t="shared" si="9"/>
        <v>2</v>
      </c>
      <c r="N29" s="47">
        <f t="shared" si="9"/>
        <v>2</v>
      </c>
      <c r="O29" s="47">
        <f t="shared" si="9"/>
        <v>1</v>
      </c>
      <c r="P29" s="5"/>
      <c r="Q29" s="8"/>
    </row>
    <row r="30" spans="1:17" x14ac:dyDescent="0.25">
      <c r="A30" s="5"/>
      <c r="B30" s="5"/>
      <c r="C30" s="54" t="s">
        <v>49</v>
      </c>
      <c r="D30" s="1"/>
      <c r="E30" s="47">
        <f t="shared" si="0"/>
        <v>6</v>
      </c>
      <c r="F30" s="10">
        <f t="shared" si="1"/>
        <v>0</v>
      </c>
      <c r="G30" s="5"/>
      <c r="H30" s="5"/>
      <c r="I30" s="5"/>
      <c r="J30" s="47">
        <v>1</v>
      </c>
      <c r="K30" s="47">
        <v>1</v>
      </c>
      <c r="L30" s="47">
        <v>1</v>
      </c>
      <c r="M30" s="47">
        <v>1</v>
      </c>
      <c r="N30" s="47">
        <v>1</v>
      </c>
      <c r="O30" s="47">
        <v>1</v>
      </c>
      <c r="P30" s="5"/>
      <c r="Q30" s="8"/>
    </row>
    <row r="31" spans="1:17" ht="15.75" thickBot="1" x14ac:dyDescent="0.3">
      <c r="A31" s="5"/>
      <c r="B31" s="5"/>
      <c r="C31" s="55" t="s">
        <v>50</v>
      </c>
      <c r="D31" s="44" t="s">
        <v>32</v>
      </c>
      <c r="E31" s="44" t="s">
        <v>32</v>
      </c>
      <c r="F31" s="44"/>
      <c r="G31" s="5"/>
      <c r="H31" s="5" t="s">
        <v>38</v>
      </c>
      <c r="I31" s="5"/>
      <c r="J31" s="5"/>
      <c r="K31" s="5"/>
      <c r="L31" s="5"/>
      <c r="M31" s="5"/>
      <c r="N31" s="5"/>
      <c r="O31" s="5"/>
      <c r="P31" s="5"/>
      <c r="Q31" s="8"/>
    </row>
    <row r="32" spans="1:17" ht="15.75" thickTop="1" x14ac:dyDescent="0.25">
      <c r="A32" s="5"/>
      <c r="B32" s="5"/>
      <c r="C32" s="5"/>
      <c r="D32" s="5"/>
      <c r="E32" s="5"/>
      <c r="F32" s="5"/>
      <c r="G32" s="5"/>
      <c r="H32" s="5"/>
      <c r="I32" s="5"/>
      <c r="J32" s="5"/>
      <c r="K32" s="5"/>
      <c r="L32" s="5"/>
      <c r="M32" s="5"/>
      <c r="N32" s="5"/>
      <c r="O32" s="5"/>
      <c r="P32" s="5"/>
      <c r="Q32" s="8"/>
    </row>
    <row r="33" spans="1:17" ht="26.25" thickBot="1" x14ac:dyDescent="0.3">
      <c r="A33" s="5"/>
      <c r="B33" s="5"/>
      <c r="C33" s="13" t="s">
        <v>51</v>
      </c>
      <c r="D33" s="39" t="s">
        <v>18</v>
      </c>
      <c r="E33" s="40" t="s">
        <v>41</v>
      </c>
      <c r="F33" s="40"/>
      <c r="G33" s="5"/>
      <c r="H33" s="5"/>
      <c r="I33" s="5"/>
      <c r="J33" s="9" t="s">
        <v>21</v>
      </c>
      <c r="K33" s="9" t="s">
        <v>22</v>
      </c>
      <c r="L33" s="9" t="s">
        <v>23</v>
      </c>
      <c r="M33" s="9" t="s">
        <v>24</v>
      </c>
      <c r="N33" s="9" t="s">
        <v>25</v>
      </c>
      <c r="O33" s="9" t="s">
        <v>26</v>
      </c>
      <c r="P33" s="5"/>
      <c r="Q33" s="51"/>
    </row>
    <row r="34" spans="1:17" ht="15.75" thickTop="1" x14ac:dyDescent="0.25">
      <c r="A34" s="5"/>
      <c r="B34" s="5"/>
      <c r="C34" s="41" t="s">
        <v>43</v>
      </c>
      <c r="D34" s="56">
        <f>$D$21</f>
        <v>0</v>
      </c>
      <c r="E34" s="47">
        <f t="shared" ref="E34:E44" si="10">SUM(J34:O34)</f>
        <v>2</v>
      </c>
      <c r="F34" s="10">
        <f t="shared" ref="F34:F44" si="11">IFERROR(D34*E34,"")</f>
        <v>0</v>
      </c>
      <c r="G34" s="5">
        <v>4</v>
      </c>
      <c r="H34" s="5"/>
      <c r="I34" s="5"/>
      <c r="J34" s="53">
        <v>1</v>
      </c>
      <c r="K34" s="53">
        <v>0</v>
      </c>
      <c r="L34" s="53">
        <v>1</v>
      </c>
      <c r="M34" s="53">
        <v>0</v>
      </c>
      <c r="N34" s="53">
        <v>0</v>
      </c>
      <c r="O34" s="53">
        <v>0</v>
      </c>
      <c r="P34" s="5"/>
      <c r="Q34" s="8"/>
    </row>
    <row r="35" spans="1:17" x14ac:dyDescent="0.25">
      <c r="A35" s="5"/>
      <c r="B35" s="5"/>
      <c r="C35" s="52" t="s">
        <v>44</v>
      </c>
      <c r="D35" s="56">
        <f>$D$22</f>
        <v>0</v>
      </c>
      <c r="E35" s="47">
        <f t="shared" si="10"/>
        <v>0</v>
      </c>
      <c r="F35" s="10">
        <f t="shared" si="11"/>
        <v>0</v>
      </c>
      <c r="G35" s="5">
        <v>3</v>
      </c>
      <c r="H35" s="5"/>
      <c r="I35" s="5"/>
      <c r="J35" s="53">
        <v>0</v>
      </c>
      <c r="K35" s="53">
        <v>0</v>
      </c>
      <c r="L35" s="53">
        <v>0</v>
      </c>
      <c r="M35" s="53">
        <v>0</v>
      </c>
      <c r="N35" s="53">
        <v>0</v>
      </c>
      <c r="O35" s="53">
        <v>0</v>
      </c>
      <c r="P35" s="5"/>
      <c r="Q35" s="8"/>
    </row>
    <row r="36" spans="1:17" x14ac:dyDescent="0.25">
      <c r="A36" s="5"/>
      <c r="B36" s="5"/>
      <c r="C36" s="52" t="s">
        <v>52</v>
      </c>
      <c r="D36" s="1"/>
      <c r="E36" s="47">
        <f t="shared" si="10"/>
        <v>2</v>
      </c>
      <c r="F36" s="10">
        <f t="shared" si="11"/>
        <v>0</v>
      </c>
      <c r="G36" s="5">
        <v>4</v>
      </c>
      <c r="H36" s="5"/>
      <c r="I36" s="5"/>
      <c r="J36" s="48">
        <v>1</v>
      </c>
      <c r="K36" s="48">
        <v>0</v>
      </c>
      <c r="L36" s="53">
        <v>1</v>
      </c>
      <c r="M36" s="48">
        <v>0</v>
      </c>
      <c r="N36" s="48">
        <v>0</v>
      </c>
      <c r="O36" s="48">
        <v>0</v>
      </c>
      <c r="P36" s="5"/>
      <c r="Q36" s="8"/>
    </row>
    <row r="37" spans="1:17" x14ac:dyDescent="0.25">
      <c r="A37" s="5"/>
      <c r="B37" s="5"/>
      <c r="C37" s="52" t="s">
        <v>53</v>
      </c>
      <c r="D37" s="1"/>
      <c r="E37" s="47">
        <f t="shared" si="10"/>
        <v>0</v>
      </c>
      <c r="F37" s="10">
        <f t="shared" si="11"/>
        <v>0</v>
      </c>
      <c r="G37" s="5">
        <v>3</v>
      </c>
      <c r="H37" s="5"/>
      <c r="I37" s="5"/>
      <c r="J37" s="53">
        <v>0</v>
      </c>
      <c r="K37" s="53">
        <v>0</v>
      </c>
      <c r="L37" s="53">
        <v>0</v>
      </c>
      <c r="M37" s="53">
        <v>0</v>
      </c>
      <c r="N37" s="53">
        <v>0</v>
      </c>
      <c r="O37" s="53">
        <v>0</v>
      </c>
      <c r="P37" s="5"/>
      <c r="Q37" s="8"/>
    </row>
    <row r="38" spans="1:17" x14ac:dyDescent="0.25">
      <c r="A38" s="5"/>
      <c r="B38" s="5"/>
      <c r="C38" s="52" t="s">
        <v>54</v>
      </c>
      <c r="D38" s="1"/>
      <c r="E38" s="47">
        <v>2</v>
      </c>
      <c r="F38" s="10">
        <f t="shared" si="11"/>
        <v>0</v>
      </c>
      <c r="G38" s="5"/>
      <c r="H38" s="5"/>
      <c r="I38" s="5"/>
      <c r="J38" s="53"/>
      <c r="K38" s="53"/>
      <c r="L38" s="53">
        <v>1</v>
      </c>
      <c r="M38" s="53"/>
      <c r="N38" s="53"/>
      <c r="O38" s="53"/>
      <c r="P38" s="5"/>
      <c r="Q38" s="8"/>
    </row>
    <row r="39" spans="1:17" x14ac:dyDescent="0.25">
      <c r="A39" s="5"/>
      <c r="B39" s="5"/>
      <c r="C39" s="52" t="s">
        <v>45</v>
      </c>
      <c r="D39" s="56">
        <f>$D$24</f>
        <v>0</v>
      </c>
      <c r="E39" s="47">
        <f t="shared" si="10"/>
        <v>0</v>
      </c>
      <c r="F39" s="10">
        <f t="shared" si="11"/>
        <v>0</v>
      </c>
      <c r="G39" s="5">
        <v>1</v>
      </c>
      <c r="H39" s="5"/>
      <c r="I39" s="5"/>
      <c r="J39" s="53">
        <v>0</v>
      </c>
      <c r="K39" s="53">
        <v>0</v>
      </c>
      <c r="L39" s="53">
        <v>0</v>
      </c>
      <c r="M39" s="53">
        <v>0</v>
      </c>
      <c r="N39" s="53">
        <v>0</v>
      </c>
      <c r="O39" s="53">
        <v>0</v>
      </c>
      <c r="P39" s="5"/>
      <c r="Q39" s="8"/>
    </row>
    <row r="40" spans="1:17" x14ac:dyDescent="0.25">
      <c r="A40" s="5"/>
      <c r="B40" s="5"/>
      <c r="C40" s="52" t="s">
        <v>46</v>
      </c>
      <c r="D40" s="56">
        <f>$D$25</f>
        <v>0</v>
      </c>
      <c r="E40" s="47">
        <f t="shared" si="10"/>
        <v>4</v>
      </c>
      <c r="F40" s="10">
        <f t="shared" si="11"/>
        <v>0</v>
      </c>
      <c r="G40" s="5">
        <v>1</v>
      </c>
      <c r="H40" s="5"/>
      <c r="I40" s="5"/>
      <c r="J40" s="47">
        <f t="shared" ref="J40:O40" si="12">SUM(J34:J37)-J39</f>
        <v>2</v>
      </c>
      <c r="K40" s="47">
        <f t="shared" si="12"/>
        <v>0</v>
      </c>
      <c r="L40" s="47">
        <f t="shared" si="12"/>
        <v>2</v>
      </c>
      <c r="M40" s="47">
        <f t="shared" si="12"/>
        <v>0</v>
      </c>
      <c r="N40" s="47">
        <f t="shared" si="12"/>
        <v>0</v>
      </c>
      <c r="O40" s="47">
        <f t="shared" si="12"/>
        <v>0</v>
      </c>
      <c r="P40" s="5"/>
      <c r="Q40" s="8"/>
    </row>
    <row r="41" spans="1:17" s="8" customFormat="1" ht="12.75" x14ac:dyDescent="0.25">
      <c r="A41" s="5"/>
      <c r="B41" s="5"/>
      <c r="C41" s="52" t="s">
        <v>175</v>
      </c>
      <c r="D41" s="56">
        <f>$D$26</f>
        <v>0</v>
      </c>
      <c r="E41" s="47">
        <f t="shared" si="10"/>
        <v>4</v>
      </c>
      <c r="F41" s="10">
        <f t="shared" si="11"/>
        <v>0</v>
      </c>
      <c r="G41" s="5"/>
      <c r="H41" s="5"/>
      <c r="I41" s="5"/>
      <c r="J41" s="47">
        <f t="shared" ref="J41:O41" si="13">J40</f>
        <v>2</v>
      </c>
      <c r="K41" s="47">
        <f t="shared" si="13"/>
        <v>0</v>
      </c>
      <c r="L41" s="47">
        <f t="shared" si="13"/>
        <v>2</v>
      </c>
      <c r="M41" s="47">
        <f t="shared" si="13"/>
        <v>0</v>
      </c>
      <c r="N41" s="47">
        <f t="shared" si="13"/>
        <v>0</v>
      </c>
      <c r="O41" s="47">
        <f t="shared" si="13"/>
        <v>0</v>
      </c>
      <c r="P41" s="5"/>
    </row>
    <row r="42" spans="1:17" x14ac:dyDescent="0.25">
      <c r="A42" s="5"/>
      <c r="B42" s="5"/>
      <c r="C42" s="52" t="s">
        <v>47</v>
      </c>
      <c r="D42" s="11">
        <f>$D$27</f>
        <v>0</v>
      </c>
      <c r="E42" s="47">
        <f t="shared" si="10"/>
        <v>4</v>
      </c>
      <c r="F42" s="10">
        <f t="shared" si="11"/>
        <v>0</v>
      </c>
      <c r="G42" s="5"/>
      <c r="H42" s="5"/>
      <c r="I42" s="5"/>
      <c r="J42" s="47">
        <v>0</v>
      </c>
      <c r="K42" s="47">
        <f>SUM(K34:K40)</f>
        <v>0</v>
      </c>
      <c r="L42" s="47">
        <f>SUM(L34:L40)-1</f>
        <v>4</v>
      </c>
      <c r="M42" s="47">
        <f>SUM(M34:M40)</f>
        <v>0</v>
      </c>
      <c r="N42" s="47">
        <f>SUM(N34:N40)</f>
        <v>0</v>
      </c>
      <c r="O42" s="47">
        <f>SUM(O34:O40)</f>
        <v>0</v>
      </c>
      <c r="P42" s="5"/>
      <c r="Q42" s="8"/>
    </row>
    <row r="43" spans="1:17" x14ac:dyDescent="0.25">
      <c r="A43" s="5"/>
      <c r="B43" s="5"/>
      <c r="C43" s="52" t="s">
        <v>177</v>
      </c>
      <c r="D43" s="11">
        <f>$D$28</f>
        <v>0</v>
      </c>
      <c r="E43" s="47">
        <f t="shared" si="10"/>
        <v>4</v>
      </c>
      <c r="F43" s="10">
        <f t="shared" si="11"/>
        <v>0</v>
      </c>
      <c r="G43" s="5"/>
      <c r="H43" s="5"/>
      <c r="I43" s="5"/>
      <c r="J43" s="47">
        <v>4</v>
      </c>
      <c r="K43" s="47"/>
      <c r="L43" s="47"/>
      <c r="M43" s="47"/>
      <c r="N43" s="47"/>
      <c r="O43" s="47"/>
      <c r="P43" s="5"/>
      <c r="Q43" s="8"/>
    </row>
    <row r="44" spans="1:17" x14ac:dyDescent="0.25">
      <c r="A44" s="5"/>
      <c r="B44" s="5"/>
      <c r="C44" s="52" t="s">
        <v>48</v>
      </c>
      <c r="D44" s="56">
        <f>$D$29</f>
        <v>0</v>
      </c>
      <c r="E44" s="47">
        <f t="shared" si="10"/>
        <v>4</v>
      </c>
      <c r="F44" s="10">
        <f t="shared" si="11"/>
        <v>0</v>
      </c>
      <c r="G44" s="5">
        <v>1</v>
      </c>
      <c r="H44" s="5"/>
      <c r="I44" s="5"/>
      <c r="J44" s="47">
        <f t="shared" ref="J44:O44" si="14">SUM(J34:J37)</f>
        <v>2</v>
      </c>
      <c r="K44" s="47">
        <f t="shared" si="14"/>
        <v>0</v>
      </c>
      <c r="L44" s="47">
        <f t="shared" si="14"/>
        <v>2</v>
      </c>
      <c r="M44" s="47">
        <f t="shared" si="14"/>
        <v>0</v>
      </c>
      <c r="N44" s="47">
        <f t="shared" si="14"/>
        <v>0</v>
      </c>
      <c r="O44" s="47">
        <f t="shared" si="14"/>
        <v>0</v>
      </c>
      <c r="P44" s="5"/>
      <c r="Q44" s="8"/>
    </row>
    <row r="45" spans="1:17" ht="15.75" thickBot="1" x14ac:dyDescent="0.3">
      <c r="A45" s="5"/>
      <c r="B45" s="5"/>
      <c r="C45" s="55" t="s">
        <v>50</v>
      </c>
      <c r="D45" s="44" t="s">
        <v>32</v>
      </c>
      <c r="E45" s="44" t="s">
        <v>32</v>
      </c>
      <c r="F45" s="44"/>
      <c r="G45" s="5"/>
      <c r="H45" s="5" t="s">
        <v>38</v>
      </c>
      <c r="I45" s="5"/>
      <c r="J45" s="5"/>
      <c r="K45" s="5"/>
      <c r="L45" s="5"/>
      <c r="M45" s="5"/>
      <c r="N45" s="5"/>
      <c r="O45" s="5"/>
      <c r="P45" s="5"/>
      <c r="Q45" s="8"/>
    </row>
    <row r="46" spans="1:17" ht="15.75" thickTop="1" x14ac:dyDescent="0.25">
      <c r="A46" s="5"/>
      <c r="B46" s="5"/>
      <c r="C46" s="5"/>
      <c r="D46" s="5"/>
      <c r="E46" s="5"/>
      <c r="F46" s="5"/>
      <c r="G46" s="5"/>
      <c r="H46" s="5"/>
      <c r="I46" s="5"/>
      <c r="J46" s="5"/>
      <c r="K46" s="5"/>
      <c r="L46" s="5"/>
      <c r="M46" s="5"/>
      <c r="N46" s="5"/>
      <c r="O46" s="5"/>
      <c r="P46" s="5"/>
      <c r="Q46" s="8"/>
    </row>
    <row r="47" spans="1:17" ht="26.25" thickBot="1" x14ac:dyDescent="0.3">
      <c r="A47" s="5"/>
      <c r="B47" s="5"/>
      <c r="C47" s="13" t="s">
        <v>55</v>
      </c>
      <c r="D47" s="39" t="s">
        <v>18</v>
      </c>
      <c r="E47" s="40" t="s">
        <v>41</v>
      </c>
      <c r="F47" s="40"/>
      <c r="G47" s="5"/>
      <c r="H47" s="5"/>
      <c r="I47" s="5"/>
      <c r="J47" s="9" t="s">
        <v>21</v>
      </c>
      <c r="K47" s="9" t="s">
        <v>22</v>
      </c>
      <c r="L47" s="9" t="s">
        <v>23</v>
      </c>
      <c r="M47" s="9" t="s">
        <v>24</v>
      </c>
      <c r="N47" s="9" t="s">
        <v>25</v>
      </c>
      <c r="O47" s="9" t="s">
        <v>26</v>
      </c>
      <c r="P47" s="5"/>
      <c r="Q47" s="8"/>
    </row>
    <row r="48" spans="1:17" ht="15.75" thickTop="1" x14ac:dyDescent="0.25">
      <c r="A48" s="5"/>
      <c r="B48" s="82">
        <v>13</v>
      </c>
      <c r="C48" s="12" t="s">
        <v>52</v>
      </c>
      <c r="D48" s="56">
        <f>$D$36</f>
        <v>0</v>
      </c>
      <c r="E48" s="47">
        <f t="shared" ref="E48:E55" si="15">SUM(J48:O48)</f>
        <v>10</v>
      </c>
      <c r="F48" s="10">
        <f t="shared" ref="F48:F55" si="16">IFERROR(D48*E48,"")</f>
        <v>0</v>
      </c>
      <c r="G48" s="5">
        <v>4</v>
      </c>
      <c r="H48" s="5"/>
      <c r="I48" s="5"/>
      <c r="J48" s="48">
        <v>3</v>
      </c>
      <c r="K48" s="48">
        <v>2</v>
      </c>
      <c r="L48" s="48">
        <v>1</v>
      </c>
      <c r="M48" s="48">
        <v>2</v>
      </c>
      <c r="N48" s="48">
        <v>2</v>
      </c>
      <c r="O48" s="48">
        <v>0</v>
      </c>
      <c r="P48" s="5"/>
      <c r="Q48" s="8"/>
    </row>
    <row r="49" spans="1:17" x14ac:dyDescent="0.25">
      <c r="A49" s="5"/>
      <c r="B49" s="82">
        <v>14</v>
      </c>
      <c r="C49" s="52" t="s">
        <v>53</v>
      </c>
      <c r="D49" s="56">
        <f>$D$37</f>
        <v>0</v>
      </c>
      <c r="E49" s="47">
        <f t="shared" si="15"/>
        <v>2</v>
      </c>
      <c r="F49" s="10">
        <f t="shared" si="16"/>
        <v>0</v>
      </c>
      <c r="G49" s="5">
        <v>3</v>
      </c>
      <c r="H49" s="5"/>
      <c r="I49" s="5"/>
      <c r="J49" s="53">
        <v>1</v>
      </c>
      <c r="K49" s="53">
        <v>0</v>
      </c>
      <c r="L49" s="53">
        <v>0</v>
      </c>
      <c r="M49" s="53">
        <v>0</v>
      </c>
      <c r="N49" s="53">
        <v>0</v>
      </c>
      <c r="O49" s="53">
        <v>1</v>
      </c>
      <c r="P49" s="5"/>
      <c r="Q49" s="8"/>
    </row>
    <row r="50" spans="1:17" x14ac:dyDescent="0.25">
      <c r="A50" s="5"/>
      <c r="B50" s="5"/>
      <c r="C50" s="52" t="str">
        <f>C24</f>
        <v>slagboomterminal, met rechte slagboom (max 3m)</v>
      </c>
      <c r="D50" s="56">
        <f>D24</f>
        <v>0</v>
      </c>
      <c r="E50" s="47">
        <f t="shared" si="15"/>
        <v>0</v>
      </c>
      <c r="F50" s="10">
        <f t="shared" si="16"/>
        <v>0</v>
      </c>
      <c r="G50" s="5">
        <v>1</v>
      </c>
      <c r="H50" s="5"/>
      <c r="I50" s="5"/>
      <c r="J50" s="53">
        <v>0</v>
      </c>
      <c r="K50" s="53">
        <v>0</v>
      </c>
      <c r="L50" s="53">
        <v>0</v>
      </c>
      <c r="M50" s="53">
        <v>0</v>
      </c>
      <c r="N50" s="53">
        <v>0</v>
      </c>
      <c r="O50" s="53">
        <v>0</v>
      </c>
      <c r="P50" s="5"/>
      <c r="Q50" s="8"/>
    </row>
    <row r="51" spans="1:17" x14ac:dyDescent="0.25">
      <c r="A51" s="5"/>
      <c r="B51" s="5"/>
      <c r="C51" s="52" t="s">
        <v>46</v>
      </c>
      <c r="D51" s="56">
        <f>$D$25</f>
        <v>0</v>
      </c>
      <c r="E51" s="47">
        <f t="shared" si="15"/>
        <v>11</v>
      </c>
      <c r="F51" s="10">
        <f t="shared" si="16"/>
        <v>0</v>
      </c>
      <c r="G51" s="5">
        <v>1</v>
      </c>
      <c r="H51" s="5"/>
      <c r="I51" s="5"/>
      <c r="J51" s="47">
        <f>SUM(J48:J49)-J50</f>
        <v>4</v>
      </c>
      <c r="K51" s="47">
        <f>K48+K49</f>
        <v>2</v>
      </c>
      <c r="L51" s="47">
        <f>L48+L49</f>
        <v>1</v>
      </c>
      <c r="M51" s="47">
        <f>M48+M49</f>
        <v>2</v>
      </c>
      <c r="N51" s="47">
        <f>N48+N49</f>
        <v>2</v>
      </c>
      <c r="O51" s="47">
        <v>0</v>
      </c>
      <c r="P51" s="5"/>
      <c r="Q51" s="8"/>
    </row>
    <row r="52" spans="1:17" s="8" customFormat="1" ht="12.75" x14ac:dyDescent="0.25">
      <c r="A52" s="5"/>
      <c r="B52" s="5"/>
      <c r="C52" s="52" t="s">
        <v>175</v>
      </c>
      <c r="D52" s="56">
        <f>$D$26</f>
        <v>0</v>
      </c>
      <c r="E52" s="47">
        <f t="shared" si="15"/>
        <v>11</v>
      </c>
      <c r="F52" s="10">
        <f t="shared" si="16"/>
        <v>0</v>
      </c>
      <c r="G52" s="5"/>
      <c r="H52" s="5"/>
      <c r="I52" s="5"/>
      <c r="J52" s="47">
        <f t="shared" ref="J52:O52" si="17">J51</f>
        <v>4</v>
      </c>
      <c r="K52" s="47">
        <f t="shared" si="17"/>
        <v>2</v>
      </c>
      <c r="L52" s="47">
        <f t="shared" si="17"/>
        <v>1</v>
      </c>
      <c r="M52" s="47">
        <f t="shared" si="17"/>
        <v>2</v>
      </c>
      <c r="N52" s="47">
        <f t="shared" si="17"/>
        <v>2</v>
      </c>
      <c r="O52" s="47">
        <f t="shared" si="17"/>
        <v>0</v>
      </c>
      <c r="P52" s="5"/>
    </row>
    <row r="53" spans="1:17" x14ac:dyDescent="0.25">
      <c r="A53" s="5"/>
      <c r="B53" s="5"/>
      <c r="C53" s="52" t="str">
        <f>C27</f>
        <v>sluit- en detectielussen slagbomen en terminals</v>
      </c>
      <c r="D53" s="11">
        <f>$D$27</f>
        <v>0</v>
      </c>
      <c r="E53" s="47">
        <f t="shared" si="15"/>
        <v>19</v>
      </c>
      <c r="F53" s="10">
        <f t="shared" si="16"/>
        <v>0</v>
      </c>
      <c r="G53" s="5"/>
      <c r="H53" s="5"/>
      <c r="I53" s="5"/>
      <c r="J53" s="47">
        <v>4</v>
      </c>
      <c r="K53" s="47">
        <f t="shared" ref="K53:O53" si="18">SUM(K48:K51)</f>
        <v>4</v>
      </c>
      <c r="L53" s="47">
        <f t="shared" si="18"/>
        <v>2</v>
      </c>
      <c r="M53" s="47">
        <f t="shared" si="18"/>
        <v>4</v>
      </c>
      <c r="N53" s="47">
        <f t="shared" si="18"/>
        <v>4</v>
      </c>
      <c r="O53" s="47">
        <f t="shared" si="18"/>
        <v>1</v>
      </c>
      <c r="P53" s="5"/>
      <c r="Q53" s="8"/>
    </row>
    <row r="54" spans="1:17" x14ac:dyDescent="0.25">
      <c r="A54" s="5"/>
      <c r="B54" s="5"/>
      <c r="C54" s="52" t="s">
        <v>177</v>
      </c>
      <c r="D54" s="11">
        <f>$D$28</f>
        <v>0</v>
      </c>
      <c r="E54" s="47">
        <f>SUM(J54:O54)</f>
        <v>2</v>
      </c>
      <c r="F54" s="10">
        <f>IFERROR(D54*E54,"")</f>
        <v>0</v>
      </c>
      <c r="G54" s="5"/>
      <c r="H54" s="5"/>
      <c r="I54" s="5"/>
      <c r="J54" s="47">
        <v>2</v>
      </c>
      <c r="K54" s="47"/>
      <c r="L54" s="47"/>
      <c r="M54" s="47"/>
      <c r="N54" s="47"/>
      <c r="O54" s="47"/>
      <c r="P54" s="5"/>
      <c r="Q54" s="8"/>
    </row>
    <row r="55" spans="1:17" x14ac:dyDescent="0.25">
      <c r="A55" s="5"/>
      <c r="B55" s="5"/>
      <c r="C55" s="52" t="str">
        <f>C29</f>
        <v>camera's met software ten behoeve van kentekenherkenning incl. licenties</v>
      </c>
      <c r="D55" s="56">
        <f>$D$29</f>
        <v>0</v>
      </c>
      <c r="E55" s="47">
        <f t="shared" si="15"/>
        <v>12</v>
      </c>
      <c r="F55" s="10">
        <f t="shared" si="16"/>
        <v>0</v>
      </c>
      <c r="G55" s="5">
        <v>1</v>
      </c>
      <c r="H55" s="5"/>
      <c r="I55" s="5"/>
      <c r="J55" s="47">
        <f t="shared" ref="J55:O55" si="19">J48+J49</f>
        <v>4</v>
      </c>
      <c r="K55" s="47">
        <f t="shared" si="19"/>
        <v>2</v>
      </c>
      <c r="L55" s="47">
        <f t="shared" si="19"/>
        <v>1</v>
      </c>
      <c r="M55" s="47">
        <f t="shared" si="19"/>
        <v>2</v>
      </c>
      <c r="N55" s="47">
        <f t="shared" si="19"/>
        <v>2</v>
      </c>
      <c r="O55" s="47">
        <f t="shared" si="19"/>
        <v>1</v>
      </c>
      <c r="P55" s="5"/>
      <c r="Q55" s="8"/>
    </row>
    <row r="56" spans="1:17" x14ac:dyDescent="0.25">
      <c r="A56" s="5"/>
      <c r="B56" s="5"/>
      <c r="C56" s="54" t="s">
        <v>49</v>
      </c>
      <c r="D56" s="56">
        <f>D30</f>
        <v>0</v>
      </c>
      <c r="E56" s="47">
        <f t="shared" ref="E56" si="20">SUM(J56:O56)</f>
        <v>6</v>
      </c>
      <c r="F56" s="10">
        <f t="shared" ref="F56" si="21">IFERROR(D56*E56,"")</f>
        <v>0</v>
      </c>
      <c r="G56" s="5"/>
      <c r="H56" s="5"/>
      <c r="I56" s="5"/>
      <c r="J56" s="47">
        <v>1</v>
      </c>
      <c r="K56" s="47">
        <v>1</v>
      </c>
      <c r="L56" s="47">
        <v>1</v>
      </c>
      <c r="M56" s="47">
        <v>1</v>
      </c>
      <c r="N56" s="47">
        <v>1</v>
      </c>
      <c r="O56" s="47">
        <v>1</v>
      </c>
      <c r="P56" s="5"/>
      <c r="Q56" s="8"/>
    </row>
    <row r="57" spans="1:17" ht="15.75" thickBot="1" x14ac:dyDescent="0.3">
      <c r="A57" s="5"/>
      <c r="B57" s="5"/>
      <c r="C57" s="55" t="str">
        <f>C31</f>
        <v xml:space="preserve">overzichtscamera tbv Apparatuur </v>
      </c>
      <c r="D57" s="44" t="str">
        <f>D31</f>
        <v>nvt</v>
      </c>
      <c r="E57" s="44" t="s">
        <v>32</v>
      </c>
      <c r="F57" s="44"/>
      <c r="G57" s="5"/>
      <c r="H57" s="5" t="s">
        <v>38</v>
      </c>
      <c r="I57" s="5"/>
      <c r="J57" s="5"/>
      <c r="K57" s="5"/>
      <c r="L57" s="5"/>
      <c r="M57" s="5"/>
      <c r="N57" s="5"/>
      <c r="O57" s="5"/>
      <c r="P57" s="5"/>
      <c r="Q57" s="8"/>
    </row>
    <row r="58" spans="1:17" ht="15.75" thickTop="1" x14ac:dyDescent="0.25">
      <c r="A58" s="5"/>
      <c r="B58" s="5"/>
      <c r="C58" s="5"/>
      <c r="D58" s="5"/>
      <c r="E58" s="5"/>
      <c r="F58" s="5"/>
      <c r="G58" s="5"/>
      <c r="H58" s="5"/>
      <c r="I58" s="5"/>
      <c r="J58" s="5"/>
      <c r="K58" s="5"/>
      <c r="L58" s="5"/>
      <c r="M58" s="5"/>
      <c r="N58" s="5"/>
      <c r="O58" s="5"/>
      <c r="P58" s="5"/>
      <c r="Q58" s="8"/>
    </row>
    <row r="59" spans="1:17" s="8" customFormat="1" ht="26.25" thickBot="1" x14ac:dyDescent="0.3">
      <c r="A59" s="5"/>
      <c r="B59" s="5"/>
      <c r="C59" s="13" t="s">
        <v>56</v>
      </c>
      <c r="D59" s="39" t="s">
        <v>57</v>
      </c>
      <c r="E59" s="40" t="s">
        <v>41</v>
      </c>
      <c r="F59" s="40"/>
      <c r="G59" s="5"/>
      <c r="H59" s="5"/>
      <c r="I59" s="5"/>
      <c r="J59" s="9" t="s">
        <v>21</v>
      </c>
      <c r="K59" s="9" t="s">
        <v>22</v>
      </c>
      <c r="L59" s="9" t="s">
        <v>23</v>
      </c>
      <c r="M59" s="9" t="s">
        <v>24</v>
      </c>
      <c r="N59" s="9" t="s">
        <v>25</v>
      </c>
      <c r="O59" s="9" t="s">
        <v>26</v>
      </c>
      <c r="P59" s="5"/>
    </row>
    <row r="60" spans="1:17" s="51" customFormat="1" ht="23.25" thickTop="1" x14ac:dyDescent="0.25">
      <c r="A60" s="5"/>
      <c r="B60" s="82">
        <v>15</v>
      </c>
      <c r="C60" s="12" t="s">
        <v>58</v>
      </c>
      <c r="D60" s="1"/>
      <c r="E60" s="47">
        <f>SUM(J60:O60)</f>
        <v>0</v>
      </c>
      <c r="F60" s="10">
        <f>IFERROR(D60*E60,"")</f>
        <v>0</v>
      </c>
      <c r="G60" s="5">
        <v>4</v>
      </c>
      <c r="H60" s="5"/>
      <c r="I60" s="5"/>
      <c r="J60" s="53">
        <v>0</v>
      </c>
      <c r="K60" s="53">
        <v>0</v>
      </c>
      <c r="L60" s="53">
        <v>0</v>
      </c>
      <c r="M60" s="53">
        <v>0</v>
      </c>
      <c r="N60" s="53">
        <v>0</v>
      </c>
      <c r="O60" s="53">
        <v>0</v>
      </c>
      <c r="P60" s="5"/>
    </row>
    <row r="61" spans="1:17" s="51" customFormat="1" ht="12.75" x14ac:dyDescent="0.25">
      <c r="A61" s="5"/>
      <c r="B61" s="82">
        <v>16</v>
      </c>
      <c r="C61" s="52" t="s">
        <v>59</v>
      </c>
      <c r="D61" s="1"/>
      <c r="E61" s="47">
        <f>SUM(J61:O61)</f>
        <v>20</v>
      </c>
      <c r="F61" s="10">
        <f>IFERROR(D61*E61,"")</f>
        <v>0</v>
      </c>
      <c r="G61" s="5">
        <v>4</v>
      </c>
      <c r="H61" s="5"/>
      <c r="I61" s="5"/>
      <c r="J61" s="53">
        <v>4</v>
      </c>
      <c r="K61" s="53">
        <v>5</v>
      </c>
      <c r="L61" s="53">
        <v>4</v>
      </c>
      <c r="M61" s="53">
        <v>3</v>
      </c>
      <c r="N61" s="53">
        <v>4</v>
      </c>
      <c r="O61" s="53">
        <v>0</v>
      </c>
      <c r="P61" s="5"/>
    </row>
    <row r="62" spans="1:17" x14ac:dyDescent="0.25">
      <c r="A62" s="5"/>
      <c r="B62" s="82">
        <v>17</v>
      </c>
      <c r="C62" s="52" t="s">
        <v>60</v>
      </c>
      <c r="D62" s="1"/>
      <c r="E62" s="47">
        <f>SUM(J62:O62)</f>
        <v>0</v>
      </c>
      <c r="F62" s="10">
        <f>IFERROR(D62*E62,"")</f>
        <v>0</v>
      </c>
      <c r="G62" s="5"/>
      <c r="H62" s="5"/>
      <c r="I62" s="5"/>
      <c r="J62" s="47">
        <f t="shared" ref="J62:O63" si="22">J$60*2</f>
        <v>0</v>
      </c>
      <c r="K62" s="47">
        <f t="shared" si="22"/>
        <v>0</v>
      </c>
      <c r="L62" s="47">
        <f t="shared" si="22"/>
        <v>0</v>
      </c>
      <c r="M62" s="47">
        <f t="shared" si="22"/>
        <v>0</v>
      </c>
      <c r="N62" s="47">
        <f t="shared" si="22"/>
        <v>0</v>
      </c>
      <c r="O62" s="47">
        <f t="shared" si="22"/>
        <v>0</v>
      </c>
      <c r="P62" s="5"/>
      <c r="Q62" s="8"/>
    </row>
    <row r="63" spans="1:17" s="51" customFormat="1" ht="12.75" x14ac:dyDescent="0.25">
      <c r="A63" s="5"/>
      <c r="B63" s="82">
        <v>18</v>
      </c>
      <c r="C63" s="52" t="s">
        <v>61</v>
      </c>
      <c r="D63" s="1"/>
      <c r="E63" s="47">
        <f>SUM(J63:O63)</f>
        <v>0</v>
      </c>
      <c r="F63" s="10">
        <f>IFERROR(D63*E63,"")</f>
        <v>0</v>
      </c>
      <c r="G63" s="5"/>
      <c r="H63" s="5"/>
      <c r="I63" s="5"/>
      <c r="J63" s="47">
        <f t="shared" si="22"/>
        <v>0</v>
      </c>
      <c r="K63" s="47">
        <f t="shared" si="22"/>
        <v>0</v>
      </c>
      <c r="L63" s="47">
        <f t="shared" si="22"/>
        <v>0</v>
      </c>
      <c r="M63" s="47">
        <f t="shared" si="22"/>
        <v>0</v>
      </c>
      <c r="N63" s="47">
        <f t="shared" si="22"/>
        <v>0</v>
      </c>
      <c r="O63" s="47">
        <f t="shared" si="22"/>
        <v>0</v>
      </c>
      <c r="P63" s="5"/>
    </row>
    <row r="64" spans="1:17" ht="15.75" thickBot="1" x14ac:dyDescent="0.3">
      <c r="A64" s="5"/>
      <c r="B64" s="5"/>
      <c r="C64" s="55" t="str">
        <f>C57</f>
        <v xml:space="preserve">overzichtscamera tbv Apparatuur </v>
      </c>
      <c r="D64" s="44" t="str">
        <f>D31</f>
        <v>nvt</v>
      </c>
      <c r="E64" s="44" t="s">
        <v>32</v>
      </c>
      <c r="F64" s="44"/>
      <c r="G64" s="5"/>
      <c r="H64" s="5" t="s">
        <v>38</v>
      </c>
      <c r="I64" s="5"/>
      <c r="J64" s="5"/>
      <c r="K64" s="5"/>
      <c r="L64" s="5"/>
      <c r="M64" s="5"/>
      <c r="N64" s="5"/>
      <c r="O64" s="5"/>
      <c r="P64" s="5"/>
      <c r="Q64" s="8"/>
    </row>
    <row r="65" spans="1:18" ht="15.75" thickTop="1" x14ac:dyDescent="0.25">
      <c r="A65" s="49"/>
      <c r="B65" s="49"/>
      <c r="C65" s="49"/>
      <c r="D65" s="49"/>
      <c r="E65" s="49"/>
      <c r="F65" s="49"/>
      <c r="G65" s="5"/>
      <c r="H65" s="5"/>
      <c r="I65" s="5"/>
      <c r="J65" s="5"/>
      <c r="K65" s="5"/>
      <c r="L65" s="5"/>
      <c r="M65" s="5"/>
      <c r="N65" s="5"/>
      <c r="O65" s="5"/>
      <c r="P65" s="5"/>
      <c r="Q65" s="8"/>
    </row>
    <row r="66" spans="1:18" s="8" customFormat="1" ht="26.25" thickBot="1" x14ac:dyDescent="0.3">
      <c r="A66" s="5"/>
      <c r="B66" s="5"/>
      <c r="C66" s="13" t="s">
        <v>62</v>
      </c>
      <c r="D66" s="39" t="s">
        <v>18</v>
      </c>
      <c r="E66" s="40" t="s">
        <v>63</v>
      </c>
      <c r="F66" s="40"/>
      <c r="G66" s="5"/>
      <c r="H66" s="5"/>
      <c r="I66" s="5"/>
      <c r="J66" s="9" t="s">
        <v>21</v>
      </c>
      <c r="K66" s="9" t="s">
        <v>22</v>
      </c>
      <c r="L66" s="9" t="s">
        <v>23</v>
      </c>
      <c r="M66" s="9" t="s">
        <v>24</v>
      </c>
      <c r="N66" s="9" t="s">
        <v>25</v>
      </c>
      <c r="O66" s="9" t="s">
        <v>26</v>
      </c>
      <c r="P66" s="5"/>
    </row>
    <row r="67" spans="1:18" s="8" customFormat="1" ht="14.25" thickTop="1" thickBot="1" x14ac:dyDescent="0.3">
      <c r="A67" s="5"/>
      <c r="B67" s="82">
        <v>19</v>
      </c>
      <c r="C67" s="15" t="s">
        <v>64</v>
      </c>
      <c r="D67" s="1"/>
      <c r="E67" s="47">
        <f>SUM(J67:O67)</f>
        <v>5</v>
      </c>
      <c r="F67" s="10">
        <f>D67*E67</f>
        <v>0</v>
      </c>
      <c r="G67" s="5"/>
      <c r="H67" s="5"/>
      <c r="I67" s="5"/>
      <c r="J67" s="53">
        <v>1</v>
      </c>
      <c r="K67" s="53">
        <v>2</v>
      </c>
      <c r="L67" s="53">
        <v>1</v>
      </c>
      <c r="M67" s="53">
        <v>0</v>
      </c>
      <c r="N67" s="53">
        <v>1</v>
      </c>
      <c r="O67" s="53">
        <v>0</v>
      </c>
      <c r="P67" s="5"/>
    </row>
    <row r="68" spans="1:18" s="50" customFormat="1" ht="13.5" thickTop="1" x14ac:dyDescent="0.25">
      <c r="A68" s="49"/>
      <c r="B68" s="49"/>
      <c r="C68" s="49"/>
      <c r="D68" s="49"/>
      <c r="E68" s="49"/>
      <c r="F68" s="49"/>
      <c r="G68" s="5"/>
      <c r="H68" s="5"/>
      <c r="I68" s="5"/>
      <c r="J68" s="49"/>
      <c r="K68" s="49"/>
      <c r="L68" s="49"/>
      <c r="M68" s="49"/>
      <c r="N68" s="49"/>
      <c r="O68" s="49"/>
      <c r="P68" s="5"/>
    </row>
    <row r="69" spans="1:18" s="8" customFormat="1" ht="26.25" thickBot="1" x14ac:dyDescent="0.3">
      <c r="A69" s="5"/>
      <c r="B69" s="5"/>
      <c r="C69" s="13" t="s">
        <v>65</v>
      </c>
      <c r="D69" s="39" t="s">
        <v>18</v>
      </c>
      <c r="E69" s="40" t="s">
        <v>34</v>
      </c>
      <c r="F69" s="40"/>
      <c r="G69" s="5"/>
      <c r="H69" s="5"/>
      <c r="I69" s="5"/>
      <c r="J69" s="9" t="s">
        <v>21</v>
      </c>
      <c r="K69" s="9" t="s">
        <v>22</v>
      </c>
      <c r="L69" s="9" t="s">
        <v>23</v>
      </c>
      <c r="M69" s="9" t="s">
        <v>24</v>
      </c>
      <c r="N69" s="9" t="s">
        <v>25</v>
      </c>
      <c r="O69" s="9" t="s">
        <v>26</v>
      </c>
      <c r="P69" s="5"/>
    </row>
    <row r="70" spans="1:18" s="8" customFormat="1" ht="13.5" thickTop="1" x14ac:dyDescent="0.25">
      <c r="A70" s="5"/>
      <c r="B70" s="82">
        <v>20</v>
      </c>
      <c r="C70" s="20" t="s">
        <v>66</v>
      </c>
      <c r="D70" s="1"/>
      <c r="E70" s="47">
        <f>SUM(J70:O70)</f>
        <v>5</v>
      </c>
      <c r="F70" s="10">
        <f>D70*E70</f>
        <v>0</v>
      </c>
      <c r="G70" s="5">
        <v>5</v>
      </c>
      <c r="H70" s="5"/>
      <c r="I70" s="5"/>
      <c r="J70" s="57"/>
      <c r="K70" s="57">
        <v>1</v>
      </c>
      <c r="L70" s="57">
        <v>2</v>
      </c>
      <c r="M70" s="57">
        <v>1</v>
      </c>
      <c r="N70" s="57">
        <v>1</v>
      </c>
      <c r="O70" s="57"/>
      <c r="P70" s="5"/>
    </row>
    <row r="71" spans="1:18" s="8" customFormat="1" ht="12.75" x14ac:dyDescent="0.25">
      <c r="A71" s="5"/>
      <c r="B71" s="82">
        <v>21</v>
      </c>
      <c r="C71" s="19" t="s">
        <v>67</v>
      </c>
      <c r="D71" s="1"/>
      <c r="E71" s="47">
        <f>SUM(J71:O71)</f>
        <v>1</v>
      </c>
      <c r="F71" s="10">
        <f>D71*E71</f>
        <v>0</v>
      </c>
      <c r="G71" s="5">
        <v>5</v>
      </c>
      <c r="H71" s="5"/>
      <c r="I71" s="5"/>
      <c r="J71" s="57">
        <v>1</v>
      </c>
      <c r="K71" s="57"/>
      <c r="L71" s="57"/>
      <c r="M71" s="57"/>
      <c r="N71" s="57"/>
      <c r="O71" s="57"/>
      <c r="P71" s="5"/>
    </row>
    <row r="72" spans="1:18" s="8" customFormat="1" ht="12.75" x14ac:dyDescent="0.25">
      <c r="A72" s="5"/>
      <c r="B72" s="82">
        <v>22</v>
      </c>
      <c r="C72" s="19" t="s">
        <v>68</v>
      </c>
      <c r="D72" s="1"/>
      <c r="E72" s="47">
        <f>SUM(J72:O72)</f>
        <v>4</v>
      </c>
      <c r="F72" s="10">
        <f>D72*E72</f>
        <v>0</v>
      </c>
      <c r="G72" s="5">
        <v>2</v>
      </c>
      <c r="H72" s="5"/>
      <c r="I72" s="5"/>
      <c r="J72" s="57"/>
      <c r="K72" s="57"/>
      <c r="L72" s="57"/>
      <c r="M72" s="57"/>
      <c r="N72" s="57">
        <v>2</v>
      </c>
      <c r="O72" s="57">
        <v>2</v>
      </c>
      <c r="P72" s="5"/>
    </row>
    <row r="73" spans="1:18" s="8" customFormat="1" ht="13.5" thickBot="1" x14ac:dyDescent="0.3">
      <c r="A73" s="5"/>
      <c r="B73" s="82">
        <v>23</v>
      </c>
      <c r="C73" s="21" t="s">
        <v>69</v>
      </c>
      <c r="D73" s="1"/>
      <c r="E73" s="47">
        <f>SUM(J73:O73)</f>
        <v>1</v>
      </c>
      <c r="F73" s="10">
        <f>D73*E73</f>
        <v>0</v>
      </c>
      <c r="G73" s="5">
        <v>2</v>
      </c>
      <c r="H73" s="5"/>
      <c r="I73" s="5"/>
      <c r="J73" s="57"/>
      <c r="K73" s="57"/>
      <c r="L73" s="57"/>
      <c r="M73" s="57"/>
      <c r="N73" s="57"/>
      <c r="O73" s="57">
        <v>1</v>
      </c>
      <c r="P73" s="5"/>
    </row>
    <row r="74" spans="1:18" s="8" customFormat="1" ht="13.5" thickTop="1" x14ac:dyDescent="0.25">
      <c r="A74" s="5"/>
      <c r="B74" s="5"/>
      <c r="C74" s="5"/>
      <c r="D74" s="5"/>
      <c r="E74" s="5"/>
      <c r="F74" s="5"/>
      <c r="G74" s="5"/>
      <c r="H74" s="5"/>
      <c r="I74" s="5"/>
      <c r="J74" s="5"/>
      <c r="K74" s="5"/>
      <c r="L74" s="5"/>
      <c r="M74" s="5"/>
      <c r="N74" s="5"/>
      <c r="O74" s="5"/>
      <c r="P74" s="5"/>
    </row>
    <row r="75" spans="1:18" ht="26.25" thickBot="1" x14ac:dyDescent="0.3">
      <c r="A75" s="5"/>
      <c r="B75" s="5"/>
      <c r="C75" s="58" t="s">
        <v>70</v>
      </c>
      <c r="D75" s="59" t="s">
        <v>71</v>
      </c>
      <c r="E75" s="59" t="s">
        <v>72</v>
      </c>
      <c r="F75" s="59"/>
      <c r="G75" s="5"/>
      <c r="H75" s="5"/>
      <c r="I75" s="9" t="s">
        <v>20</v>
      </c>
      <c r="J75" s="9" t="s">
        <v>21</v>
      </c>
      <c r="K75" s="9" t="s">
        <v>22</v>
      </c>
      <c r="L75" s="9" t="s">
        <v>23</v>
      </c>
      <c r="M75" s="9" t="s">
        <v>24</v>
      </c>
      <c r="N75" s="9" t="s">
        <v>25</v>
      </c>
      <c r="O75" s="9" t="s">
        <v>26</v>
      </c>
      <c r="P75" s="5"/>
      <c r="Q75" s="8"/>
      <c r="R75" s="8"/>
    </row>
    <row r="76" spans="1:18" ht="15.75" thickTop="1" x14ac:dyDescent="0.25">
      <c r="A76" s="5"/>
      <c r="B76" s="82">
        <v>24</v>
      </c>
      <c r="C76" s="12" t="s">
        <v>73</v>
      </c>
      <c r="D76" s="1"/>
      <c r="E76" s="47">
        <f>SUM(I76:O76)</f>
        <v>0</v>
      </c>
      <c r="F76" s="10">
        <f>D76*E76</f>
        <v>0</v>
      </c>
      <c r="G76" s="5"/>
      <c r="H76" s="5"/>
      <c r="I76" s="48" t="s">
        <v>74</v>
      </c>
      <c r="J76" s="48" t="s">
        <v>74</v>
      </c>
      <c r="K76" s="48" t="s">
        <v>74</v>
      </c>
      <c r="L76" s="48" t="s">
        <v>74</v>
      </c>
      <c r="M76" s="48" t="s">
        <v>74</v>
      </c>
      <c r="N76" s="48" t="s">
        <v>74</v>
      </c>
      <c r="O76" s="48" t="s">
        <v>74</v>
      </c>
      <c r="P76" s="5"/>
      <c r="Q76" s="8"/>
      <c r="R76" s="8"/>
    </row>
    <row r="77" spans="1:18" x14ac:dyDescent="0.25">
      <c r="A77" s="5"/>
      <c r="B77" s="82">
        <v>25</v>
      </c>
      <c r="C77" s="25" t="s">
        <v>75</v>
      </c>
      <c r="D77" s="1"/>
      <c r="E77" s="47">
        <f t="shared" ref="E77:E78" si="23">SUM(I77:O77)</f>
        <v>6</v>
      </c>
      <c r="F77" s="10">
        <f>D77*E77</f>
        <v>0</v>
      </c>
      <c r="G77" s="5"/>
      <c r="H77" s="5"/>
      <c r="I77" s="48">
        <v>0</v>
      </c>
      <c r="J77" s="48">
        <v>1</v>
      </c>
      <c r="K77" s="48">
        <v>1</v>
      </c>
      <c r="L77" s="48">
        <v>2</v>
      </c>
      <c r="M77" s="48">
        <v>0</v>
      </c>
      <c r="N77" s="48">
        <v>2</v>
      </c>
      <c r="O77" s="48">
        <v>0</v>
      </c>
      <c r="P77" s="5"/>
      <c r="Q77" s="8"/>
      <c r="R77" s="8"/>
    </row>
    <row r="78" spans="1:18" x14ac:dyDescent="0.25">
      <c r="A78" s="5"/>
      <c r="B78" s="82">
        <v>26</v>
      </c>
      <c r="C78" s="25" t="s">
        <v>76</v>
      </c>
      <c r="D78" s="1"/>
      <c r="E78" s="47">
        <f t="shared" si="23"/>
        <v>5</v>
      </c>
      <c r="F78" s="10">
        <f>D78*E78</f>
        <v>0</v>
      </c>
      <c r="G78" s="5"/>
      <c r="H78" s="5"/>
      <c r="I78" s="48">
        <v>0</v>
      </c>
      <c r="J78" s="48">
        <v>1</v>
      </c>
      <c r="K78" s="48">
        <v>1</v>
      </c>
      <c r="L78" s="48">
        <v>0</v>
      </c>
      <c r="M78" s="48">
        <v>2</v>
      </c>
      <c r="N78" s="48">
        <v>0</v>
      </c>
      <c r="O78" s="48">
        <v>1</v>
      </c>
      <c r="P78" s="5"/>
      <c r="Q78" s="8"/>
      <c r="R78" s="8"/>
    </row>
    <row r="79" spans="1:18" x14ac:dyDescent="0.25">
      <c r="A79" s="5"/>
      <c r="B79" s="82">
        <v>27</v>
      </c>
      <c r="C79" s="25" t="s">
        <v>77</v>
      </c>
      <c r="D79" s="1"/>
      <c r="E79" s="47">
        <f>SUM(I79:O79)</f>
        <v>4</v>
      </c>
      <c r="F79" s="10">
        <f>D79*E79</f>
        <v>0</v>
      </c>
      <c r="G79" s="5"/>
      <c r="H79" s="5"/>
      <c r="I79" s="48">
        <v>1</v>
      </c>
      <c r="J79" s="48">
        <v>0</v>
      </c>
      <c r="K79" s="48">
        <v>1</v>
      </c>
      <c r="L79" s="48">
        <v>0</v>
      </c>
      <c r="M79" s="48">
        <v>1</v>
      </c>
      <c r="N79" s="48">
        <v>0</v>
      </c>
      <c r="O79" s="48">
        <v>1</v>
      </c>
      <c r="P79" s="5"/>
      <c r="Q79" s="8"/>
    </row>
    <row r="80" spans="1:18" x14ac:dyDescent="0.25">
      <c r="A80" s="5"/>
      <c r="B80" s="82">
        <v>28</v>
      </c>
      <c r="C80" s="25" t="s">
        <v>78</v>
      </c>
      <c r="D80" s="24"/>
      <c r="E80" s="47">
        <f t="shared" ref="E80:E81" si="24">SUM(I80:O80)</f>
        <v>8820</v>
      </c>
      <c r="F80" s="10">
        <f t="shared" ref="F80:F81" si="25">D80*E80</f>
        <v>0</v>
      </c>
      <c r="G80" s="5"/>
      <c r="H80" s="5"/>
      <c r="I80" s="48">
        <v>60</v>
      </c>
      <c r="J80" s="48">
        <v>2100</v>
      </c>
      <c r="K80" s="48">
        <v>1680</v>
      </c>
      <c r="L80" s="48">
        <v>1680</v>
      </c>
      <c r="M80" s="48">
        <v>1230</v>
      </c>
      <c r="N80" s="48">
        <v>1650</v>
      </c>
      <c r="O80" s="48">
        <v>420</v>
      </c>
      <c r="P80" s="5"/>
      <c r="Q80" s="8"/>
    </row>
    <row r="81" spans="1:17" x14ac:dyDescent="0.25">
      <c r="A81" s="5"/>
      <c r="B81" s="82">
        <v>29</v>
      </c>
      <c r="C81" s="25" t="s">
        <v>79</v>
      </c>
      <c r="D81" s="24"/>
      <c r="E81" s="47">
        <f t="shared" si="24"/>
        <v>2000</v>
      </c>
      <c r="F81" s="10">
        <f t="shared" si="25"/>
        <v>0</v>
      </c>
      <c r="G81" s="5"/>
      <c r="H81" s="5"/>
      <c r="I81" s="48">
        <v>0</v>
      </c>
      <c r="J81" s="48">
        <v>250</v>
      </c>
      <c r="K81" s="48">
        <v>500</v>
      </c>
      <c r="L81" s="48">
        <v>250</v>
      </c>
      <c r="M81" s="48">
        <v>500</v>
      </c>
      <c r="N81" s="48">
        <v>250</v>
      </c>
      <c r="O81" s="48">
        <v>250</v>
      </c>
      <c r="P81" s="5"/>
      <c r="Q81" s="8"/>
    </row>
    <row r="82" spans="1:17" x14ac:dyDescent="0.25">
      <c r="A82" s="5"/>
      <c r="B82" s="82">
        <v>30</v>
      </c>
      <c r="C82" s="25" t="s">
        <v>80</v>
      </c>
      <c r="D82" s="24"/>
      <c r="E82" s="47">
        <f t="shared" ref="E82:E83" si="26">SUM(I82:O82)</f>
        <v>420</v>
      </c>
      <c r="F82" s="10">
        <f t="shared" ref="F82:F83" si="27">D82*E82</f>
        <v>0</v>
      </c>
      <c r="G82" s="5"/>
      <c r="H82" s="5"/>
      <c r="I82" s="48">
        <v>0</v>
      </c>
      <c r="J82" s="48">
        <v>105</v>
      </c>
      <c r="K82" s="48">
        <v>80</v>
      </c>
      <c r="L82" s="48">
        <v>80</v>
      </c>
      <c r="M82" s="48">
        <v>55</v>
      </c>
      <c r="N82" s="48">
        <v>80</v>
      </c>
      <c r="O82" s="48">
        <v>20</v>
      </c>
      <c r="P82" s="5"/>
      <c r="Q82" s="8"/>
    </row>
    <row r="83" spans="1:17" x14ac:dyDescent="0.25">
      <c r="A83" s="5"/>
      <c r="B83" s="82">
        <v>31</v>
      </c>
      <c r="C83" s="25" t="s">
        <v>81</v>
      </c>
      <c r="D83" s="24"/>
      <c r="E83" s="47">
        <f t="shared" si="26"/>
        <v>1320</v>
      </c>
      <c r="F83" s="10">
        <f t="shared" si="27"/>
        <v>0</v>
      </c>
      <c r="G83" s="5"/>
      <c r="H83" s="5"/>
      <c r="I83" s="48">
        <v>0</v>
      </c>
      <c r="J83" s="48">
        <v>320</v>
      </c>
      <c r="K83" s="48">
        <v>300</v>
      </c>
      <c r="L83" s="48">
        <v>160</v>
      </c>
      <c r="M83" s="48">
        <v>180</v>
      </c>
      <c r="N83" s="48">
        <v>280</v>
      </c>
      <c r="O83" s="48">
        <v>80</v>
      </c>
      <c r="P83" s="5"/>
      <c r="Q83" s="8"/>
    </row>
    <row r="84" spans="1:17" x14ac:dyDescent="0.25">
      <c r="A84" s="5"/>
      <c r="B84" s="82">
        <v>32</v>
      </c>
      <c r="C84" s="114"/>
      <c r="D84" s="24"/>
      <c r="E84" s="47">
        <f t="shared" ref="E84:E91" si="28">SUM(I84:O84)</f>
        <v>0</v>
      </c>
      <c r="F84" s="10">
        <f t="shared" ref="F84:F91" si="29">D84*E84</f>
        <v>0</v>
      </c>
      <c r="G84" s="5"/>
      <c r="H84" s="5"/>
      <c r="I84" s="113"/>
      <c r="J84" s="113"/>
      <c r="K84" s="113"/>
      <c r="L84" s="113"/>
      <c r="M84" s="113"/>
      <c r="N84" s="113"/>
      <c r="O84" s="113"/>
      <c r="P84" s="5"/>
      <c r="Q84" s="8"/>
    </row>
    <row r="85" spans="1:17" x14ac:dyDescent="0.25">
      <c r="A85" s="5"/>
      <c r="B85" s="82">
        <v>33</v>
      </c>
      <c r="C85" s="114"/>
      <c r="D85" s="24"/>
      <c r="E85" s="47">
        <f t="shared" si="28"/>
        <v>0</v>
      </c>
      <c r="F85" s="10">
        <f t="shared" si="29"/>
        <v>0</v>
      </c>
      <c r="G85" s="5"/>
      <c r="H85" s="5"/>
      <c r="I85" s="113"/>
      <c r="J85" s="113"/>
      <c r="K85" s="113"/>
      <c r="L85" s="113"/>
      <c r="M85" s="113"/>
      <c r="N85" s="113"/>
      <c r="O85" s="113"/>
      <c r="P85" s="5"/>
      <c r="Q85" s="8"/>
    </row>
    <row r="86" spans="1:17" x14ac:dyDescent="0.25">
      <c r="A86" s="5"/>
      <c r="B86" s="82">
        <v>34</v>
      </c>
      <c r="C86" s="114"/>
      <c r="D86" s="24"/>
      <c r="E86" s="47">
        <f t="shared" si="28"/>
        <v>0</v>
      </c>
      <c r="F86" s="10">
        <f t="shared" si="29"/>
        <v>0</v>
      </c>
      <c r="G86" s="5"/>
      <c r="H86" s="5"/>
      <c r="I86" s="113"/>
      <c r="J86" s="113"/>
      <c r="K86" s="113"/>
      <c r="L86" s="113"/>
      <c r="M86" s="113"/>
      <c r="N86" s="113"/>
      <c r="O86" s="113"/>
      <c r="P86" s="5"/>
      <c r="Q86" s="8"/>
    </row>
    <row r="87" spans="1:17" x14ac:dyDescent="0.25">
      <c r="A87" s="5"/>
      <c r="B87" s="82">
        <v>35</v>
      </c>
      <c r="C87" s="114"/>
      <c r="D87" s="24"/>
      <c r="E87" s="47">
        <f t="shared" si="28"/>
        <v>0</v>
      </c>
      <c r="F87" s="10">
        <f t="shared" si="29"/>
        <v>0</v>
      </c>
      <c r="G87" s="5"/>
      <c r="H87" s="5"/>
      <c r="I87" s="113"/>
      <c r="J87" s="113"/>
      <c r="K87" s="113"/>
      <c r="L87" s="113"/>
      <c r="M87" s="113"/>
      <c r="N87" s="113"/>
      <c r="O87" s="113"/>
      <c r="P87" s="5"/>
      <c r="Q87" s="8"/>
    </row>
    <row r="88" spans="1:17" x14ac:dyDescent="0.25">
      <c r="A88" s="5"/>
      <c r="B88" s="82">
        <v>36</v>
      </c>
      <c r="C88" s="114"/>
      <c r="D88" s="24"/>
      <c r="E88" s="47">
        <f t="shared" si="28"/>
        <v>0</v>
      </c>
      <c r="F88" s="10">
        <f t="shared" si="29"/>
        <v>0</v>
      </c>
      <c r="G88" s="5"/>
      <c r="H88" s="5"/>
      <c r="I88" s="113"/>
      <c r="J88" s="113"/>
      <c r="K88" s="113"/>
      <c r="L88" s="113"/>
      <c r="M88" s="113"/>
      <c r="N88" s="113"/>
      <c r="O88" s="113"/>
      <c r="P88" s="5"/>
      <c r="Q88" s="8"/>
    </row>
    <row r="89" spans="1:17" x14ac:dyDescent="0.25">
      <c r="A89" s="5"/>
      <c r="B89" s="82">
        <v>37</v>
      </c>
      <c r="C89" s="114"/>
      <c r="D89" s="24"/>
      <c r="E89" s="47">
        <f t="shared" si="28"/>
        <v>0</v>
      </c>
      <c r="F89" s="10">
        <f t="shared" si="29"/>
        <v>0</v>
      </c>
      <c r="G89" s="5"/>
      <c r="H89" s="5"/>
      <c r="I89" s="113"/>
      <c r="J89" s="113"/>
      <c r="K89" s="113"/>
      <c r="L89" s="113"/>
      <c r="M89" s="113"/>
      <c r="N89" s="113"/>
      <c r="O89" s="113"/>
      <c r="P89" s="5"/>
      <c r="Q89" s="8"/>
    </row>
    <row r="90" spans="1:17" x14ac:dyDescent="0.25">
      <c r="A90" s="5"/>
      <c r="B90" s="82">
        <v>38</v>
      </c>
      <c r="C90" s="114"/>
      <c r="D90" s="24"/>
      <c r="E90" s="47">
        <f t="shared" si="28"/>
        <v>0</v>
      </c>
      <c r="F90" s="10">
        <f t="shared" si="29"/>
        <v>0</v>
      </c>
      <c r="G90" s="5"/>
      <c r="H90" s="5"/>
      <c r="I90" s="113"/>
      <c r="J90" s="113"/>
      <c r="K90" s="113"/>
      <c r="L90" s="113"/>
      <c r="M90" s="113"/>
      <c r="N90" s="113"/>
      <c r="O90" s="113"/>
      <c r="P90" s="5"/>
      <c r="Q90" s="8"/>
    </row>
    <row r="91" spans="1:17" ht="15.75" thickBot="1" x14ac:dyDescent="0.3">
      <c r="A91" s="5"/>
      <c r="B91" s="82">
        <v>39</v>
      </c>
      <c r="C91" s="115"/>
      <c r="D91" s="24"/>
      <c r="E91" s="47">
        <f t="shared" si="28"/>
        <v>0</v>
      </c>
      <c r="F91" s="10">
        <f t="shared" si="29"/>
        <v>0</v>
      </c>
      <c r="G91" s="5"/>
      <c r="H91" s="5"/>
      <c r="I91" s="113"/>
      <c r="J91" s="113"/>
      <c r="K91" s="113"/>
      <c r="L91" s="113"/>
      <c r="M91" s="113"/>
      <c r="N91" s="113"/>
      <c r="O91" s="113"/>
      <c r="P91" s="5"/>
      <c r="Q91" s="8"/>
    </row>
    <row r="92" spans="1:17" ht="15.75" thickTop="1" x14ac:dyDescent="0.25">
      <c r="A92" s="5"/>
      <c r="B92" s="5"/>
      <c r="C92" s="5"/>
      <c r="D92" s="5"/>
      <c r="E92" s="5"/>
      <c r="F92" s="5"/>
      <c r="G92" s="5"/>
      <c r="H92" s="5"/>
      <c r="I92" s="5"/>
      <c r="J92" s="5"/>
      <c r="K92" s="5"/>
      <c r="L92" s="5"/>
      <c r="M92" s="5"/>
      <c r="N92" s="5"/>
      <c r="O92" s="5"/>
      <c r="P92" s="5"/>
      <c r="Q92" s="8"/>
    </row>
    <row r="93" spans="1:17" x14ac:dyDescent="0.25">
      <c r="A93" s="5"/>
      <c r="B93" s="5"/>
      <c r="C93" s="60" t="str">
        <f ca="1">"Totaal "&amp;MID(CELL("bestandsnaam",$A$3),SEARCH("]",CELL("bestandsnaam",$A$3),1)+1,99)</f>
        <v>Totaal PMS en PA</v>
      </c>
      <c r="D93" s="61"/>
      <c r="E93" s="62"/>
      <c r="F93" s="63">
        <f>SUM(F20:F91)+SUM(F7:F18)</f>
        <v>0</v>
      </c>
      <c r="G93" s="5"/>
      <c r="H93" s="5"/>
      <c r="I93" s="5"/>
      <c r="J93" s="5"/>
      <c r="K93" s="5"/>
      <c r="L93" s="5"/>
      <c r="M93" s="5"/>
      <c r="N93" s="5"/>
      <c r="O93" s="5"/>
      <c r="P93" s="5"/>
      <c r="Q93" s="51"/>
    </row>
    <row r="94" spans="1:17" x14ac:dyDescent="0.25">
      <c r="A94" s="5"/>
      <c r="B94" s="5"/>
      <c r="C94" s="5"/>
      <c r="D94" s="5"/>
      <c r="E94" s="5"/>
      <c r="F94" s="5"/>
      <c r="G94" s="5"/>
      <c r="H94" s="5"/>
      <c r="I94" s="5"/>
      <c r="J94" s="5"/>
      <c r="K94" s="5"/>
      <c r="L94" s="5"/>
      <c r="M94" s="5"/>
      <c r="N94" s="5"/>
      <c r="O94" s="5"/>
      <c r="P94" s="5"/>
      <c r="Q94" s="8"/>
    </row>
    <row r="95" spans="1:17" ht="25.5" x14ac:dyDescent="0.25">
      <c r="A95" s="5"/>
      <c r="B95" s="5"/>
      <c r="C95" s="64" t="s">
        <v>82</v>
      </c>
      <c r="D95" s="59"/>
      <c r="E95" s="59"/>
      <c r="F95" s="59"/>
      <c r="G95" s="5"/>
      <c r="H95" s="5"/>
      <c r="I95" s="5"/>
      <c r="J95" s="9" t="s">
        <v>21</v>
      </c>
      <c r="K95" s="9" t="s">
        <v>22</v>
      </c>
      <c r="L95" s="9" t="s">
        <v>23</v>
      </c>
      <c r="M95" s="9" t="s">
        <v>24</v>
      </c>
      <c r="N95" s="9" t="s">
        <v>25</v>
      </c>
      <c r="O95" s="9" t="s">
        <v>26</v>
      </c>
      <c r="P95" s="5"/>
      <c r="Q95" s="8"/>
    </row>
    <row r="96" spans="1:17" x14ac:dyDescent="0.25">
      <c r="A96" s="5"/>
      <c r="B96" s="5"/>
      <c r="C96" s="65" t="s">
        <v>83</v>
      </c>
      <c r="D96" s="2"/>
      <c r="E96" s="67">
        <v>1</v>
      </c>
      <c r="F96" s="10">
        <f>D96*E96</f>
        <v>0</v>
      </c>
      <c r="G96" s="5"/>
      <c r="H96" s="5"/>
      <c r="I96" s="5"/>
      <c r="J96" s="48"/>
      <c r="K96" s="48"/>
      <c r="L96" s="48"/>
      <c r="M96" s="48"/>
      <c r="N96" s="48"/>
      <c r="O96" s="48"/>
      <c r="P96" s="5"/>
      <c r="Q96" s="8"/>
    </row>
    <row r="97" spans="1:17" x14ac:dyDescent="0.25">
      <c r="A97" s="5"/>
      <c r="B97" s="5"/>
      <c r="C97" s="65" t="s">
        <v>84</v>
      </c>
      <c r="D97" s="2"/>
      <c r="E97" s="67">
        <v>1</v>
      </c>
      <c r="F97" s="10">
        <f t="shared" ref="F97:F101" si="30">D97*E97</f>
        <v>0</v>
      </c>
      <c r="G97" s="5"/>
      <c r="H97" s="5"/>
      <c r="I97" s="5"/>
      <c r="J97" s="48"/>
      <c r="K97" s="48"/>
      <c r="L97" s="48"/>
      <c r="M97" s="48"/>
      <c r="N97" s="48"/>
      <c r="O97" s="48"/>
      <c r="P97" s="5"/>
      <c r="Q97" s="8"/>
    </row>
    <row r="98" spans="1:17" x14ac:dyDescent="0.25">
      <c r="A98" s="5"/>
      <c r="B98" s="5"/>
      <c r="C98" s="65" t="s">
        <v>85</v>
      </c>
      <c r="D98" s="2"/>
      <c r="E98" s="67">
        <v>1</v>
      </c>
      <c r="F98" s="10">
        <f t="shared" si="30"/>
        <v>0</v>
      </c>
      <c r="G98" s="5"/>
      <c r="H98" s="5"/>
      <c r="I98" s="5"/>
      <c r="J98" s="48"/>
      <c r="K98" s="48"/>
      <c r="L98" s="48"/>
      <c r="M98" s="48"/>
      <c r="N98" s="48"/>
      <c r="O98" s="48"/>
      <c r="P98" s="5"/>
      <c r="Q98" s="8"/>
    </row>
    <row r="99" spans="1:17" x14ac:dyDescent="0.25">
      <c r="A99" s="5"/>
      <c r="B99" s="5"/>
      <c r="C99" s="65" t="s">
        <v>86</v>
      </c>
      <c r="D99" s="2"/>
      <c r="E99" s="67">
        <v>1</v>
      </c>
      <c r="F99" s="10">
        <f t="shared" si="30"/>
        <v>0</v>
      </c>
      <c r="G99" s="5"/>
      <c r="H99" s="5"/>
      <c r="I99" s="5"/>
      <c r="J99" s="48"/>
      <c r="K99" s="48"/>
      <c r="L99" s="48"/>
      <c r="M99" s="48"/>
      <c r="N99" s="48"/>
      <c r="O99" s="48"/>
      <c r="P99" s="5"/>
      <c r="Q99" s="8"/>
    </row>
    <row r="100" spans="1:17" x14ac:dyDescent="0.25">
      <c r="A100" s="5"/>
      <c r="B100" s="5"/>
      <c r="C100" s="65" t="s">
        <v>87</v>
      </c>
      <c r="D100" s="2"/>
      <c r="E100" s="47">
        <v>1</v>
      </c>
      <c r="F100" s="10">
        <f t="shared" si="30"/>
        <v>0</v>
      </c>
      <c r="G100" s="5"/>
      <c r="H100" s="5"/>
      <c r="I100" s="5"/>
      <c r="J100" s="48"/>
      <c r="K100" s="48"/>
      <c r="L100" s="48"/>
      <c r="M100" s="48"/>
      <c r="N100" s="48"/>
      <c r="O100" s="48"/>
      <c r="P100" s="5"/>
      <c r="Q100" s="8"/>
    </row>
    <row r="101" spans="1:17" x14ac:dyDescent="0.25">
      <c r="A101" s="5"/>
      <c r="B101" s="5"/>
      <c r="C101" s="65" t="s">
        <v>88</v>
      </c>
      <c r="D101" s="2"/>
      <c r="E101" s="47">
        <f>SUM(J101:O101)</f>
        <v>6</v>
      </c>
      <c r="F101" s="10">
        <f t="shared" si="30"/>
        <v>0</v>
      </c>
      <c r="G101" s="5"/>
      <c r="H101" s="5"/>
      <c r="I101" s="5"/>
      <c r="J101" s="48">
        <f t="shared" ref="J101:O101" si="31">SUM(J70:J71)</f>
        <v>1</v>
      </c>
      <c r="K101" s="48">
        <f t="shared" si="31"/>
        <v>1</v>
      </c>
      <c r="L101" s="48">
        <f t="shared" si="31"/>
        <v>2</v>
      </c>
      <c r="M101" s="48">
        <f t="shared" si="31"/>
        <v>1</v>
      </c>
      <c r="N101" s="48">
        <f t="shared" si="31"/>
        <v>1</v>
      </c>
      <c r="O101" s="48">
        <f t="shared" si="31"/>
        <v>0</v>
      </c>
      <c r="P101" s="5"/>
      <c r="Q101" s="8"/>
    </row>
    <row r="102" spans="1:17" x14ac:dyDescent="0.25">
      <c r="A102" s="5"/>
      <c r="B102" s="5"/>
      <c r="C102" s="64" t="s">
        <v>89</v>
      </c>
      <c r="D102" s="59"/>
      <c r="E102" s="59"/>
      <c r="F102" s="59"/>
      <c r="G102" s="5"/>
      <c r="H102" s="5"/>
      <c r="I102" s="5"/>
      <c r="J102" s="48"/>
      <c r="K102" s="48"/>
      <c r="L102" s="48"/>
      <c r="M102" s="48"/>
      <c r="N102" s="48"/>
      <c r="O102" s="48"/>
      <c r="P102" s="5"/>
      <c r="Q102" s="8"/>
    </row>
    <row r="103" spans="1:17" x14ac:dyDescent="0.25">
      <c r="A103" s="5"/>
      <c r="B103" s="5"/>
      <c r="C103" s="68" t="str">
        <f ca="1">"Overige installatie en projectkosten (% opgeven ten opzichte van "&amp;C93&amp;")"</f>
        <v>Overige installatie en projectkosten (% opgeven ten opzichte van Totaal PMS en PA)</v>
      </c>
      <c r="D103" s="4"/>
      <c r="E103" s="5"/>
      <c r="F103" s="10">
        <f>D103*F93</f>
        <v>0</v>
      </c>
      <c r="G103" s="5"/>
      <c r="H103" s="5"/>
      <c r="I103" s="69"/>
      <c r="J103" s="48"/>
      <c r="K103" s="48"/>
      <c r="L103" s="48"/>
      <c r="M103" s="48"/>
      <c r="N103" s="48"/>
      <c r="O103" s="48"/>
      <c r="P103" s="5"/>
      <c r="Q103" s="8"/>
    </row>
    <row r="104" spans="1:17" x14ac:dyDescent="0.25">
      <c r="A104" s="5"/>
      <c r="B104" s="5"/>
      <c r="C104" s="60" t="s">
        <v>90</v>
      </c>
      <c r="D104" s="61"/>
      <c r="E104" s="62"/>
      <c r="F104" s="63">
        <f>SUM(F96:F103)</f>
        <v>0</v>
      </c>
      <c r="G104" s="5"/>
      <c r="H104" s="5"/>
      <c r="I104" s="5"/>
      <c r="J104" s="5"/>
      <c r="K104" s="5"/>
      <c r="L104" s="5"/>
      <c r="M104" s="5"/>
      <c r="N104" s="5"/>
      <c r="O104" s="5"/>
      <c r="P104" s="5"/>
      <c r="Q104" s="8"/>
    </row>
    <row r="105" spans="1:17" x14ac:dyDescent="0.25">
      <c r="A105" s="5"/>
      <c r="B105" s="5"/>
      <c r="C105" s="5"/>
      <c r="D105" s="5"/>
      <c r="E105" s="5"/>
      <c r="F105" s="5"/>
      <c r="G105" s="5"/>
      <c r="H105" s="5"/>
      <c r="I105" s="5"/>
      <c r="J105" s="5"/>
      <c r="K105" s="5"/>
      <c r="L105" s="5"/>
      <c r="M105" s="5"/>
      <c r="N105" s="5"/>
      <c r="O105" s="5"/>
      <c r="P105" s="5"/>
      <c r="Q105" s="8"/>
    </row>
    <row r="106" spans="1:17" x14ac:dyDescent="0.25">
      <c r="A106" s="5"/>
      <c r="B106" s="5"/>
      <c r="C106" s="5"/>
      <c r="D106" s="5"/>
      <c r="E106" s="5"/>
      <c r="F106" s="5"/>
      <c r="G106" s="5"/>
      <c r="H106" s="5"/>
      <c r="I106" s="5"/>
      <c r="J106" s="5"/>
      <c r="K106" s="5"/>
      <c r="L106" s="5"/>
      <c r="M106" s="5"/>
      <c r="N106" s="5"/>
      <c r="O106" s="5"/>
      <c r="P106" s="5"/>
      <c r="Q106" s="8"/>
    </row>
    <row r="107" spans="1:17" x14ac:dyDescent="0.25">
      <c r="A107" s="5"/>
      <c r="B107" s="5"/>
      <c r="C107" s="60" t="str">
        <f ca="1">C93&amp;" en "&amp;C104</f>
        <v>Totaal PMS en PA en totaal overige installatie</v>
      </c>
      <c r="D107" s="61"/>
      <c r="E107" s="62"/>
      <c r="F107" s="63">
        <f>F104+F93</f>
        <v>0</v>
      </c>
      <c r="G107" s="5"/>
      <c r="H107" s="5"/>
      <c r="I107" s="5"/>
      <c r="J107" s="5"/>
      <c r="K107" s="5"/>
      <c r="L107" s="5"/>
      <c r="M107" s="5"/>
      <c r="N107" s="5"/>
      <c r="O107" s="5"/>
      <c r="P107" s="5"/>
      <c r="Q107" s="8"/>
    </row>
    <row r="108" spans="1:17" x14ac:dyDescent="0.25">
      <c r="A108" s="5"/>
      <c r="B108" s="5"/>
      <c r="C108" s="5"/>
      <c r="D108" s="5"/>
      <c r="E108" s="5"/>
      <c r="F108" s="5"/>
      <c r="G108" s="5"/>
      <c r="H108" s="5"/>
      <c r="I108" s="5"/>
      <c r="J108" s="5"/>
      <c r="K108" s="5"/>
      <c r="L108" s="5"/>
      <c r="M108" s="5"/>
      <c r="N108" s="5"/>
      <c r="O108" s="5"/>
      <c r="P108" s="5"/>
      <c r="Q108" s="8"/>
    </row>
    <row r="109" spans="1:17" x14ac:dyDescent="0.25">
      <c r="A109" s="5"/>
      <c r="B109" s="5"/>
      <c r="C109" s="70" t="s">
        <v>13</v>
      </c>
      <c r="D109" s="71"/>
      <c r="E109" s="72"/>
      <c r="F109" s="72"/>
      <c r="G109" s="5"/>
      <c r="H109" s="5"/>
      <c r="I109" s="72"/>
      <c r="J109" s="72"/>
      <c r="K109" s="72"/>
      <c r="L109" s="72"/>
      <c r="M109" s="72"/>
      <c r="N109" s="72"/>
      <c r="O109" s="72"/>
      <c r="P109" s="5"/>
      <c r="Q109" s="8"/>
    </row>
    <row r="110" spans="1:17" x14ac:dyDescent="0.25">
      <c r="A110" s="5"/>
      <c r="B110" s="5"/>
      <c r="C110" s="70"/>
      <c r="D110" s="71"/>
      <c r="E110" s="72"/>
      <c r="F110" s="72"/>
      <c r="G110" s="5"/>
      <c r="H110" s="5"/>
      <c r="I110" s="72"/>
      <c r="J110" s="72"/>
      <c r="K110" s="72"/>
      <c r="L110" s="72"/>
      <c r="M110" s="72"/>
      <c r="N110" s="72"/>
      <c r="O110" s="72"/>
      <c r="P110" s="5"/>
      <c r="Q110" s="8"/>
    </row>
    <row r="111" spans="1:17" ht="15" customHeight="1" x14ac:dyDescent="0.25">
      <c r="A111" s="5"/>
      <c r="B111" s="5"/>
      <c r="C111" s="125" t="s">
        <v>91</v>
      </c>
      <c r="D111" s="125"/>
      <c r="E111" s="125"/>
      <c r="F111" s="125"/>
      <c r="G111" s="5"/>
      <c r="H111" s="5"/>
      <c r="I111" s="70"/>
      <c r="J111" s="70"/>
      <c r="K111" s="70"/>
      <c r="L111" s="70"/>
      <c r="M111" s="70"/>
      <c r="N111" s="70"/>
      <c r="O111" s="70"/>
      <c r="P111" s="5"/>
      <c r="Q111" s="8"/>
    </row>
    <row r="112" spans="1:17" x14ac:dyDescent="0.25">
      <c r="A112" s="5"/>
      <c r="B112" s="5"/>
      <c r="C112" s="73"/>
      <c r="D112" s="74"/>
      <c r="E112" s="74"/>
      <c r="F112" s="74"/>
      <c r="G112" s="5"/>
      <c r="H112" s="5"/>
      <c r="I112" s="74"/>
      <c r="J112" s="74"/>
      <c r="K112" s="74"/>
      <c r="L112" s="74"/>
      <c r="M112" s="74"/>
      <c r="N112" s="74"/>
      <c r="O112" s="74"/>
      <c r="P112" s="5"/>
      <c r="Q112" s="8"/>
    </row>
    <row r="113" spans="1:17" ht="76.5" customHeight="1" x14ac:dyDescent="0.25">
      <c r="A113" s="6" t="s">
        <v>92</v>
      </c>
      <c r="B113" s="6"/>
      <c r="C113" s="125" t="s">
        <v>93</v>
      </c>
      <c r="D113" s="125"/>
      <c r="E113" s="125"/>
      <c r="F113" s="125"/>
      <c r="G113" s="5"/>
      <c r="H113" s="5"/>
      <c r="I113" s="70"/>
      <c r="J113" s="70"/>
      <c r="K113" s="70"/>
      <c r="L113" s="70"/>
      <c r="M113" s="70"/>
      <c r="N113" s="70"/>
      <c r="O113" s="70"/>
      <c r="P113" s="5"/>
      <c r="Q113" s="8"/>
    </row>
    <row r="114" spans="1:17" x14ac:dyDescent="0.25">
      <c r="A114" s="5"/>
      <c r="B114" s="5"/>
      <c r="C114" s="73"/>
      <c r="D114" s="74"/>
      <c r="E114" s="74"/>
      <c r="F114" s="74"/>
      <c r="G114" s="5"/>
      <c r="H114" s="5"/>
      <c r="I114" s="74"/>
      <c r="J114" s="74"/>
      <c r="K114" s="74"/>
      <c r="L114" s="74"/>
      <c r="M114" s="74"/>
      <c r="N114" s="74"/>
      <c r="O114" s="74"/>
      <c r="P114" s="5"/>
      <c r="Q114" s="8"/>
    </row>
    <row r="115" spans="1:17" ht="15" customHeight="1" x14ac:dyDescent="0.25">
      <c r="A115" s="5"/>
      <c r="B115" s="5"/>
      <c r="C115" s="126" t="s">
        <v>94</v>
      </c>
      <c r="D115" s="126"/>
      <c r="E115" s="126"/>
      <c r="F115" s="126"/>
      <c r="G115" s="5"/>
      <c r="H115" s="5"/>
      <c r="I115" s="75"/>
      <c r="J115" s="75"/>
      <c r="K115" s="75"/>
      <c r="L115" s="75"/>
      <c r="M115" s="75"/>
      <c r="N115" s="75"/>
      <c r="O115" s="75"/>
      <c r="P115" s="5"/>
      <c r="Q115" s="51"/>
    </row>
    <row r="116" spans="1:17" x14ac:dyDescent="0.25">
      <c r="A116" s="5"/>
      <c r="B116" s="5"/>
      <c r="C116" s="76"/>
      <c r="D116" s="77"/>
      <c r="E116" s="78"/>
      <c r="F116" s="78"/>
      <c r="G116" s="5"/>
      <c r="H116" s="5"/>
      <c r="I116" s="78"/>
      <c r="J116" s="78"/>
      <c r="K116" s="78"/>
      <c r="L116" s="78"/>
      <c r="M116" s="78"/>
      <c r="N116" s="78"/>
      <c r="O116" s="78"/>
      <c r="P116" s="5"/>
      <c r="Q116" s="51"/>
    </row>
    <row r="117" spans="1:17" x14ac:dyDescent="0.25">
      <c r="A117" s="5"/>
      <c r="B117" s="5"/>
      <c r="C117" s="79" t="s">
        <v>95</v>
      </c>
      <c r="D117" s="80"/>
      <c r="E117" s="80"/>
      <c r="F117" s="80"/>
      <c r="G117" s="5"/>
      <c r="H117" s="5"/>
      <c r="I117" s="75"/>
      <c r="J117" s="75"/>
      <c r="K117" s="75"/>
      <c r="L117" s="75"/>
      <c r="M117" s="75"/>
      <c r="N117" s="75"/>
      <c r="O117" s="75"/>
      <c r="P117" s="5"/>
      <c r="Q117" s="51"/>
    </row>
    <row r="118" spans="1:17" x14ac:dyDescent="0.25">
      <c r="A118" s="5"/>
      <c r="B118" s="5"/>
      <c r="C118" s="6"/>
      <c r="D118" s="5"/>
      <c r="E118" s="7"/>
      <c r="F118" s="7"/>
      <c r="G118" s="5"/>
      <c r="H118" s="5"/>
      <c r="I118" s="7"/>
      <c r="J118" s="7"/>
      <c r="K118" s="7"/>
      <c r="L118" s="7"/>
      <c r="M118" s="7"/>
      <c r="N118" s="7"/>
      <c r="O118" s="7"/>
      <c r="P118" s="5"/>
      <c r="Q118" s="8"/>
    </row>
  </sheetData>
  <sheetProtection algorithmName="SHA-512" hashValue="KQH3Kb33qK2H2bFpnpUI3k0xo5/c5EihjegqccX4IXNKbfqBgAbKUiQb0z7WPDjlhGrJxAlM3/yD7pgO1VfAzw==" saltValue="EFx8asoRQxu97sJ/4Z2Vsg==" spinCount="100000" sheet="1" objects="1" scenarios="1"/>
  <mergeCells count="7">
    <mergeCell ref="C2:O2"/>
    <mergeCell ref="C113:F113"/>
    <mergeCell ref="C115:F115"/>
    <mergeCell ref="D7:D10"/>
    <mergeCell ref="E7:E10"/>
    <mergeCell ref="F7:F10"/>
    <mergeCell ref="C111:F111"/>
  </mergeCells>
  <phoneticPr fontId="12" type="noConversion"/>
  <pageMargins left="0.7" right="0.7" top="0.75" bottom="0.75" header="0.3" footer="0.3"/>
  <pageSetup paperSize="9" scale="49" orientation="landscape" r:id="rId1"/>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B3695-C163-4C7D-8520-B9F6D4D27622}">
  <dimension ref="A1:L31"/>
  <sheetViews>
    <sheetView topLeftCell="A11" zoomScale="115" zoomScaleNormal="115" workbookViewId="0">
      <selection activeCell="D12" sqref="D12"/>
    </sheetView>
  </sheetViews>
  <sheetFormatPr defaultRowHeight="15" x14ac:dyDescent="0.25"/>
  <cols>
    <col min="1" max="1" width="2.28515625" customWidth="1"/>
    <col min="2" max="2" width="67" customWidth="1"/>
    <col min="3" max="3" width="28.42578125" bestFit="1" customWidth="1"/>
    <col min="4" max="10" width="10.5703125" customWidth="1"/>
    <col min="11" max="11" width="3" customWidth="1"/>
    <col min="12" max="12" width="2.28515625" customWidth="1"/>
  </cols>
  <sheetData>
    <row r="1" spans="1:12" x14ac:dyDescent="0.25">
      <c r="A1" s="5"/>
      <c r="B1" s="5"/>
      <c r="C1" s="5"/>
      <c r="D1" s="7"/>
      <c r="E1" s="7"/>
      <c r="F1" s="7"/>
      <c r="G1" s="7"/>
      <c r="H1" s="7"/>
      <c r="I1" s="7"/>
      <c r="J1" s="7"/>
      <c r="K1" s="5"/>
      <c r="L1" s="8"/>
    </row>
    <row r="2" spans="1:12" x14ac:dyDescent="0.25">
      <c r="A2" s="5"/>
      <c r="B2" s="17" t="str">
        <f ca="1">"Specificatie"&amp;MID(CELL("bestandsnaam",$A$1),SEARCH("]",CELL("bestandsnaam",$A$1),1)+1,99)</f>
        <v>SpecificatieAannames tbv netwerk</v>
      </c>
      <c r="C2" s="18"/>
      <c r="D2" s="18"/>
      <c r="E2" s="18"/>
      <c r="F2" s="18"/>
      <c r="G2" s="18"/>
      <c r="H2" s="18"/>
      <c r="I2" s="18"/>
      <c r="J2" s="18"/>
      <c r="K2" s="5"/>
      <c r="L2" s="8"/>
    </row>
    <row r="3" spans="1:12" x14ac:dyDescent="0.25">
      <c r="A3" s="5"/>
      <c r="B3" s="5"/>
      <c r="C3" s="5"/>
      <c r="D3" s="5"/>
      <c r="E3" s="5"/>
      <c r="F3" s="5"/>
      <c r="G3" s="5"/>
      <c r="H3" s="5"/>
      <c r="I3" s="5"/>
      <c r="J3" s="5"/>
      <c r="K3" s="5"/>
      <c r="L3" s="8"/>
    </row>
    <row r="4" spans="1:12" ht="25.5" x14ac:dyDescent="0.25">
      <c r="A4" s="5"/>
      <c r="B4" s="13" t="s">
        <v>96</v>
      </c>
      <c r="C4" s="13"/>
      <c r="D4" s="9" t="s">
        <v>20</v>
      </c>
      <c r="E4" s="9" t="s">
        <v>21</v>
      </c>
      <c r="F4" s="9" t="s">
        <v>22</v>
      </c>
      <c r="G4" s="9" t="s">
        <v>23</v>
      </c>
      <c r="H4" s="9" t="s">
        <v>24</v>
      </c>
      <c r="I4" s="9" t="s">
        <v>25</v>
      </c>
      <c r="J4" s="9" t="s">
        <v>26</v>
      </c>
      <c r="K4" s="5"/>
      <c r="L4" s="8"/>
    </row>
    <row r="5" spans="1:12" ht="25.5" x14ac:dyDescent="0.25">
      <c r="A5" s="5"/>
      <c r="B5" s="28" t="s">
        <v>17</v>
      </c>
      <c r="C5" s="37" t="s">
        <v>97</v>
      </c>
      <c r="D5" s="35">
        <v>2</v>
      </c>
      <c r="E5" s="30">
        <f>'PMS en PA'!J14*2</f>
        <v>2</v>
      </c>
      <c r="F5" s="30">
        <f>'PMS en PA'!K14*2</f>
        <v>2</v>
      </c>
      <c r="G5" s="30">
        <f>'PMS en PA'!L14*2</f>
        <v>2</v>
      </c>
      <c r="H5" s="30">
        <f>'PMS en PA'!M14*2</f>
        <v>2</v>
      </c>
      <c r="I5" s="30">
        <f>'PMS en PA'!N14*2</f>
        <v>2</v>
      </c>
      <c r="J5" s="30">
        <f>'PMS en PA'!O14*2</f>
        <v>2</v>
      </c>
      <c r="K5" s="5"/>
      <c r="L5" s="8"/>
    </row>
    <row r="6" spans="1:12" ht="111" x14ac:dyDescent="0.25">
      <c r="A6" s="5"/>
      <c r="B6" s="31" t="s">
        <v>98</v>
      </c>
      <c r="C6" s="38" t="s">
        <v>99</v>
      </c>
      <c r="D6" s="32"/>
      <c r="E6" s="33">
        <f>'PMS en PA'!J21*'PMS en PA'!$G21+'PMS en PA'!J22*'PMS en PA'!$G22+'PMS en PA'!J24*'PMS en PA'!$G24+'PMS en PA'!J29*'PMS en PA'!$G29+'PMS en PA'!$G25*'PMS en PA'!J25</f>
        <v>14</v>
      </c>
      <c r="F6" s="33">
        <f>'PMS en PA'!K21*'PMS en PA'!$G21+'PMS en PA'!K22*'PMS en PA'!$G22+'PMS en PA'!K24*'PMS en PA'!$G24+'PMS en PA'!K29*'PMS en PA'!$G29+'PMS en PA'!$G25*'PMS en PA'!K25</f>
        <v>12</v>
      </c>
      <c r="G6" s="33">
        <f>'PMS en PA'!L21*'PMS en PA'!$G21+'PMS en PA'!L22*'PMS en PA'!$G22+'PMS en PA'!L24*'PMS en PA'!$G24+'PMS en PA'!L29*'PMS en PA'!$G29+'PMS en PA'!$G25*'PMS en PA'!L25</f>
        <v>6</v>
      </c>
      <c r="H6" s="33">
        <f>'PMS en PA'!M21*'PMS en PA'!$G21+'PMS en PA'!M22*'PMS en PA'!$G22+'PMS en PA'!M24*'PMS en PA'!$G24+'PMS en PA'!M29*'PMS en PA'!$G29+'PMS en PA'!$G25*'PMS en PA'!M25</f>
        <v>11</v>
      </c>
      <c r="I6" s="33">
        <f>'PMS en PA'!N21*'PMS en PA'!$G21+'PMS en PA'!N22*'PMS en PA'!$G22+'PMS en PA'!N24*'PMS en PA'!$G24+'PMS en PA'!N29*'PMS en PA'!$G29+'PMS en PA'!$G25*'PMS en PA'!N25</f>
        <v>13</v>
      </c>
      <c r="J6" s="33">
        <f>'PMS en PA'!O21*'PMS en PA'!$G21+'PMS en PA'!O22*'PMS en PA'!$G22+'PMS en PA'!O24*'PMS en PA'!$G24+'PMS en PA'!O29*'PMS en PA'!$G29+'PMS en PA'!$G25*'PMS en PA'!O25</f>
        <v>5</v>
      </c>
      <c r="K6" s="5"/>
      <c r="L6" s="8"/>
    </row>
    <row r="7" spans="1:12" ht="111" x14ac:dyDescent="0.25">
      <c r="A7" s="5"/>
      <c r="B7" s="28" t="s">
        <v>100</v>
      </c>
      <c r="C7" s="37" t="s">
        <v>101</v>
      </c>
      <c r="D7" s="29"/>
      <c r="E7" s="30">
        <f>'PMS en PA'!J36*'PMS en PA'!$G36+'PMS en PA'!J37*'PMS en PA'!$G37+'PMS en PA'!J39*'PMS en PA'!$G39+'PMS en PA'!J44*'PMS en PA'!$G44+'PMS en PA'!J34*'PMS en PA'!$G34+'PMS en PA'!J35*'PMS en PA'!$G35+'PMS en PA'!J40*'PMS en PA'!$G40</f>
        <v>12</v>
      </c>
      <c r="F7" s="30">
        <f>'PMS en PA'!K36*'PMS en PA'!$G36+'PMS en PA'!K37*'PMS en PA'!$G37+'PMS en PA'!K39*'PMS en PA'!$G39+'PMS en PA'!K44*'PMS en PA'!$G44+'PMS en PA'!K34*'PMS en PA'!$G34+'PMS en PA'!K35*'PMS en PA'!$G35+'PMS en PA'!K40*'PMS en PA'!$G40</f>
        <v>0</v>
      </c>
      <c r="G7" s="30">
        <f>'PMS en PA'!L36*'PMS en PA'!$G36+'PMS en PA'!L37*'PMS en PA'!$G37+'PMS en PA'!L39*'PMS en PA'!$G39+'PMS en PA'!L44*'PMS en PA'!$G44+'PMS en PA'!L34*'PMS en PA'!$G34+'PMS en PA'!L35*'PMS en PA'!$G35+'PMS en PA'!L40*'PMS en PA'!$G40</f>
        <v>12</v>
      </c>
      <c r="H7" s="30">
        <f>'PMS en PA'!M36*'PMS en PA'!$G36+'PMS en PA'!M37*'PMS en PA'!$G37+'PMS en PA'!M39*'PMS en PA'!$G39+'PMS en PA'!M44*'PMS en PA'!$G44+'PMS en PA'!M34*'PMS en PA'!$G34+'PMS en PA'!M35*'PMS en PA'!$G35+'PMS en PA'!M40*'PMS en PA'!$G40</f>
        <v>0</v>
      </c>
      <c r="I7" s="30">
        <f>'PMS en PA'!N36*'PMS en PA'!$G36+'PMS en PA'!N37*'PMS en PA'!$G37+'PMS en PA'!N39*'PMS en PA'!$G39+'PMS en PA'!N44*'PMS en PA'!$G44+'PMS en PA'!N34*'PMS en PA'!$G34+'PMS en PA'!N35*'PMS en PA'!$G35+'PMS en PA'!N40*'PMS en PA'!$G40</f>
        <v>0</v>
      </c>
      <c r="J7" s="30">
        <f>'PMS en PA'!O36*'PMS en PA'!$G36+'PMS en PA'!O37*'PMS en PA'!$G37+'PMS en PA'!O39*'PMS en PA'!$G39+'PMS en PA'!O44*'PMS en PA'!$G44+'PMS en PA'!O34*'PMS en PA'!$G34+'PMS en PA'!O35*'PMS en PA'!$G35+'PMS en PA'!O40*'PMS en PA'!$G40</f>
        <v>0</v>
      </c>
      <c r="K7" s="5"/>
      <c r="L7" s="8"/>
    </row>
    <row r="8" spans="1:12" ht="111" x14ac:dyDescent="0.25">
      <c r="A8" s="5"/>
      <c r="B8" s="31" t="s">
        <v>102</v>
      </c>
      <c r="C8" s="38" t="s">
        <v>99</v>
      </c>
      <c r="D8" s="32"/>
      <c r="E8" s="33">
        <f>'PMS en PA'!J48*'PMS en PA'!$G48+'PMS en PA'!J49*'PMS en PA'!$G49+'PMS en PA'!J50*'PMS en PA'!$G50+'PMS en PA'!J55*'PMS en PA'!$G55+'PMS en PA'!$G51*'PMS en PA'!J51</f>
        <v>23</v>
      </c>
      <c r="F8" s="33">
        <f>'PMS en PA'!K48*'PMS en PA'!$G48+'PMS en PA'!K49*'PMS en PA'!$G49+'PMS en PA'!K50*'PMS en PA'!$G50+'PMS en PA'!K55*'PMS en PA'!$G55+'PMS en PA'!$G51*'PMS en PA'!K51</f>
        <v>12</v>
      </c>
      <c r="G8" s="33">
        <f>'PMS en PA'!L48*'PMS en PA'!$G48+'PMS en PA'!L49*'PMS en PA'!$G49+'PMS en PA'!L50*'PMS en PA'!$G50+'PMS en PA'!L55*'PMS en PA'!$G55+'PMS en PA'!$G51*'PMS en PA'!L51</f>
        <v>6</v>
      </c>
      <c r="H8" s="33">
        <f>'PMS en PA'!M48*'PMS en PA'!$G48+'PMS en PA'!M49*'PMS en PA'!$G49+'PMS en PA'!M50*'PMS en PA'!$G50+'PMS en PA'!M55*'PMS en PA'!$G55+'PMS en PA'!$G51*'PMS en PA'!M51</f>
        <v>12</v>
      </c>
      <c r="I8" s="33">
        <f>'PMS en PA'!N48*'PMS en PA'!$G48+'PMS en PA'!N49*'PMS en PA'!$G49+'PMS en PA'!N50*'PMS en PA'!$G50+'PMS en PA'!N55*'PMS en PA'!$G55+'PMS en PA'!$G51*'PMS en PA'!N51</f>
        <v>12</v>
      </c>
      <c r="J8" s="33">
        <f>'PMS en PA'!O48*'PMS en PA'!$G48+'PMS en PA'!O49*'PMS en PA'!$G49+'PMS en PA'!O50*'PMS en PA'!$G50+'PMS en PA'!O55*'PMS en PA'!$G55+'PMS en PA'!$G51*'PMS en PA'!O51</f>
        <v>4</v>
      </c>
      <c r="K8" s="5"/>
      <c r="L8" s="8"/>
    </row>
    <row r="9" spans="1:12" ht="66" x14ac:dyDescent="0.25">
      <c r="A9" s="5"/>
      <c r="B9" s="28" t="s">
        <v>103</v>
      </c>
      <c r="C9" s="37" t="s">
        <v>104</v>
      </c>
      <c r="D9" s="29"/>
      <c r="E9" s="30">
        <f>'PMS en PA'!J61*'PMS en PA'!$G61+'PMS en PA'!$G60*'PMS en PA'!J60</f>
        <v>16</v>
      </c>
      <c r="F9" s="30">
        <f>'PMS en PA'!K61*'PMS en PA'!$G61+'PMS en PA'!$G60*'PMS en PA'!K60</f>
        <v>20</v>
      </c>
      <c r="G9" s="30">
        <f>'PMS en PA'!L61*'PMS en PA'!$G61+'PMS en PA'!$G60*'PMS en PA'!L60</f>
        <v>16</v>
      </c>
      <c r="H9" s="30">
        <f>'PMS en PA'!M61*'PMS en PA'!$G61+'PMS en PA'!$G60*'PMS en PA'!M60</f>
        <v>12</v>
      </c>
      <c r="I9" s="30">
        <f>'PMS en PA'!N61*'PMS en PA'!$G61+'PMS en PA'!$G60*'PMS en PA'!N60</f>
        <v>16</v>
      </c>
      <c r="J9" s="30">
        <f>'PMS en PA'!O61*'PMS en PA'!$G61+'PMS en PA'!$G60*'PMS en PA'!O60</f>
        <v>0</v>
      </c>
      <c r="K9" s="5"/>
      <c r="L9" s="8"/>
    </row>
    <row r="10" spans="1:12" ht="66" x14ac:dyDescent="0.25">
      <c r="A10" s="5"/>
      <c r="B10" s="31" t="s">
        <v>105</v>
      </c>
      <c r="C10" s="37" t="s">
        <v>104</v>
      </c>
      <c r="D10" s="32"/>
      <c r="E10" s="33">
        <f>'PMS en PA'!J73*'PMS en PA'!$G73+'PMS en PA'!$G72*'PMS en PA'!J72+'PMS en PA'!$G71*'PMS en PA'!J71+'PMS en PA'!$G70*'PMS en PA'!J70</f>
        <v>5</v>
      </c>
      <c r="F10" s="33">
        <f>'PMS en PA'!K73*'PMS en PA'!$G73+'PMS en PA'!$G72*'PMS en PA'!K72+'PMS en PA'!$G71*'PMS en PA'!K71+'PMS en PA'!$G70*'PMS en PA'!K70</f>
        <v>5</v>
      </c>
      <c r="G10" s="33">
        <f>'PMS en PA'!L73*'PMS en PA'!$G73+'PMS en PA'!$G72*'PMS en PA'!L72+'PMS en PA'!$G71*'PMS en PA'!L71+'PMS en PA'!$G70*'PMS en PA'!L70</f>
        <v>10</v>
      </c>
      <c r="H10" s="33">
        <f>'PMS en PA'!M73*'PMS en PA'!$G73+'PMS en PA'!$G72*'PMS en PA'!M72+'PMS en PA'!$G71*'PMS en PA'!M71+'PMS en PA'!$G70*'PMS en PA'!M70</f>
        <v>5</v>
      </c>
      <c r="I10" s="33">
        <f>'PMS en PA'!N73*'PMS en PA'!$G73+'PMS en PA'!$G72*'PMS en PA'!N72+'PMS en PA'!$G71*'PMS en PA'!N71+'PMS en PA'!$G70*'PMS en PA'!N70</f>
        <v>9</v>
      </c>
      <c r="J10" s="33">
        <f>'PMS en PA'!O73*'PMS en PA'!$G73+'PMS en PA'!$G72*'PMS en PA'!O72+'PMS en PA'!$G71*'PMS en PA'!O71+'PMS en PA'!$G70*'PMS en PA'!O70</f>
        <v>6</v>
      </c>
      <c r="K10" s="5"/>
      <c r="L10" s="8"/>
    </row>
    <row r="11" spans="1:12" x14ac:dyDescent="0.25">
      <c r="A11" s="5"/>
      <c r="B11" s="13" t="s">
        <v>106</v>
      </c>
      <c r="C11" s="13"/>
      <c r="D11" s="9">
        <f>SUM(D5:D10)</f>
        <v>2</v>
      </c>
      <c r="E11" s="9">
        <f t="shared" ref="E11:J11" si="0">SUM(E5:E10)</f>
        <v>72</v>
      </c>
      <c r="F11" s="9">
        <f t="shared" si="0"/>
        <v>51</v>
      </c>
      <c r="G11" s="9">
        <f t="shared" si="0"/>
        <v>52</v>
      </c>
      <c r="H11" s="9">
        <f t="shared" si="0"/>
        <v>42</v>
      </c>
      <c r="I11" s="9">
        <f t="shared" si="0"/>
        <v>52</v>
      </c>
      <c r="J11" s="9">
        <f t="shared" si="0"/>
        <v>17</v>
      </c>
      <c r="K11" s="5"/>
      <c r="L11" s="8"/>
    </row>
    <row r="12" spans="1:12" x14ac:dyDescent="0.25">
      <c r="A12" s="5"/>
      <c r="B12" s="5"/>
      <c r="C12" s="5" t="s">
        <v>107</v>
      </c>
      <c r="D12" s="36">
        <f>D11-SUM(D21:D26)</f>
        <v>0</v>
      </c>
      <c r="E12" s="36">
        <f t="shared" ref="E12:J12" si="1">E11-SUM(E21:E26)</f>
        <v>0</v>
      </c>
      <c r="F12" s="36">
        <f t="shared" si="1"/>
        <v>0</v>
      </c>
      <c r="G12" s="36">
        <f t="shared" si="1"/>
        <v>0</v>
      </c>
      <c r="H12" s="36">
        <f t="shared" si="1"/>
        <v>0</v>
      </c>
      <c r="I12" s="36">
        <f t="shared" si="1"/>
        <v>0</v>
      </c>
      <c r="J12" s="36">
        <f t="shared" si="1"/>
        <v>0</v>
      </c>
      <c r="K12" s="5"/>
      <c r="L12" s="8"/>
    </row>
    <row r="13" spans="1:12" x14ac:dyDescent="0.25">
      <c r="A13" s="5"/>
      <c r="B13" s="5"/>
      <c r="C13" s="5"/>
      <c r="D13" s="36"/>
      <c r="E13" s="36"/>
      <c r="F13" s="36"/>
      <c r="G13" s="36"/>
      <c r="H13" s="36"/>
      <c r="I13" s="36"/>
      <c r="J13" s="36"/>
      <c r="K13" s="5"/>
      <c r="L13" s="8"/>
    </row>
    <row r="14" spans="1:12" ht="25.5" x14ac:dyDescent="0.25">
      <c r="A14" s="5"/>
      <c r="B14" s="13" t="s">
        <v>96</v>
      </c>
      <c r="C14" s="13"/>
      <c r="D14" s="9" t="s">
        <v>20</v>
      </c>
      <c r="E14" s="9" t="s">
        <v>21</v>
      </c>
      <c r="F14" s="9" t="s">
        <v>22</v>
      </c>
      <c r="G14" s="9" t="s">
        <v>23</v>
      </c>
      <c r="H14" s="9" t="s">
        <v>24</v>
      </c>
      <c r="I14" s="9" t="s">
        <v>25</v>
      </c>
      <c r="J14" s="9" t="s">
        <v>26</v>
      </c>
      <c r="K14" s="5"/>
      <c r="L14" s="8"/>
    </row>
    <row r="15" spans="1:12" s="8" customFormat="1" ht="12.75" x14ac:dyDescent="0.25">
      <c r="A15" s="5"/>
      <c r="B15" s="5" t="s">
        <v>108</v>
      </c>
      <c r="C15" s="5"/>
      <c r="D15" s="5">
        <f>'PMS en PA'!I21+'PMS en PA'!I22+'PMS en PA'!I24+'PMS en PA'!I25+'PMS en PA'!I34+'PMS en PA'!I35++'PMS en PA'!I36+'PMS en PA'!I37+'PMS en PA'!I38+'PMS en PA'!I39+'PMS en PA'!I40+'PMS en PA'!I48+'PMS en PA'!I49+'PMS en PA'!I50+'PMS en PA'!I51+'PMS en PA'!I60+'PMS en PA'!I61+'PMS en PA'!I70+'PMS en PA'!I71+'PMS en PA'!I72+'PMS en PA'!I73</f>
        <v>0</v>
      </c>
      <c r="E15" s="5">
        <f>'PMS en PA'!J21+'PMS en PA'!J22+'PMS en PA'!J24+'PMS en PA'!J25+'PMS en PA'!J34+'PMS en PA'!J35++'PMS en PA'!J36+'PMS en PA'!J37+'PMS en PA'!J38+'PMS en PA'!J39+'PMS en PA'!J40+'PMS en PA'!J48+'PMS en PA'!J49+'PMS en PA'!J50+'PMS en PA'!J51+'PMS en PA'!J60+'PMS en PA'!J61+'PMS en PA'!J70+'PMS en PA'!J71+'PMS en PA'!J72+'PMS en PA'!J73</f>
        <v>23</v>
      </c>
      <c r="F15" s="5">
        <f>'PMS en PA'!K21+'PMS en PA'!K22+'PMS en PA'!K24+'PMS en PA'!K25+'PMS en PA'!K34+'PMS en PA'!K35++'PMS en PA'!K36+'PMS en PA'!K37+'PMS en PA'!K38+'PMS en PA'!K39+'PMS en PA'!K40+'PMS en PA'!K48+'PMS en PA'!K49+'PMS en PA'!K50+'PMS en PA'!K51+'PMS en PA'!K60+'PMS en PA'!K61+'PMS en PA'!K70+'PMS en PA'!K71+'PMS en PA'!K72+'PMS en PA'!K73</f>
        <v>14</v>
      </c>
      <c r="G15" s="5">
        <f>'PMS en PA'!L21+'PMS en PA'!L22+'PMS en PA'!L24+'PMS en PA'!L25+'PMS en PA'!L34+'PMS en PA'!L35++'PMS en PA'!L36+'PMS en PA'!L37+'PMS en PA'!L38+'PMS en PA'!L39+'PMS en PA'!L40+'PMS en PA'!L48+'PMS en PA'!L49+'PMS en PA'!L50+'PMS en PA'!L51+'PMS en PA'!L60+'PMS en PA'!L61+'PMS en PA'!L70+'PMS en PA'!L71+'PMS en PA'!L72+'PMS en PA'!L73</f>
        <v>15</v>
      </c>
      <c r="H15" s="5">
        <f>'PMS en PA'!M21+'PMS en PA'!M22+'PMS en PA'!M24+'PMS en PA'!M25+'PMS en PA'!M34+'PMS en PA'!M35++'PMS en PA'!M36+'PMS en PA'!M37+'PMS en PA'!M38+'PMS en PA'!M39+'PMS en PA'!M40+'PMS en PA'!M48+'PMS en PA'!M49+'PMS en PA'!M50+'PMS en PA'!M51+'PMS en PA'!M60+'PMS en PA'!M61+'PMS en PA'!M70+'PMS en PA'!M71+'PMS en PA'!M72+'PMS en PA'!M73</f>
        <v>12</v>
      </c>
      <c r="I15" s="5">
        <f>'PMS en PA'!N21+'PMS en PA'!N22+'PMS en PA'!N24+'PMS en PA'!N25+'PMS en PA'!N34+'PMS en PA'!N35++'PMS en PA'!N36+'PMS en PA'!N37+'PMS en PA'!N38+'PMS en PA'!N39+'PMS en PA'!N40+'PMS en PA'!N48+'PMS en PA'!N49+'PMS en PA'!N50+'PMS en PA'!N51+'PMS en PA'!N60+'PMS en PA'!N61+'PMS en PA'!N70+'PMS en PA'!N71+'PMS en PA'!N72+'PMS en PA'!N73</f>
        <v>16</v>
      </c>
      <c r="J15" s="5">
        <f>'PMS en PA'!O21+'PMS en PA'!O22+'PMS en PA'!O24+'PMS en PA'!O25+'PMS en PA'!O34+'PMS en PA'!O35++'PMS en PA'!O36+'PMS en PA'!O37+'PMS en PA'!O38+'PMS en PA'!O39+'PMS en PA'!O40+'PMS en PA'!O48+'PMS en PA'!O49+'PMS en PA'!O50+'PMS en PA'!O51+'PMS en PA'!O60+'PMS en PA'!O61+'PMS en PA'!O70+'PMS en PA'!O71+'PMS en PA'!O72+'PMS en PA'!O73</f>
        <v>6</v>
      </c>
      <c r="K15" s="5"/>
    </row>
    <row r="16" spans="1:12" s="8" customFormat="1" ht="12.75" x14ac:dyDescent="0.25">
      <c r="A16" s="5"/>
      <c r="B16" s="5" t="s">
        <v>109</v>
      </c>
      <c r="C16" s="5"/>
      <c r="D16" s="5">
        <f>'PMS en PA'!I24+'PMS en PA'!I25+'PMS en PA'!I26+'PMS en PA'!I30+'PMS en PA'!I39+'PMS en PA'!I38+'PMS en PA'!I50+'PMS en PA'!I51+'PMS en PA'!I52+'PMS en PA'!I56+'PMS en PA'!I67+'PMS en PA'!I70+'PMS en PA'!I71+'PMS en PA'!I72+'PMS en PA'!I73</f>
        <v>0</v>
      </c>
      <c r="E16" s="5">
        <f>'PMS en PA'!J24+'PMS en PA'!J25+'PMS en PA'!J26+'PMS en PA'!J30+'PMS en PA'!J39+'PMS en PA'!J38+'PMS en PA'!J50+'PMS en PA'!J51+'PMS en PA'!J52+'PMS en PA'!J56+'PMS en PA'!J67+'PMS en PA'!J70+'PMS en PA'!J71+'PMS en PA'!J72+'PMS en PA'!J73</f>
        <v>20</v>
      </c>
      <c r="F16" s="5">
        <f>'PMS en PA'!K24+'PMS en PA'!K25+'PMS en PA'!K26+'PMS en PA'!K30+'PMS en PA'!K39+'PMS en PA'!K38+'PMS en PA'!K50+'PMS en PA'!K51+'PMS en PA'!K52+'PMS en PA'!K56+'PMS en PA'!K67+'PMS en PA'!K70+'PMS en PA'!K71+'PMS en PA'!K72+'PMS en PA'!K73</f>
        <v>13</v>
      </c>
      <c r="G16" s="5">
        <f>'PMS en PA'!L24+'PMS en PA'!L25+'PMS en PA'!L26+'PMS en PA'!L30+'PMS en PA'!L39+'PMS en PA'!L38+'PMS en PA'!L50+'PMS en PA'!L51+'PMS en PA'!L52+'PMS en PA'!L56+'PMS en PA'!L67+'PMS en PA'!L70+'PMS en PA'!L71+'PMS en PA'!L72+'PMS en PA'!L73</f>
        <v>10</v>
      </c>
      <c r="H16" s="5">
        <f>'PMS en PA'!M24+'PMS en PA'!M25+'PMS en PA'!M26+'PMS en PA'!M30+'PMS en PA'!M39+'PMS en PA'!M38+'PMS en PA'!M50+'PMS en PA'!M51+'PMS en PA'!M52+'PMS en PA'!M56+'PMS en PA'!M67+'PMS en PA'!M70+'PMS en PA'!M71+'PMS en PA'!M72+'PMS en PA'!M73</f>
        <v>11</v>
      </c>
      <c r="I16" s="5">
        <f>'PMS en PA'!N24+'PMS en PA'!N25+'PMS en PA'!N26+'PMS en PA'!N30+'PMS en PA'!N39+'PMS en PA'!N38+'PMS en PA'!N50+'PMS en PA'!N51+'PMS en PA'!N52+'PMS en PA'!N56+'PMS en PA'!N67+'PMS en PA'!N70+'PMS en PA'!N71+'PMS en PA'!N72+'PMS en PA'!N73</f>
        <v>16</v>
      </c>
      <c r="J16" s="5">
        <f>'PMS en PA'!O24+'PMS en PA'!O25+'PMS en PA'!O26+'PMS en PA'!O30+'PMS en PA'!O39+'PMS en PA'!O38+'PMS en PA'!O50+'PMS en PA'!O51+'PMS en PA'!O52+'PMS en PA'!O56+'PMS en PA'!O67+'PMS en PA'!O70+'PMS en PA'!O71+'PMS en PA'!O72+'PMS en PA'!O73</f>
        <v>7</v>
      </c>
      <c r="K16" s="5"/>
    </row>
    <row r="17" spans="1:12" s="8" customFormat="1" ht="12.75" x14ac:dyDescent="0.25">
      <c r="A17" s="5"/>
      <c r="B17" s="5"/>
      <c r="C17" s="5"/>
      <c r="D17" s="5"/>
      <c r="E17" s="5"/>
      <c r="F17" s="5"/>
      <c r="G17" s="5"/>
      <c r="H17" s="5"/>
      <c r="I17" s="5"/>
      <c r="J17" s="5"/>
      <c r="K17" s="5"/>
    </row>
    <row r="18" spans="1:12" s="8" customFormat="1" ht="12.75" x14ac:dyDescent="0.25">
      <c r="A18" s="5"/>
      <c r="B18" s="5"/>
      <c r="C18" s="5"/>
      <c r="D18" s="5"/>
      <c r="E18" s="5"/>
      <c r="F18" s="5"/>
      <c r="G18" s="5"/>
      <c r="H18" s="5"/>
      <c r="I18" s="5"/>
      <c r="J18" s="5"/>
      <c r="K18" s="5"/>
    </row>
    <row r="19" spans="1:12" x14ac:dyDescent="0.25">
      <c r="A19" s="5"/>
      <c r="B19" s="13" t="s">
        <v>110</v>
      </c>
      <c r="C19" s="26" t="s">
        <v>111</v>
      </c>
      <c r="D19" s="5"/>
      <c r="E19" s="5"/>
      <c r="F19" s="5"/>
      <c r="G19" s="5"/>
      <c r="H19" s="5"/>
      <c r="I19" s="5"/>
      <c r="J19" s="5"/>
      <c r="K19" s="5"/>
      <c r="L19" s="8"/>
    </row>
    <row r="20" spans="1:12" x14ac:dyDescent="0.25">
      <c r="A20" s="5"/>
      <c r="B20" s="5"/>
      <c r="C20" s="5"/>
      <c r="D20" s="5"/>
      <c r="E20" s="5"/>
      <c r="F20" s="5"/>
      <c r="G20" s="5"/>
      <c r="H20" s="5"/>
      <c r="I20" s="5"/>
      <c r="J20" s="5"/>
      <c r="K20" s="5"/>
      <c r="L20" s="8"/>
    </row>
    <row r="21" spans="1:12" x14ac:dyDescent="0.25">
      <c r="A21" s="5"/>
      <c r="B21" s="5" t="s">
        <v>112</v>
      </c>
      <c r="C21" s="5"/>
      <c r="D21" s="34">
        <f>D5</f>
        <v>2</v>
      </c>
      <c r="E21" s="27">
        <f>SUM(E5:E8)</f>
        <v>51</v>
      </c>
      <c r="F21" s="27">
        <f>SUM(F5:F8)</f>
        <v>26</v>
      </c>
      <c r="G21" s="27">
        <f>SUM(G5:G8)</f>
        <v>26</v>
      </c>
      <c r="H21" s="27">
        <f>SUM(H5:H8)</f>
        <v>25</v>
      </c>
      <c r="I21" s="27">
        <f>SUM(I5:I8)</f>
        <v>27</v>
      </c>
      <c r="J21" s="27">
        <f>SUM(J5:J8)+J10/2</f>
        <v>14</v>
      </c>
      <c r="K21" s="5"/>
      <c r="L21" s="8"/>
    </row>
    <row r="22" spans="1:12" x14ac:dyDescent="0.25">
      <c r="A22" s="5"/>
      <c r="B22" s="5" t="s">
        <v>113</v>
      </c>
      <c r="C22" s="5"/>
      <c r="D22" s="27"/>
      <c r="E22" s="27">
        <f>SUM(E9:E10)</f>
        <v>21</v>
      </c>
      <c r="F22" s="27">
        <f>F9</f>
        <v>20</v>
      </c>
      <c r="G22" s="27">
        <f>SUM(G9:G10)</f>
        <v>26</v>
      </c>
      <c r="H22" s="27">
        <f>H9</f>
        <v>12</v>
      </c>
      <c r="I22" s="27">
        <f>I9+I10</f>
        <v>25</v>
      </c>
      <c r="J22" s="27">
        <f>J10/2</f>
        <v>3</v>
      </c>
      <c r="K22" s="5"/>
      <c r="L22" s="8"/>
    </row>
    <row r="23" spans="1:12" x14ac:dyDescent="0.25">
      <c r="A23" s="5"/>
      <c r="B23" s="5" t="s">
        <v>114</v>
      </c>
      <c r="C23" s="5"/>
      <c r="D23" s="27"/>
      <c r="E23" s="27"/>
      <c r="F23" s="27">
        <f>F10</f>
        <v>5</v>
      </c>
      <c r="G23" s="27"/>
      <c r="H23" s="27">
        <f>H10</f>
        <v>5</v>
      </c>
      <c r="I23" s="27"/>
      <c r="J23" s="27"/>
      <c r="K23" s="5"/>
      <c r="L23" s="8"/>
    </row>
    <row r="24" spans="1:12" hidden="1" x14ac:dyDescent="0.25">
      <c r="A24" s="5"/>
      <c r="B24" s="5" t="s">
        <v>115</v>
      </c>
      <c r="C24" s="5"/>
      <c r="D24" s="27"/>
      <c r="E24" s="27"/>
      <c r="F24" s="27"/>
      <c r="G24" s="27"/>
      <c r="H24" s="27"/>
      <c r="I24" s="27"/>
      <c r="J24" s="27"/>
      <c r="K24" s="5"/>
      <c r="L24" s="8"/>
    </row>
    <row r="25" spans="1:12" hidden="1" x14ac:dyDescent="0.25">
      <c r="A25" s="5"/>
      <c r="B25" s="5" t="s">
        <v>116</v>
      </c>
      <c r="C25" s="5"/>
      <c r="D25" s="27"/>
      <c r="E25" s="27"/>
      <c r="F25" s="27"/>
      <c r="G25" s="27"/>
      <c r="H25" s="27"/>
      <c r="I25" s="27"/>
      <c r="J25" s="27"/>
      <c r="K25" s="5"/>
      <c r="L25" s="8"/>
    </row>
    <row r="26" spans="1:12" hidden="1" x14ac:dyDescent="0.25">
      <c r="A26" s="5"/>
      <c r="B26" s="5" t="s">
        <v>117</v>
      </c>
      <c r="C26" s="5"/>
      <c r="D26" s="27"/>
      <c r="E26" s="27"/>
      <c r="F26" s="27"/>
      <c r="G26" s="27"/>
      <c r="H26" s="27"/>
      <c r="I26" s="27"/>
      <c r="J26" s="27"/>
      <c r="K26" s="5"/>
      <c r="L26" s="8"/>
    </row>
    <row r="27" spans="1:12" x14ac:dyDescent="0.25">
      <c r="A27" s="5"/>
      <c r="B27" s="5" t="s">
        <v>118</v>
      </c>
      <c r="C27" s="27">
        <v>30</v>
      </c>
      <c r="D27" s="5">
        <f t="shared" ref="D27:J27" si="2">SUM(D$21:D$26)*$C$27</f>
        <v>60</v>
      </c>
      <c r="E27" s="5">
        <f t="shared" si="2"/>
        <v>2160</v>
      </c>
      <c r="F27" s="5">
        <f t="shared" si="2"/>
        <v>1530</v>
      </c>
      <c r="G27" s="5">
        <f t="shared" si="2"/>
        <v>1560</v>
      </c>
      <c r="H27" s="5">
        <f t="shared" si="2"/>
        <v>1260</v>
      </c>
      <c r="I27" s="5">
        <f t="shared" si="2"/>
        <v>1560</v>
      </c>
      <c r="J27" s="5">
        <f t="shared" si="2"/>
        <v>510</v>
      </c>
      <c r="K27" s="5"/>
      <c r="L27" s="8"/>
    </row>
    <row r="28" spans="1:12" x14ac:dyDescent="0.25">
      <c r="A28" s="5"/>
      <c r="B28" s="5" t="s">
        <v>119</v>
      </c>
      <c r="C28" s="27">
        <v>250</v>
      </c>
      <c r="D28" s="5">
        <f t="shared" ref="D28:J28" si="3">IF((COUNT(D21:D26)-1)*$C$28&lt;0,0,(COUNT(D21:D26)-1)*$C$28)</f>
        <v>0</v>
      </c>
      <c r="E28" s="5">
        <f t="shared" si="3"/>
        <v>250</v>
      </c>
      <c r="F28" s="5">
        <f t="shared" si="3"/>
        <v>500</v>
      </c>
      <c r="G28" s="5">
        <f t="shared" si="3"/>
        <v>250</v>
      </c>
      <c r="H28" s="5">
        <f t="shared" si="3"/>
        <v>500</v>
      </c>
      <c r="I28" s="5">
        <f t="shared" si="3"/>
        <v>250</v>
      </c>
      <c r="J28" s="5">
        <f t="shared" si="3"/>
        <v>250</v>
      </c>
      <c r="K28" s="5"/>
      <c r="L28" s="8"/>
    </row>
    <row r="29" spans="1:12" x14ac:dyDescent="0.25">
      <c r="A29" s="5"/>
      <c r="B29" s="5" t="s">
        <v>80</v>
      </c>
      <c r="C29" s="27">
        <v>5</v>
      </c>
      <c r="D29" s="5">
        <f>D15*$C$29</f>
        <v>0</v>
      </c>
      <c r="E29" s="5">
        <f t="shared" ref="E29:J29" si="4">E15*$C$29</f>
        <v>115</v>
      </c>
      <c r="F29" s="5">
        <f t="shared" si="4"/>
        <v>70</v>
      </c>
      <c r="G29" s="5">
        <f t="shared" si="4"/>
        <v>75</v>
      </c>
      <c r="H29" s="5">
        <f t="shared" si="4"/>
        <v>60</v>
      </c>
      <c r="I29" s="5">
        <f t="shared" si="4"/>
        <v>80</v>
      </c>
      <c r="J29" s="5">
        <f t="shared" si="4"/>
        <v>30</v>
      </c>
      <c r="K29" s="5"/>
      <c r="L29" s="8"/>
    </row>
    <row r="30" spans="1:12" x14ac:dyDescent="0.25">
      <c r="A30" s="5"/>
      <c r="B30" s="5" t="s">
        <v>81</v>
      </c>
      <c r="C30" s="27">
        <v>20</v>
      </c>
      <c r="D30" s="5">
        <f>D16*$C$30</f>
        <v>0</v>
      </c>
      <c r="E30" s="5">
        <f t="shared" ref="E30:J30" si="5">E16*$C$30</f>
        <v>400</v>
      </c>
      <c r="F30" s="5">
        <f t="shared" si="5"/>
        <v>260</v>
      </c>
      <c r="G30" s="5">
        <f t="shared" si="5"/>
        <v>200</v>
      </c>
      <c r="H30" s="5">
        <f t="shared" si="5"/>
        <v>220</v>
      </c>
      <c r="I30" s="5">
        <f t="shared" si="5"/>
        <v>320</v>
      </c>
      <c r="J30" s="5">
        <f t="shared" si="5"/>
        <v>140</v>
      </c>
      <c r="K30" s="5"/>
      <c r="L30" s="8"/>
    </row>
    <row r="31" spans="1:12" x14ac:dyDescent="0.25">
      <c r="A31" s="5"/>
      <c r="B31" s="6"/>
      <c r="C31" s="6"/>
      <c r="D31" s="7"/>
      <c r="E31" s="7"/>
      <c r="F31" s="7"/>
      <c r="G31" s="7"/>
      <c r="H31" s="7"/>
      <c r="I31" s="7"/>
      <c r="J31" s="7"/>
      <c r="K31" s="5"/>
      <c r="L31" s="8"/>
    </row>
  </sheetData>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297B-9CBC-427B-9C05-DE8BC314924C}">
  <dimension ref="A1:H45"/>
  <sheetViews>
    <sheetView view="pageBreakPreview" zoomScale="130" zoomScaleNormal="130" zoomScaleSheetLayoutView="130" workbookViewId="0">
      <selection activeCell="C9" sqref="C9:E9"/>
    </sheetView>
  </sheetViews>
  <sheetFormatPr defaultRowHeight="15" x14ac:dyDescent="0.25"/>
  <cols>
    <col min="1" max="1" width="1.42578125" customWidth="1"/>
    <col min="2" max="2" width="2.85546875" bestFit="1" customWidth="1"/>
    <col min="3" max="3" width="47.42578125" customWidth="1"/>
    <col min="4" max="4" width="11.7109375" customWidth="1"/>
    <col min="5" max="5" width="19.5703125" customWidth="1"/>
    <col min="6" max="6" width="14.42578125" bestFit="1" customWidth="1"/>
    <col min="7" max="7" width="9.85546875" customWidth="1"/>
    <col min="8" max="8" width="1.42578125" customWidth="1"/>
  </cols>
  <sheetData>
    <row r="1" spans="1:8" x14ac:dyDescent="0.25">
      <c r="A1" s="5">
        <v>-1</v>
      </c>
      <c r="B1" s="5"/>
      <c r="C1" s="5"/>
      <c r="D1" s="5"/>
      <c r="E1" s="5"/>
      <c r="F1" s="5"/>
      <c r="G1" s="5"/>
      <c r="H1" s="5"/>
    </row>
    <row r="2" spans="1:8" x14ac:dyDescent="0.25">
      <c r="A2" s="5">
        <v>0</v>
      </c>
      <c r="B2" s="99"/>
      <c r="C2" s="123" t="s">
        <v>180</v>
      </c>
      <c r="D2" s="124"/>
      <c r="E2" s="124"/>
      <c r="F2" s="124"/>
      <c r="G2" s="124"/>
      <c r="H2" s="5"/>
    </row>
    <row r="3" spans="1:8" x14ac:dyDescent="0.25">
      <c r="A3" s="5">
        <v>1</v>
      </c>
      <c r="B3" s="5"/>
      <c r="C3" s="5"/>
      <c r="D3" s="5"/>
      <c r="E3" s="5"/>
      <c r="F3" s="5"/>
      <c r="G3" s="5"/>
      <c r="H3" s="5"/>
    </row>
    <row r="4" spans="1:8" x14ac:dyDescent="0.25">
      <c r="A4" s="5"/>
      <c r="B4" s="5"/>
      <c r="C4" s="153" t="str">
        <f ca="1">"Specificatie"&amp;MID(CELL("bestandsnaam",$A$3),SEARCH("]",CELL("bestandsnaam",$A$3),1)+1,99)</f>
        <v>Specificatieterugkerende kosten</v>
      </c>
      <c r="D4" s="154"/>
      <c r="E4" s="154"/>
      <c r="F4" s="154"/>
      <c r="G4" s="155"/>
      <c r="H4" s="5"/>
    </row>
    <row r="5" spans="1:8" ht="38.25" x14ac:dyDescent="0.25">
      <c r="A5" s="5"/>
      <c r="B5" s="5"/>
      <c r="C5" s="156" t="s">
        <v>120</v>
      </c>
      <c r="D5" s="156"/>
      <c r="E5" s="9" t="s">
        <v>121</v>
      </c>
      <c r="F5" s="9" t="s">
        <v>122</v>
      </c>
      <c r="G5" s="92" t="s">
        <v>123</v>
      </c>
      <c r="H5" s="5"/>
    </row>
    <row r="6" spans="1:8" x14ac:dyDescent="0.25">
      <c r="A6" s="5"/>
      <c r="B6" s="5"/>
      <c r="C6" s="138" t="s">
        <v>124</v>
      </c>
      <c r="D6" s="138"/>
      <c r="E6" s="67">
        <v>1</v>
      </c>
      <c r="F6" s="84">
        <v>0</v>
      </c>
      <c r="G6" s="84">
        <f>F6*E6</f>
        <v>0</v>
      </c>
      <c r="H6" s="5"/>
    </row>
    <row r="7" spans="1:8" x14ac:dyDescent="0.25">
      <c r="A7" s="5"/>
      <c r="B7" s="5"/>
      <c r="C7" s="138" t="str">
        <f ca="1">'PMS en PA'!C93</f>
        <v>Totaal PMS en PA</v>
      </c>
      <c r="D7" s="138"/>
      <c r="E7" s="138"/>
      <c r="F7" s="84">
        <f>'PMS en PA'!F93</f>
        <v>0</v>
      </c>
      <c r="G7" s="5"/>
      <c r="H7" s="5"/>
    </row>
    <row r="8" spans="1:8" x14ac:dyDescent="0.25">
      <c r="A8" s="5"/>
      <c r="B8" s="5"/>
      <c r="C8" s="141" t="str">
        <f>'reserve en diversen'!C27</f>
        <v>Totaal Reserve onderdelen</v>
      </c>
      <c r="D8" s="157"/>
      <c r="E8" s="142"/>
      <c r="F8" s="84">
        <f>'reserve en diversen'!F27</f>
        <v>0</v>
      </c>
      <c r="G8" s="5"/>
      <c r="H8" s="5"/>
    </row>
    <row r="9" spans="1:8" ht="25.5" x14ac:dyDescent="0.25">
      <c r="A9" s="6" t="s">
        <v>125</v>
      </c>
      <c r="B9" s="5"/>
      <c r="C9" s="138" t="s">
        <v>126</v>
      </c>
      <c r="D9" s="138"/>
      <c r="E9" s="138"/>
      <c r="F9" s="4"/>
      <c r="G9" s="5"/>
      <c r="H9" s="5"/>
    </row>
    <row r="10" spans="1:8" x14ac:dyDescent="0.25">
      <c r="A10" s="5"/>
      <c r="B10" s="5"/>
      <c r="C10" s="138" t="s">
        <v>127</v>
      </c>
      <c r="D10" s="138"/>
      <c r="E10" s="47">
        <v>9</v>
      </c>
      <c r="F10" s="84">
        <f>F9*SUM(F7:F8)</f>
        <v>0</v>
      </c>
      <c r="G10" s="84">
        <f>F10*E10</f>
        <v>0</v>
      </c>
      <c r="H10" s="5"/>
    </row>
    <row r="11" spans="1:8" ht="25.5" x14ac:dyDescent="0.25">
      <c r="A11" s="5"/>
      <c r="B11" s="5"/>
      <c r="C11" s="93" t="s">
        <v>128</v>
      </c>
      <c r="D11" s="9" t="s">
        <v>178</v>
      </c>
      <c r="E11" s="9" t="s">
        <v>129</v>
      </c>
      <c r="F11" s="9" t="s">
        <v>121</v>
      </c>
      <c r="G11" s="9" t="s">
        <v>130</v>
      </c>
      <c r="H11" s="5"/>
    </row>
    <row r="12" spans="1:8" x14ac:dyDescent="0.25">
      <c r="A12" s="5"/>
      <c r="B12" s="5"/>
      <c r="C12" s="68" t="s">
        <v>27</v>
      </c>
      <c r="D12" s="144">
        <v>1</v>
      </c>
      <c r="E12" s="146"/>
      <c r="F12" s="148">
        <v>10</v>
      </c>
      <c r="G12" s="150">
        <f>F12*E12</f>
        <v>0</v>
      </c>
      <c r="H12" s="5"/>
    </row>
    <row r="13" spans="1:8" x14ac:dyDescent="0.25">
      <c r="A13" s="5"/>
      <c r="B13" s="5"/>
      <c r="C13" s="68" t="s">
        <v>28</v>
      </c>
      <c r="D13" s="145"/>
      <c r="E13" s="147"/>
      <c r="F13" s="149"/>
      <c r="G13" s="151"/>
      <c r="H13" s="5"/>
    </row>
    <row r="14" spans="1:8" x14ac:dyDescent="0.25">
      <c r="A14" s="5"/>
      <c r="B14" s="5"/>
      <c r="C14" s="68" t="s">
        <v>31</v>
      </c>
      <c r="D14" s="94">
        <v>0</v>
      </c>
      <c r="E14" s="44" t="s">
        <v>32</v>
      </c>
      <c r="F14" s="44" t="s">
        <v>32</v>
      </c>
      <c r="G14" s="44"/>
      <c r="H14" s="5"/>
    </row>
    <row r="15" spans="1:8" x14ac:dyDescent="0.25">
      <c r="A15" s="5"/>
      <c r="B15" s="5"/>
      <c r="C15" s="68" t="s">
        <v>131</v>
      </c>
      <c r="D15" s="94">
        <v>1</v>
      </c>
      <c r="E15" s="2"/>
      <c r="F15" s="67">
        <v>10</v>
      </c>
      <c r="G15" s="84">
        <f>F15*E15</f>
        <v>0</v>
      </c>
      <c r="H15" s="5"/>
    </row>
    <row r="16" spans="1:8" ht="22.5" x14ac:dyDescent="0.25">
      <c r="A16" s="5"/>
      <c r="B16" s="5"/>
      <c r="C16" s="68" t="s">
        <v>132</v>
      </c>
      <c r="D16" s="94">
        <v>1</v>
      </c>
      <c r="E16" s="2"/>
      <c r="F16" s="67">
        <f t="shared" ref="F16:F23" si="0">$E$10+1</f>
        <v>10</v>
      </c>
      <c r="G16" s="84">
        <f>F16*E16</f>
        <v>0</v>
      </c>
      <c r="H16" s="5"/>
    </row>
    <row r="17" spans="1:8" x14ac:dyDescent="0.25">
      <c r="A17" s="5"/>
      <c r="B17" s="5"/>
      <c r="C17" s="68" t="s">
        <v>133</v>
      </c>
      <c r="D17" s="94">
        <v>1</v>
      </c>
      <c r="E17" s="2"/>
      <c r="F17" s="67">
        <f t="shared" si="0"/>
        <v>10</v>
      </c>
      <c r="G17" s="84">
        <f>F17*E17</f>
        <v>0</v>
      </c>
      <c r="H17" s="5"/>
    </row>
    <row r="18" spans="1:8" x14ac:dyDescent="0.25">
      <c r="A18" s="5"/>
      <c r="B18" s="5"/>
      <c r="C18" s="68" t="s">
        <v>134</v>
      </c>
      <c r="D18" s="94">
        <f>SUM('PMS en PA'!E60:E61)</f>
        <v>20</v>
      </c>
      <c r="E18" s="2"/>
      <c r="F18" s="67">
        <f t="shared" si="0"/>
        <v>10</v>
      </c>
      <c r="G18" s="84">
        <f t="shared" ref="G18:G23" si="1">F18*D18*E18</f>
        <v>0</v>
      </c>
      <c r="H18" s="5"/>
    </row>
    <row r="19" spans="1:8" x14ac:dyDescent="0.25">
      <c r="A19" s="5"/>
      <c r="B19" s="5"/>
      <c r="C19" s="68" t="s">
        <v>135</v>
      </c>
      <c r="D19" s="94">
        <f>'PMS en PA'!E21+'PMS en PA'!E34</f>
        <v>10</v>
      </c>
      <c r="E19" s="2"/>
      <c r="F19" s="67">
        <f t="shared" si="0"/>
        <v>10</v>
      </c>
      <c r="G19" s="84">
        <f t="shared" si="1"/>
        <v>0</v>
      </c>
      <c r="H19" s="5"/>
    </row>
    <row r="20" spans="1:8" x14ac:dyDescent="0.25">
      <c r="A20" s="5"/>
      <c r="B20" s="5"/>
      <c r="C20" s="68" t="s">
        <v>136</v>
      </c>
      <c r="D20" s="94">
        <f>'PMS en PA'!E36+'PMS en PA'!E48</f>
        <v>12</v>
      </c>
      <c r="E20" s="2"/>
      <c r="F20" s="67">
        <f t="shared" si="0"/>
        <v>10</v>
      </c>
      <c r="G20" s="84">
        <f t="shared" si="1"/>
        <v>0</v>
      </c>
      <c r="H20" s="5"/>
    </row>
    <row r="21" spans="1:8" x14ac:dyDescent="0.25">
      <c r="A21" s="5"/>
      <c r="B21" s="5"/>
      <c r="C21" s="68" t="s">
        <v>137</v>
      </c>
      <c r="D21" s="94">
        <f>SUM('PMS en PA'!E70:E71)</f>
        <v>6</v>
      </c>
      <c r="E21" s="2"/>
      <c r="F21" s="67">
        <f t="shared" si="0"/>
        <v>10</v>
      </c>
      <c r="G21" s="84">
        <f t="shared" si="1"/>
        <v>0</v>
      </c>
      <c r="H21" s="5"/>
    </row>
    <row r="22" spans="1:8" x14ac:dyDescent="0.25">
      <c r="A22" s="5"/>
      <c r="B22" s="5"/>
      <c r="C22" s="68" t="s">
        <v>138</v>
      </c>
      <c r="D22" s="94">
        <v>1</v>
      </c>
      <c r="E22" s="2"/>
      <c r="F22" s="67">
        <f t="shared" si="0"/>
        <v>10</v>
      </c>
      <c r="G22" s="84">
        <f t="shared" si="1"/>
        <v>0</v>
      </c>
      <c r="H22" s="5"/>
    </row>
    <row r="23" spans="1:8" x14ac:dyDescent="0.25">
      <c r="A23" s="5"/>
      <c r="B23" s="5"/>
      <c r="C23" s="116" t="s">
        <v>36</v>
      </c>
      <c r="D23" s="117">
        <f>'PMS en PA'!E16</f>
        <v>35</v>
      </c>
      <c r="E23" s="2"/>
      <c r="F23" s="67">
        <f t="shared" si="0"/>
        <v>10</v>
      </c>
      <c r="G23" s="84">
        <f t="shared" si="1"/>
        <v>0</v>
      </c>
      <c r="H23" s="5"/>
    </row>
    <row r="24" spans="1:8" ht="25.5" x14ac:dyDescent="0.25">
      <c r="A24" s="5"/>
      <c r="B24" s="5"/>
      <c r="C24" s="139" t="s">
        <v>139</v>
      </c>
      <c r="D24" s="140"/>
      <c r="E24" s="9" t="s">
        <v>140</v>
      </c>
      <c r="F24" s="9" t="s">
        <v>141</v>
      </c>
      <c r="G24" s="9" t="s">
        <v>130</v>
      </c>
      <c r="H24" s="5"/>
    </row>
    <row r="25" spans="1:8" x14ac:dyDescent="0.25">
      <c r="A25" s="5"/>
      <c r="B25" s="5"/>
      <c r="C25" s="95" t="s">
        <v>142</v>
      </c>
      <c r="D25" s="96"/>
      <c r="E25" s="2"/>
      <c r="F25" s="67">
        <v>10</v>
      </c>
      <c r="G25" s="84">
        <f t="shared" ref="G25:G27" si="2">E25*F25</f>
        <v>0</v>
      </c>
      <c r="H25" s="5"/>
    </row>
    <row r="26" spans="1:8" ht="22.5" x14ac:dyDescent="0.25">
      <c r="A26" s="5"/>
      <c r="B26" s="5"/>
      <c r="C26" s="95" t="s">
        <v>143</v>
      </c>
      <c r="D26" s="96"/>
      <c r="E26" s="2"/>
      <c r="F26" s="67">
        <v>10</v>
      </c>
      <c r="G26" s="84">
        <f t="shared" si="2"/>
        <v>0</v>
      </c>
      <c r="H26" s="5"/>
    </row>
    <row r="27" spans="1:8" ht="22.5" x14ac:dyDescent="0.25">
      <c r="A27" s="5"/>
      <c r="B27" s="5"/>
      <c r="C27" s="95" t="s">
        <v>144</v>
      </c>
      <c r="D27" s="96"/>
      <c r="E27" s="2"/>
      <c r="F27" s="67">
        <v>10</v>
      </c>
      <c r="G27" s="84">
        <f t="shared" si="2"/>
        <v>0</v>
      </c>
      <c r="H27" s="5"/>
    </row>
    <row r="28" spans="1:8" x14ac:dyDescent="0.25">
      <c r="A28" s="5"/>
      <c r="B28" s="5"/>
      <c r="C28" s="141" t="s">
        <v>145</v>
      </c>
      <c r="D28" s="142"/>
      <c r="E28" s="2"/>
      <c r="F28" s="67">
        <f>$E$10+1</f>
        <v>10</v>
      </c>
      <c r="G28" s="84">
        <f>E28*F28</f>
        <v>0</v>
      </c>
      <c r="H28" s="5"/>
    </row>
    <row r="29" spans="1:8" x14ac:dyDescent="0.25">
      <c r="A29" s="5"/>
      <c r="B29" s="5"/>
      <c r="C29" s="95" t="s">
        <v>146</v>
      </c>
      <c r="D29" s="96"/>
      <c r="E29" s="2"/>
      <c r="F29" s="67">
        <f>$E$10+1</f>
        <v>10</v>
      </c>
      <c r="G29" s="84">
        <f>E29*F29</f>
        <v>0</v>
      </c>
      <c r="H29" s="5"/>
    </row>
    <row r="30" spans="1:8" x14ac:dyDescent="0.25">
      <c r="A30" s="5"/>
      <c r="B30" s="5"/>
      <c r="C30" s="95" t="s">
        <v>147</v>
      </c>
      <c r="D30" s="96"/>
      <c r="E30" s="2"/>
      <c r="F30" s="67">
        <v>10</v>
      </c>
      <c r="G30" s="84">
        <f>E30*F30</f>
        <v>0</v>
      </c>
      <c r="H30" s="5"/>
    </row>
    <row r="31" spans="1:8" ht="38.25" x14ac:dyDescent="0.25">
      <c r="A31" s="5"/>
      <c r="B31" s="5"/>
      <c r="C31" s="97" t="s">
        <v>148</v>
      </c>
      <c r="D31" s="9" t="s">
        <v>149</v>
      </c>
      <c r="E31" s="98" t="s">
        <v>150</v>
      </c>
      <c r="F31" s="9" t="s">
        <v>121</v>
      </c>
      <c r="G31" s="9" t="s">
        <v>130</v>
      </c>
      <c r="H31" s="5"/>
    </row>
    <row r="32" spans="1:8" ht="22.5" x14ac:dyDescent="0.25">
      <c r="A32" s="5"/>
      <c r="B32" s="5"/>
      <c r="C32" s="68" t="s">
        <v>151</v>
      </c>
      <c r="D32" s="53">
        <v>20</v>
      </c>
      <c r="E32" s="2"/>
      <c r="F32" s="67">
        <f>$E$10+1</f>
        <v>10</v>
      </c>
      <c r="G32" s="84">
        <f>F32*D32*E32</f>
        <v>0</v>
      </c>
      <c r="H32" s="5"/>
    </row>
    <row r="33" spans="1:8" ht="22.5" x14ac:dyDescent="0.25">
      <c r="A33" s="5"/>
      <c r="B33" s="5"/>
      <c r="C33" s="68" t="s">
        <v>152</v>
      </c>
      <c r="D33" s="53">
        <v>10</v>
      </c>
      <c r="E33" s="2"/>
      <c r="F33" s="67">
        <f>$E$10+1</f>
        <v>10</v>
      </c>
      <c r="G33" s="84">
        <f>F33*D33*E33</f>
        <v>0</v>
      </c>
      <c r="H33" s="5"/>
    </row>
    <row r="34" spans="1:8" x14ac:dyDescent="0.25">
      <c r="A34" s="5"/>
      <c r="B34" s="5"/>
      <c r="C34" s="68" t="s">
        <v>153</v>
      </c>
      <c r="D34" s="53">
        <v>5</v>
      </c>
      <c r="E34" s="2"/>
      <c r="F34" s="67">
        <f>$E$10+1</f>
        <v>10</v>
      </c>
      <c r="G34" s="84">
        <f>F34*D34*E34</f>
        <v>0</v>
      </c>
      <c r="H34" s="5"/>
    </row>
    <row r="35" spans="1:8" x14ac:dyDescent="0.25">
      <c r="A35" s="5"/>
      <c r="B35" s="5"/>
      <c r="C35" s="143" t="str">
        <f ca="1">"Totaal "&amp;E10+E6&amp;" jaar "&amp;MID(CELL("bestandsnaam",$A$3),SEARCH("]",CELL("bestandsnaam",$A$3),1)+1,99)</f>
        <v>Totaal 10 jaar terugkerende kosten</v>
      </c>
      <c r="D35" s="143"/>
      <c r="E35" s="143"/>
      <c r="F35" s="143"/>
      <c r="G35" s="63">
        <f>SUM(G6:G34)</f>
        <v>0</v>
      </c>
      <c r="H35" s="5"/>
    </row>
    <row r="36" spans="1:8" x14ac:dyDescent="0.25">
      <c r="A36" s="5"/>
      <c r="B36" s="5"/>
      <c r="C36" s="6"/>
      <c r="D36" s="5"/>
      <c r="E36" s="7"/>
      <c r="F36" s="7"/>
      <c r="G36" s="5"/>
      <c r="H36" s="5"/>
    </row>
    <row r="37" spans="1:8" x14ac:dyDescent="0.25">
      <c r="A37" s="5"/>
      <c r="B37" s="5"/>
      <c r="C37" s="88" t="s">
        <v>13</v>
      </c>
      <c r="D37" s="5"/>
      <c r="E37" s="5"/>
      <c r="F37" s="5"/>
      <c r="G37" s="5"/>
      <c r="H37" s="5"/>
    </row>
    <row r="38" spans="1:8" x14ac:dyDescent="0.25">
      <c r="A38" s="5"/>
      <c r="B38" s="5"/>
      <c r="C38" s="6"/>
      <c r="D38" s="5"/>
      <c r="E38" s="7"/>
      <c r="F38" s="7"/>
      <c r="G38" s="7"/>
      <c r="H38" s="5"/>
    </row>
    <row r="39" spans="1:8" x14ac:dyDescent="0.25">
      <c r="A39" s="5"/>
      <c r="B39" s="5"/>
      <c r="C39" s="152" t="s">
        <v>91</v>
      </c>
      <c r="D39" s="152"/>
      <c r="E39" s="152"/>
      <c r="F39" s="152"/>
      <c r="G39" s="89"/>
      <c r="H39" s="5"/>
    </row>
    <row r="40" spans="1:8" x14ac:dyDescent="0.25">
      <c r="A40" s="5"/>
      <c r="B40" s="5"/>
      <c r="C40" s="90"/>
      <c r="D40" s="90"/>
      <c r="E40" s="90"/>
      <c r="F40" s="90"/>
      <c r="G40" s="90"/>
      <c r="H40" s="5"/>
    </row>
    <row r="41" spans="1:8" ht="38.25" x14ac:dyDescent="0.25">
      <c r="A41" s="5"/>
      <c r="B41" s="6" t="s">
        <v>15</v>
      </c>
      <c r="C41" s="152" t="s">
        <v>154</v>
      </c>
      <c r="D41" s="152"/>
      <c r="E41" s="152"/>
      <c r="F41" s="152"/>
      <c r="G41" s="5"/>
      <c r="H41" s="5"/>
    </row>
    <row r="42" spans="1:8" x14ac:dyDescent="0.25">
      <c r="A42" s="5"/>
      <c r="B42" s="5"/>
      <c r="C42" s="5"/>
      <c r="D42" s="5"/>
      <c r="E42" s="5"/>
      <c r="F42" s="5"/>
      <c r="G42" s="5"/>
      <c r="H42" s="5"/>
    </row>
    <row r="43" spans="1:8" x14ac:dyDescent="0.25">
      <c r="A43" s="5"/>
      <c r="B43" s="5"/>
      <c r="C43" s="136" t="s">
        <v>94</v>
      </c>
      <c r="D43" s="136"/>
      <c r="E43" s="136"/>
      <c r="F43" s="136"/>
      <c r="G43" s="5"/>
      <c r="H43" s="5"/>
    </row>
    <row r="44" spans="1:8" x14ac:dyDescent="0.25">
      <c r="A44" s="5"/>
      <c r="B44" s="5"/>
      <c r="C44" s="118" t="str">
        <f>'PMS en PA'!C117</f>
        <v>Alle prijzen op basis prijspeil 1-1-2023, exclusief btw.</v>
      </c>
      <c r="D44" s="137"/>
      <c r="E44" s="137"/>
      <c r="F44" s="137"/>
      <c r="G44" s="119"/>
      <c r="H44" s="5"/>
    </row>
    <row r="45" spans="1:8" x14ac:dyDescent="0.25">
      <c r="A45" s="5"/>
      <c r="B45" s="5"/>
      <c r="C45" s="5"/>
      <c r="D45" s="5"/>
      <c r="E45" s="5"/>
      <c r="F45" s="5"/>
      <c r="G45" s="5"/>
      <c r="H45" s="5"/>
    </row>
  </sheetData>
  <sheetProtection algorithmName="SHA-512" hashValue="+tT7TEXso7Y+RFIK7w2W9wjCviOQQ8tAURiYT61ExybybU6yX69TToo2LPMWoFh1/YpYoPegHeyt6GP+xhjhfw==" saltValue="Ml8KEIv3S1QkMuAR33cm2Q==" spinCount="100000" sheet="1" objects="1" scenarios="1"/>
  <mergeCells count="19">
    <mergeCell ref="C6:D6"/>
    <mergeCell ref="C7:E7"/>
    <mergeCell ref="C8:E8"/>
    <mergeCell ref="C2:G2"/>
    <mergeCell ref="C43:F43"/>
    <mergeCell ref="C44:G44"/>
    <mergeCell ref="C10:D10"/>
    <mergeCell ref="C24:D24"/>
    <mergeCell ref="C28:D28"/>
    <mergeCell ref="C35:F35"/>
    <mergeCell ref="D12:D13"/>
    <mergeCell ref="E12:E13"/>
    <mergeCell ref="F12:F13"/>
    <mergeCell ref="G12:G13"/>
    <mergeCell ref="C39:F39"/>
    <mergeCell ref="C41:F41"/>
    <mergeCell ref="C9:E9"/>
    <mergeCell ref="C4:G4"/>
    <mergeCell ref="C5:D5"/>
  </mergeCells>
  <phoneticPr fontId="12" type="noConversion"/>
  <pageMargins left="0.7" right="0.7" top="0.75" bottom="0.75" header="0.3" footer="0.3"/>
  <pageSetup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E8D93-DDC2-4BB9-9FB3-8B3F12A0B652}">
  <dimension ref="A1:H55"/>
  <sheetViews>
    <sheetView view="pageBreakPreview" zoomScaleNormal="130" zoomScaleSheetLayoutView="100" workbookViewId="0">
      <selection activeCell="C29" sqref="C29"/>
    </sheetView>
  </sheetViews>
  <sheetFormatPr defaultRowHeight="15" x14ac:dyDescent="0.25"/>
  <cols>
    <col min="1" max="1" width="1.42578125" customWidth="1"/>
    <col min="2" max="2" width="2.85546875" bestFit="1" customWidth="1"/>
    <col min="3" max="3" width="62.85546875" customWidth="1"/>
    <col min="4" max="4" width="9.85546875" customWidth="1"/>
    <col min="5" max="5" width="12" customWidth="1"/>
    <col min="6" max="6" width="9.85546875" customWidth="1"/>
    <col min="7" max="7" width="1.42578125" customWidth="1"/>
    <col min="8" max="8" width="90.5703125" customWidth="1"/>
  </cols>
  <sheetData>
    <row r="1" spans="1:7" x14ac:dyDescent="0.25">
      <c r="A1" s="5"/>
      <c r="B1" s="5"/>
      <c r="C1" s="5"/>
      <c r="D1" s="5"/>
      <c r="E1" s="5"/>
      <c r="F1" s="5"/>
      <c r="G1" s="5"/>
    </row>
    <row r="2" spans="1:7" ht="15" customHeight="1" x14ac:dyDescent="0.25">
      <c r="A2" s="5"/>
      <c r="B2" s="99"/>
      <c r="C2" s="121" t="s">
        <v>180</v>
      </c>
      <c r="D2" s="158"/>
      <c r="E2" s="158"/>
      <c r="F2" s="122"/>
      <c r="G2" s="5"/>
    </row>
    <row r="3" spans="1:7" x14ac:dyDescent="0.25">
      <c r="A3" s="5"/>
      <c r="B3" s="5"/>
      <c r="C3" s="5"/>
      <c r="D3" s="5"/>
      <c r="E3" s="5"/>
      <c r="F3" s="5"/>
      <c r="G3" s="5"/>
    </row>
    <row r="4" spans="1:7" x14ac:dyDescent="0.25">
      <c r="A4" s="5"/>
      <c r="B4" s="5"/>
      <c r="C4" s="162" t="str">
        <f ca="1">"Specificatie "&amp;MID(CELL("bestandsnaam",$A$3),SEARCH("]",CELL("bestandsnaam",$A$3),1)+1,99)</f>
        <v>Specificatie reserve en diversen</v>
      </c>
      <c r="D4" s="162"/>
      <c r="E4" s="162"/>
      <c r="F4" s="162"/>
      <c r="G4" s="5"/>
    </row>
    <row r="5" spans="1:7" x14ac:dyDescent="0.25">
      <c r="A5" s="5"/>
      <c r="B5" s="5"/>
      <c r="C5" s="81" t="s">
        <v>155</v>
      </c>
      <c r="D5" s="81" t="s">
        <v>156</v>
      </c>
      <c r="E5" s="81" t="s">
        <v>157</v>
      </c>
      <c r="F5" s="81" t="s">
        <v>130</v>
      </c>
      <c r="G5" s="5"/>
    </row>
    <row r="6" spans="1:7" x14ac:dyDescent="0.25">
      <c r="A6" s="5"/>
      <c r="B6" s="82">
        <f>MAX('PMS en PA'!B:B)+1</f>
        <v>40</v>
      </c>
      <c r="C6" s="16" t="s">
        <v>158</v>
      </c>
      <c r="D6" s="2"/>
      <c r="E6" s="83">
        <v>6</v>
      </c>
      <c r="F6" s="84">
        <f t="shared" ref="F6:F26" si="0">D6*E6</f>
        <v>0</v>
      </c>
      <c r="G6" s="5"/>
    </row>
    <row r="7" spans="1:7" x14ac:dyDescent="0.25">
      <c r="A7" s="5"/>
      <c r="B7" s="82">
        <f>B6+1</f>
        <v>41</v>
      </c>
      <c r="C7" s="16" t="s">
        <v>159</v>
      </c>
      <c r="D7" s="2"/>
      <c r="E7" s="83">
        <v>6</v>
      </c>
      <c r="F7" s="84">
        <f t="shared" si="0"/>
        <v>0</v>
      </c>
      <c r="G7" s="5"/>
    </row>
    <row r="8" spans="1:7" x14ac:dyDescent="0.25">
      <c r="A8" s="5"/>
      <c r="B8" s="82">
        <f t="shared" ref="B8:B26" si="1">B7+1</f>
        <v>42</v>
      </c>
      <c r="C8" s="16" t="s">
        <v>160</v>
      </c>
      <c r="D8" s="2"/>
      <c r="E8" s="83">
        <v>5</v>
      </c>
      <c r="F8" s="84">
        <f t="shared" si="0"/>
        <v>0</v>
      </c>
      <c r="G8" s="5"/>
    </row>
    <row r="9" spans="1:7" x14ac:dyDescent="0.25">
      <c r="A9" s="5"/>
      <c r="B9" s="82">
        <f>B8+1</f>
        <v>43</v>
      </c>
      <c r="C9" s="16" t="s">
        <v>161</v>
      </c>
      <c r="D9" s="2"/>
      <c r="E9" s="83">
        <v>6</v>
      </c>
      <c r="F9" s="84">
        <f t="shared" si="0"/>
        <v>0</v>
      </c>
      <c r="G9" s="5"/>
    </row>
    <row r="10" spans="1:7" ht="22.5" x14ac:dyDescent="0.25">
      <c r="A10" s="5"/>
      <c r="B10" s="82">
        <f t="shared" si="1"/>
        <v>44</v>
      </c>
      <c r="C10" s="16" t="s">
        <v>162</v>
      </c>
      <c r="D10" s="2"/>
      <c r="E10" s="83">
        <v>6</v>
      </c>
      <c r="F10" s="84">
        <f t="shared" si="0"/>
        <v>0</v>
      </c>
      <c r="G10" s="5"/>
    </row>
    <row r="11" spans="1:7" ht="22.5" x14ac:dyDescent="0.25">
      <c r="A11" s="5"/>
      <c r="B11" s="82">
        <f t="shared" si="1"/>
        <v>45</v>
      </c>
      <c r="C11" s="16" t="s">
        <v>163</v>
      </c>
      <c r="D11" s="2"/>
      <c r="E11" s="83">
        <v>6</v>
      </c>
      <c r="F11" s="84">
        <f t="shared" si="0"/>
        <v>0</v>
      </c>
      <c r="G11" s="5"/>
    </row>
    <row r="12" spans="1:7" ht="22.5" x14ac:dyDescent="0.25">
      <c r="A12" s="5"/>
      <c r="B12" s="82">
        <f>B11+1</f>
        <v>46</v>
      </c>
      <c r="C12" s="16" t="s">
        <v>164</v>
      </c>
      <c r="D12" s="2"/>
      <c r="E12" s="83">
        <v>6</v>
      </c>
      <c r="F12" s="84">
        <f t="shared" si="0"/>
        <v>0</v>
      </c>
      <c r="G12" s="5"/>
    </row>
    <row r="13" spans="1:7" hidden="1" x14ac:dyDescent="0.25">
      <c r="A13" s="5"/>
      <c r="B13" s="82">
        <f t="shared" si="1"/>
        <v>47</v>
      </c>
      <c r="C13" s="85"/>
      <c r="D13" s="66"/>
      <c r="E13" s="86"/>
      <c r="F13" s="11">
        <f t="shared" si="0"/>
        <v>0</v>
      </c>
      <c r="G13" s="5"/>
    </row>
    <row r="14" spans="1:7" hidden="1" x14ac:dyDescent="0.25">
      <c r="A14" s="5"/>
      <c r="B14" s="82">
        <f t="shared" si="1"/>
        <v>48</v>
      </c>
      <c r="C14" s="85"/>
      <c r="D14" s="66"/>
      <c r="E14" s="86"/>
      <c r="F14" s="11">
        <f t="shared" si="0"/>
        <v>0</v>
      </c>
      <c r="G14" s="5"/>
    </row>
    <row r="15" spans="1:7" hidden="1" x14ac:dyDescent="0.25">
      <c r="A15" s="5"/>
      <c r="B15" s="82">
        <f t="shared" si="1"/>
        <v>49</v>
      </c>
      <c r="C15" s="85"/>
      <c r="D15" s="66"/>
      <c r="E15" s="86"/>
      <c r="F15" s="11">
        <f t="shared" si="0"/>
        <v>0</v>
      </c>
      <c r="G15" s="5"/>
    </row>
    <row r="16" spans="1:7" hidden="1" x14ac:dyDescent="0.25">
      <c r="A16" s="5"/>
      <c r="B16" s="82">
        <f t="shared" si="1"/>
        <v>50</v>
      </c>
      <c r="C16" s="85"/>
      <c r="D16" s="66"/>
      <c r="E16" s="86"/>
      <c r="F16" s="11">
        <f t="shared" si="0"/>
        <v>0</v>
      </c>
      <c r="G16" s="5"/>
    </row>
    <row r="17" spans="1:8" hidden="1" x14ac:dyDescent="0.25">
      <c r="A17" s="5"/>
      <c r="B17" s="82">
        <f t="shared" si="1"/>
        <v>51</v>
      </c>
      <c r="C17" s="85"/>
      <c r="D17" s="66"/>
      <c r="E17" s="86"/>
      <c r="F17" s="11">
        <f t="shared" si="0"/>
        <v>0</v>
      </c>
      <c r="G17" s="5"/>
    </row>
    <row r="18" spans="1:8" hidden="1" x14ac:dyDescent="0.25">
      <c r="A18" s="5"/>
      <c r="B18" s="82">
        <f t="shared" si="1"/>
        <v>52</v>
      </c>
      <c r="C18" s="85"/>
      <c r="D18" s="66"/>
      <c r="E18" s="86"/>
      <c r="F18" s="11">
        <f t="shared" si="0"/>
        <v>0</v>
      </c>
      <c r="G18" s="5"/>
    </row>
    <row r="19" spans="1:8" hidden="1" x14ac:dyDescent="0.25">
      <c r="A19" s="5"/>
      <c r="B19" s="82">
        <f t="shared" si="1"/>
        <v>53</v>
      </c>
      <c r="C19" s="85"/>
      <c r="D19" s="66"/>
      <c r="E19" s="86"/>
      <c r="F19" s="11">
        <f t="shared" si="0"/>
        <v>0</v>
      </c>
      <c r="G19" s="5"/>
    </row>
    <row r="20" spans="1:8" hidden="1" x14ac:dyDescent="0.25">
      <c r="A20" s="5"/>
      <c r="B20" s="82">
        <f t="shared" si="1"/>
        <v>54</v>
      </c>
      <c r="C20" s="85"/>
      <c r="D20" s="66"/>
      <c r="E20" s="86"/>
      <c r="F20" s="11">
        <f t="shared" si="0"/>
        <v>0</v>
      </c>
      <c r="G20" s="5"/>
    </row>
    <row r="21" spans="1:8" hidden="1" x14ac:dyDescent="0.25">
      <c r="A21" s="5"/>
      <c r="B21" s="82">
        <f t="shared" si="1"/>
        <v>55</v>
      </c>
      <c r="C21" s="85"/>
      <c r="D21" s="66"/>
      <c r="E21" s="86"/>
      <c r="F21" s="11">
        <f t="shared" si="0"/>
        <v>0</v>
      </c>
      <c r="G21" s="5"/>
    </row>
    <row r="22" spans="1:8" hidden="1" x14ac:dyDescent="0.25">
      <c r="A22" s="5"/>
      <c r="B22" s="82">
        <f t="shared" si="1"/>
        <v>56</v>
      </c>
      <c r="C22" s="85"/>
      <c r="D22" s="66"/>
      <c r="E22" s="86"/>
      <c r="F22" s="11">
        <f t="shared" si="0"/>
        <v>0</v>
      </c>
      <c r="G22" s="5"/>
    </row>
    <row r="23" spans="1:8" hidden="1" x14ac:dyDescent="0.25">
      <c r="A23" s="5"/>
      <c r="B23" s="82">
        <f t="shared" si="1"/>
        <v>57</v>
      </c>
      <c r="C23" s="85"/>
      <c r="D23" s="66"/>
      <c r="E23" s="86"/>
      <c r="F23" s="11">
        <f t="shared" si="0"/>
        <v>0</v>
      </c>
      <c r="G23" s="5"/>
    </row>
    <row r="24" spans="1:8" hidden="1" x14ac:dyDescent="0.25">
      <c r="A24" s="5"/>
      <c r="B24" s="82">
        <f t="shared" si="1"/>
        <v>58</v>
      </c>
      <c r="C24" s="85"/>
      <c r="D24" s="66"/>
      <c r="E24" s="86"/>
      <c r="F24" s="11">
        <f t="shared" si="0"/>
        <v>0</v>
      </c>
      <c r="G24" s="5"/>
    </row>
    <row r="25" spans="1:8" hidden="1" x14ac:dyDescent="0.25">
      <c r="A25" s="5"/>
      <c r="B25" s="82">
        <f t="shared" si="1"/>
        <v>59</v>
      </c>
      <c r="C25" s="85"/>
      <c r="D25" s="66"/>
      <c r="E25" s="86"/>
      <c r="F25" s="11">
        <f t="shared" si="0"/>
        <v>0</v>
      </c>
      <c r="G25" s="5"/>
    </row>
    <row r="26" spans="1:8" hidden="1" x14ac:dyDescent="0.25">
      <c r="A26" s="5"/>
      <c r="B26" s="82">
        <f t="shared" si="1"/>
        <v>60</v>
      </c>
      <c r="C26" s="85"/>
      <c r="D26" s="66"/>
      <c r="E26" s="86"/>
      <c r="F26" s="11">
        <f t="shared" si="0"/>
        <v>0</v>
      </c>
      <c r="G26" s="5"/>
    </row>
    <row r="27" spans="1:8" x14ac:dyDescent="0.25">
      <c r="A27" s="5"/>
      <c r="B27" s="5"/>
      <c r="C27" s="143" t="s">
        <v>165</v>
      </c>
      <c r="D27" s="143"/>
      <c r="E27" s="143"/>
      <c r="F27" s="63">
        <f>SUM(F6:F26)</f>
        <v>0</v>
      </c>
      <c r="G27" s="5"/>
    </row>
    <row r="28" spans="1:8" x14ac:dyDescent="0.25">
      <c r="A28" s="5"/>
      <c r="B28" s="5"/>
      <c r="C28" s="5"/>
      <c r="D28" s="5"/>
      <c r="E28" s="5"/>
      <c r="F28" s="5"/>
      <c r="G28" s="5"/>
    </row>
    <row r="29" spans="1:8" x14ac:dyDescent="0.25">
      <c r="A29" s="5"/>
      <c r="B29" s="5"/>
      <c r="C29" s="5"/>
      <c r="D29" s="5"/>
      <c r="E29" s="5"/>
      <c r="F29" s="5"/>
      <c r="G29" s="5"/>
    </row>
    <row r="30" spans="1:8" ht="36" x14ac:dyDescent="0.25">
      <c r="A30" s="5"/>
      <c r="B30" s="5"/>
      <c r="C30" s="81" t="s">
        <v>166</v>
      </c>
      <c r="D30" s="81" t="s">
        <v>156</v>
      </c>
      <c r="E30" s="81" t="s">
        <v>167</v>
      </c>
      <c r="F30" s="81" t="s">
        <v>130</v>
      </c>
      <c r="G30" s="5"/>
    </row>
    <row r="31" spans="1:8" x14ac:dyDescent="0.25">
      <c r="A31" s="5"/>
      <c r="B31" s="82">
        <f>B26+1</f>
        <v>61</v>
      </c>
      <c r="C31" s="16" t="s">
        <v>168</v>
      </c>
      <c r="D31" s="2"/>
      <c r="E31" s="83">
        <v>5</v>
      </c>
      <c r="F31" s="84">
        <f t="shared" ref="F31:F38" si="2">D31*E31</f>
        <v>0</v>
      </c>
      <c r="G31" s="5"/>
      <c r="H31" s="87"/>
    </row>
    <row r="32" spans="1:8" ht="22.5" x14ac:dyDescent="0.25">
      <c r="A32" s="5"/>
      <c r="B32" s="82">
        <f t="shared" ref="B32:B38" si="3">B31+1</f>
        <v>62</v>
      </c>
      <c r="C32" s="16" t="s">
        <v>169</v>
      </c>
      <c r="D32" s="2"/>
      <c r="E32" s="83">
        <v>3</v>
      </c>
      <c r="F32" s="84">
        <f t="shared" si="2"/>
        <v>0</v>
      </c>
      <c r="G32" s="5"/>
    </row>
    <row r="33" spans="1:7" x14ac:dyDescent="0.25">
      <c r="A33" s="5"/>
      <c r="B33" s="82">
        <f>B32+1</f>
        <v>63</v>
      </c>
      <c r="C33" s="14"/>
      <c r="D33" s="2"/>
      <c r="E33" s="3"/>
      <c r="F33" s="11">
        <f t="shared" si="2"/>
        <v>0</v>
      </c>
      <c r="G33" s="5"/>
    </row>
    <row r="34" spans="1:7" x14ac:dyDescent="0.25">
      <c r="A34" s="5"/>
      <c r="B34" s="82">
        <f t="shared" si="3"/>
        <v>64</v>
      </c>
      <c r="C34" s="14"/>
      <c r="D34" s="2"/>
      <c r="E34" s="3"/>
      <c r="F34" s="11">
        <f t="shared" si="2"/>
        <v>0</v>
      </c>
      <c r="G34" s="5"/>
    </row>
    <row r="35" spans="1:7" x14ac:dyDescent="0.25">
      <c r="A35" s="5"/>
      <c r="B35" s="82">
        <f t="shared" si="3"/>
        <v>65</v>
      </c>
      <c r="C35" s="14"/>
      <c r="D35" s="2"/>
      <c r="E35" s="3"/>
      <c r="F35" s="11">
        <f t="shared" si="2"/>
        <v>0</v>
      </c>
      <c r="G35" s="5"/>
    </row>
    <row r="36" spans="1:7" x14ac:dyDescent="0.25">
      <c r="A36" s="5"/>
      <c r="B36" s="82">
        <f t="shared" si="3"/>
        <v>66</v>
      </c>
      <c r="C36" s="14"/>
      <c r="D36" s="2"/>
      <c r="E36" s="3"/>
      <c r="F36" s="11">
        <f t="shared" si="2"/>
        <v>0</v>
      </c>
      <c r="G36" s="5"/>
    </row>
    <row r="37" spans="1:7" x14ac:dyDescent="0.25">
      <c r="A37" s="5"/>
      <c r="B37" s="82">
        <f t="shared" si="3"/>
        <v>67</v>
      </c>
      <c r="C37" s="14"/>
      <c r="D37" s="2"/>
      <c r="E37" s="3"/>
      <c r="F37" s="11">
        <f t="shared" si="2"/>
        <v>0</v>
      </c>
      <c r="G37" s="5"/>
    </row>
    <row r="38" spans="1:7" x14ac:dyDescent="0.25">
      <c r="A38" s="5"/>
      <c r="B38" s="82">
        <f t="shared" si="3"/>
        <v>68</v>
      </c>
      <c r="C38" s="14"/>
      <c r="D38" s="2"/>
      <c r="E38" s="3"/>
      <c r="F38" s="11">
        <f t="shared" si="2"/>
        <v>0</v>
      </c>
      <c r="G38" s="5"/>
    </row>
    <row r="39" spans="1:7" x14ac:dyDescent="0.25">
      <c r="A39" s="5"/>
      <c r="B39" s="5"/>
      <c r="C39" s="159" t="s">
        <v>170</v>
      </c>
      <c r="D39" s="160"/>
      <c r="E39" s="161"/>
      <c r="F39" s="63">
        <f>SUM(F31:F38)</f>
        <v>0</v>
      </c>
      <c r="G39" s="5"/>
    </row>
    <row r="40" spans="1:7" x14ac:dyDescent="0.25">
      <c r="A40" s="5"/>
      <c r="B40" s="5"/>
      <c r="C40" s="5"/>
      <c r="D40" s="5"/>
      <c r="E40" s="5"/>
      <c r="F40" s="5"/>
      <c r="G40" s="5"/>
    </row>
    <row r="41" spans="1:7" ht="14.25" customHeight="1" x14ac:dyDescent="0.25">
      <c r="A41" s="5"/>
      <c r="B41" s="5"/>
      <c r="C41" s="159" t="s">
        <v>171</v>
      </c>
      <c r="D41" s="160"/>
      <c r="E41" s="161"/>
      <c r="F41" s="81" t="s">
        <v>130</v>
      </c>
      <c r="G41" s="5"/>
    </row>
    <row r="42" spans="1:7" x14ac:dyDescent="0.25">
      <c r="A42" s="5"/>
      <c r="B42" s="5"/>
      <c r="C42" s="141" t="str">
        <f ca="1">C4</f>
        <v>Specificatie reserve en diversen</v>
      </c>
      <c r="D42" s="157"/>
      <c r="E42" s="142"/>
      <c r="F42" s="84">
        <f>F27</f>
        <v>0</v>
      </c>
      <c r="G42" s="5"/>
    </row>
    <row r="43" spans="1:7" x14ac:dyDescent="0.25">
      <c r="A43" s="5"/>
      <c r="B43" s="5"/>
      <c r="C43" s="141" t="str">
        <f>C30</f>
        <v>Specificatie diversen,  aantal is forfaittair</v>
      </c>
      <c r="D43" s="157"/>
      <c r="E43" s="142"/>
      <c r="F43" s="84">
        <f>F39</f>
        <v>0</v>
      </c>
      <c r="G43" s="5"/>
    </row>
    <row r="44" spans="1:7" x14ac:dyDescent="0.25">
      <c r="A44" s="5"/>
      <c r="B44" s="5"/>
      <c r="C44" s="159" t="str">
        <f ca="1">"Totaal "&amp;MID(CELL("bestandsnaam",$A$3),SEARCH("]",CELL("bestandsnaam",$A$3),1)+1,99)</f>
        <v>Totaal reserve en diversen</v>
      </c>
      <c r="D44" s="160"/>
      <c r="E44" s="161"/>
      <c r="F44" s="63">
        <f>SUM(F42:F43)</f>
        <v>0</v>
      </c>
      <c r="G44" s="5"/>
    </row>
    <row r="45" spans="1:7" x14ac:dyDescent="0.25">
      <c r="A45" s="5"/>
      <c r="B45" s="5"/>
      <c r="C45" s="5"/>
      <c r="D45" s="5"/>
      <c r="E45" s="5"/>
      <c r="F45" s="5"/>
      <c r="G45" s="5"/>
    </row>
    <row r="46" spans="1:7" x14ac:dyDescent="0.25">
      <c r="A46" s="5"/>
      <c r="B46" s="5"/>
      <c r="C46" s="88" t="s">
        <v>13</v>
      </c>
      <c r="D46" s="5"/>
      <c r="E46" s="5"/>
      <c r="F46" s="5"/>
      <c r="G46" s="5"/>
    </row>
    <row r="47" spans="1:7" x14ac:dyDescent="0.25">
      <c r="A47" s="5"/>
      <c r="B47" s="5"/>
      <c r="C47" s="6"/>
      <c r="D47" s="5"/>
      <c r="E47" s="7"/>
      <c r="F47" s="7"/>
      <c r="G47" s="7"/>
    </row>
    <row r="48" spans="1:7" x14ac:dyDescent="0.25">
      <c r="A48" s="5"/>
      <c r="B48" s="5"/>
      <c r="C48" s="152" t="s">
        <v>91</v>
      </c>
      <c r="D48" s="152"/>
      <c r="E48" s="152"/>
      <c r="F48" s="152"/>
      <c r="G48" s="89"/>
    </row>
    <row r="49" spans="1:7" x14ac:dyDescent="0.25">
      <c r="A49" s="5"/>
      <c r="B49" s="5"/>
      <c r="C49" s="90"/>
      <c r="D49" s="90"/>
      <c r="E49" s="90"/>
      <c r="F49" s="90"/>
      <c r="G49" s="90"/>
    </row>
    <row r="50" spans="1:7" ht="38.25" x14ac:dyDescent="0.25">
      <c r="A50" s="5"/>
      <c r="B50" s="6" t="s">
        <v>15</v>
      </c>
      <c r="C50" s="152" t="s">
        <v>154</v>
      </c>
      <c r="D50" s="152"/>
      <c r="E50" s="152"/>
      <c r="F50" s="152"/>
      <c r="G50" s="5"/>
    </row>
    <row r="51" spans="1:7" x14ac:dyDescent="0.25">
      <c r="A51" s="5"/>
      <c r="B51" s="5"/>
      <c r="C51" s="5"/>
      <c r="D51" s="5"/>
      <c r="E51" s="5"/>
      <c r="F51" s="5"/>
      <c r="G51" s="5"/>
    </row>
    <row r="52" spans="1:7" x14ac:dyDescent="0.25">
      <c r="A52" s="5"/>
      <c r="B52" s="5"/>
      <c r="C52" s="136" t="s">
        <v>94</v>
      </c>
      <c r="D52" s="136"/>
      <c r="E52" s="136"/>
      <c r="F52" s="136"/>
      <c r="G52" s="5"/>
    </row>
    <row r="53" spans="1:7" x14ac:dyDescent="0.25">
      <c r="A53" s="5"/>
      <c r="B53" s="5"/>
      <c r="C53" s="91"/>
      <c r="D53" s="91"/>
      <c r="E53" s="91"/>
      <c r="F53" s="91"/>
      <c r="G53" s="5"/>
    </row>
    <row r="54" spans="1:7" x14ac:dyDescent="0.25">
      <c r="A54" s="5"/>
      <c r="B54" s="5"/>
      <c r="C54" s="118" t="str">
        <f>'PMS en PA'!C117</f>
        <v>Alle prijzen op basis prijspeil 1-1-2023, exclusief btw.</v>
      </c>
      <c r="D54" s="137"/>
      <c r="E54" s="137"/>
      <c r="F54" s="119"/>
      <c r="G54" s="5"/>
    </row>
    <row r="55" spans="1:7" x14ac:dyDescent="0.25">
      <c r="A55" s="5"/>
      <c r="B55" s="5"/>
      <c r="C55" s="5"/>
      <c r="D55" s="5"/>
      <c r="E55" s="5"/>
      <c r="F55" s="5"/>
      <c r="G55" s="5"/>
    </row>
  </sheetData>
  <sheetProtection algorithmName="SHA-512" hashValue="mDEqVzYPrmMd1G24Eu1H3/qYhHZV5qGuEFWb5IU/qIQAbryEJw91OnKnxcalt16+3W4FtAh/V/DSOQH9H5ucbA==" saltValue="C7NvOHIMnBs2mfYgcNQTOg==" spinCount="100000" sheet="1" objects="1" scenarios="1"/>
  <mergeCells count="12">
    <mergeCell ref="C54:F54"/>
    <mergeCell ref="C43:E43"/>
    <mergeCell ref="C4:F4"/>
    <mergeCell ref="C27:E27"/>
    <mergeCell ref="C39:E39"/>
    <mergeCell ref="C41:E41"/>
    <mergeCell ref="C42:E42"/>
    <mergeCell ref="C2:F2"/>
    <mergeCell ref="C44:E44"/>
    <mergeCell ref="C48:F48"/>
    <mergeCell ref="C50:F50"/>
    <mergeCell ref="C52:F52"/>
  </mergeCells>
  <phoneticPr fontId="12" type="noConversion"/>
  <pageMargins left="0.7" right="0.7" top="0.75" bottom="0.75" header="0.3" footer="0.3"/>
  <pageSetup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C6FF0E9264AC4397E27137672C049C" ma:contentTypeVersion="4" ma:contentTypeDescription="Een nieuw document maken." ma:contentTypeScope="" ma:versionID="838b91adaa5d6848d00db0f9aed05d49">
  <xsd:schema xmlns:xsd="http://www.w3.org/2001/XMLSchema" xmlns:xs="http://www.w3.org/2001/XMLSchema" xmlns:p="http://schemas.microsoft.com/office/2006/metadata/properties" xmlns:ns2="853c2494-43da-484a-a76e-5e7cf9e47299" xmlns:ns3="e51d0b1d-6dd7-4dea-9fb2-7a66e69f6142" targetNamespace="http://schemas.microsoft.com/office/2006/metadata/properties" ma:root="true" ma:fieldsID="7c2612e298534a39e0f869d27c7bde5c" ns2:_="" ns3:_="">
    <xsd:import namespace="853c2494-43da-484a-a76e-5e7cf9e47299"/>
    <xsd:import namespace="e51d0b1d-6dd7-4dea-9fb2-7a66e69f61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c2494-43da-484a-a76e-5e7cf9e47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1d0b1d-6dd7-4dea-9fb2-7a66e69f61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90A1D5-1556-4A99-9224-15D43C1CC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3c2494-43da-484a-a76e-5e7cf9e47299"/>
    <ds:schemaRef ds:uri="e51d0b1d-6dd7-4dea-9fb2-7a66e69f61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C61A5D-3832-4BBE-B81D-1CFF4922EB63}">
  <ds:schemaRefs>
    <ds:schemaRef ds:uri="http://schemas.microsoft.com/sharepoint/v3/contenttype/forms"/>
  </ds:schemaRefs>
</ds:datastoreItem>
</file>

<file path=customXml/itemProps3.xml><?xml version="1.0" encoding="utf-8"?>
<ds:datastoreItem xmlns:ds="http://schemas.openxmlformats.org/officeDocument/2006/customXml" ds:itemID="{9A2C671D-0B0D-4D5B-8C8D-8985F33E8CD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Totaalblad</vt:lpstr>
      <vt:lpstr>PMS en PA</vt:lpstr>
      <vt:lpstr>Aannames tbv netwerk</vt:lpstr>
      <vt:lpstr>terugkerende kosten</vt:lpstr>
      <vt:lpstr>reserve en diversen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Riemslag;Spark</dc:creator>
  <cp:keywords/>
  <dc:description/>
  <cp:lastModifiedBy>Mark Riemslag</cp:lastModifiedBy>
  <cp:revision/>
  <dcterms:created xsi:type="dcterms:W3CDTF">2020-10-23T11:39:55Z</dcterms:created>
  <dcterms:modified xsi:type="dcterms:W3CDTF">2022-04-29T07:32:50Z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0x01010097C6FF0E9264AC4397E27137672C049C</vt:lpwstr>
  </property>
  <property fmtid="{D5CDD505-2E9C-101B-9397-08002B2CF9AE}" pid="3" name="_AdHocReviewCycleID">
    <vt:i4>1101688896</vt:i4>
  </property>
  <property fmtid="{D5CDD505-2E9C-101B-9397-08002B2CF9AE}" pid="4" name="_NewReviewCycle">
    <vt:lpwstr/>
  </property>
  <property fmtid="{D5CDD505-2E9C-101B-9397-08002B2CF9AE}" pid="5" name="_EmailSubject">
    <vt:lpwstr>Documenten te bespreken</vt:lpwstr>
  </property>
  <property fmtid="{D5CDD505-2E9C-101B-9397-08002B2CF9AE}" pid="6" name="_AuthorEmail">
    <vt:lpwstr>m.enright@zorgservicexl.nl</vt:lpwstr>
  </property>
  <property fmtid="{D5CDD505-2E9C-101B-9397-08002B2CF9AE}" pid="7" name="_AuthorEmailDisplayName">
    <vt:lpwstr>Michelle Enright</vt:lpwstr>
  </property>
  <property fmtid="{D5CDD505-2E9C-101B-9397-08002B2CF9AE}" pid="8" name="_ReviewingToolsShownOnce">
    <vt:lpwstr/>
  </property>
  <property fmtid="{D5CDD505-2E9C-101B-9397-08002B2CF9AE}" pid="9" name="MediaServiceImageTags">
    <vt:lpwstr/>
  </property>
</Properties>
</file>