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updateLinks="never"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Gemeente Hengelo/Schoonmaak 2022/Bestek/"/>
    </mc:Choice>
  </mc:AlternateContent>
  <xr:revisionPtr revIDLastSave="445" documentId="8_{56B311C6-D70D-4F81-B994-CFF53770914A}" xr6:coauthVersionLast="47" xr6:coauthVersionMax="47" xr10:uidLastSave="{1D24534B-B479-4812-A5AA-5DA919DBD19F}"/>
  <bookViews>
    <workbookView xWindow="28680" yWindow="-120" windowWidth="29040" windowHeight="15840" tabRatio="894" firstSheet="7" activeTab="16" xr2:uid="{00000000-000D-0000-FFFF-FFFF00000000}"/>
  </bookViews>
  <sheets>
    <sheet name="Overnamegegevens" sheetId="28" r:id="rId1"/>
    <sheet name="Locatie" sheetId="41" r:id="rId2"/>
    <sheet name="Minimale wp Verkeersruimten" sheetId="29" r:id="rId3"/>
    <sheet name="Minimale wp Toiletten" sheetId="46" r:id="rId4"/>
    <sheet name="Minimale wp Wasruimten" sheetId="42" r:id="rId5"/>
    <sheet name="Minimale wp Kantoren" sheetId="43" r:id="rId6"/>
    <sheet name="Minimale wp restaurant" sheetId="44" r:id="rId7"/>
    <sheet name="Minimale wp leslokaal" sheetId="45" r:id="rId8"/>
    <sheet name="Minimale wp Activiteitenr" sheetId="47" r:id="rId9"/>
    <sheet name="Minimale wp Vergaderruimte" sheetId="49" r:id="rId10"/>
    <sheet name="Tariefsopbouw" sheetId="31" r:id="rId11"/>
    <sheet name="Dieptereinigen sanitair" sheetId="21" r:id="rId12"/>
    <sheet name="Vloeronderhoud" sheetId="38" r:id="rId13"/>
    <sheet name="dagelijkse inzet aan uren" sheetId="32" r:id="rId14"/>
    <sheet name="Sanitaire voorzieningen" sheetId="40" r:id="rId15"/>
    <sheet name="Glasbewassing" sheetId="22" r:id="rId16"/>
    <sheet name="Regie en afroep" sheetId="24" r:id="rId17"/>
    <sheet name="Totalisatie" sheetId="19" r:id="rId18"/>
  </sheets>
  <externalReferences>
    <externalReference r:id="rId19"/>
    <externalReference r:id="rId20"/>
  </externalReferences>
  <definedNames>
    <definedName name="_1F" localSheetId="2" hidden="1">[1]Psychiatrie!#REF!</definedName>
    <definedName name="_1F" localSheetId="10" hidden="1">[1]Psychiatrie!#REF!</definedName>
    <definedName name="_1F" localSheetId="12" hidden="1">[1]Psychiatrie!#REF!</definedName>
    <definedName name="_1F" hidden="1">[1]Psychiatrie!#REF!</definedName>
    <definedName name="_2_0_F" localSheetId="2" hidden="1">[1]Psychiatrie!#REF!</definedName>
    <definedName name="_2_0_F" localSheetId="12" hidden="1">[1]Psychiatrie!#REF!</definedName>
    <definedName name="_2_0_F" hidden="1">[1]Psychiatrie!#REF!</definedName>
    <definedName name="_Dist_Bin" localSheetId="2" hidden="1">#REF!</definedName>
    <definedName name="_Dist_Bin" localSheetId="10" hidden="1">#REF!</definedName>
    <definedName name="_Dist_Bin" localSheetId="12" hidden="1">#REF!</definedName>
    <definedName name="_Dist_Bin" hidden="1">#REF!</definedName>
    <definedName name="_Dist_Values" localSheetId="12" hidden="1">#REF!</definedName>
    <definedName name="_Dist_Values" hidden="1">#REF!</definedName>
    <definedName name="_Fill" localSheetId="12" hidden="1">'[2]#REF'!#REF!</definedName>
    <definedName name="_Fill" hidden="1">'[2]#REF'!#REF!</definedName>
    <definedName name="_xlnm._FilterDatabase" localSheetId="17" hidden="1">Totalisatie!#REF!</definedName>
    <definedName name="_Key1" localSheetId="2" hidden="1">'[2]#REF'!#REF!</definedName>
    <definedName name="_Key1" localSheetId="12" hidden="1">'[2]#REF'!#REF!</definedName>
    <definedName name="_Key1" hidden="1">'[2]#REF'!#REF!</definedName>
    <definedName name="_Order1" hidden="1">255</definedName>
    <definedName name="_Sort" localSheetId="2" hidden="1">#REF!</definedName>
    <definedName name="_Sort" localSheetId="10" hidden="1">#REF!</definedName>
    <definedName name="_Sort" localSheetId="12" hidden="1">#REF!</definedName>
    <definedName name="_Sort" hidden="1">#REF!</definedName>
    <definedName name="_Table1_In1" localSheetId="12" hidden="1">#REF!</definedName>
    <definedName name="_Table1_In1" hidden="1">#REF!</definedName>
    <definedName name="_Table1_Out" localSheetId="12" hidden="1">#REF!</definedName>
    <definedName name="_Table1_Out" hidden="1">#REF!</definedName>
    <definedName name="_Toc534973915" localSheetId="2">'Minimale wp Verkeersruimten'!$A$98</definedName>
    <definedName name="_Toc534973916" localSheetId="2">'Minimale wp Verkeersruimten'!$A$100</definedName>
    <definedName name="_Toc534973917" localSheetId="2">'Minimale wp Verkeersruimten'!$A$102</definedName>
    <definedName name="_Toc534973918" localSheetId="2">'Minimale wp Verkeersruimten'!#REF!</definedName>
    <definedName name="_Toc534973919" localSheetId="2">'Minimale wp Verkeersruimten'!$A$106</definedName>
    <definedName name="_Toc534973920" localSheetId="2">'Minimale wp Verkeersruimten'!$A$107</definedName>
    <definedName name="_Toc534973921" localSheetId="2">'Minimale wp Verkeersruimten'!$A$109</definedName>
    <definedName name="_Toc534973922" localSheetId="2">'Minimale wp Verkeersruimten'!$A$111</definedName>
    <definedName name="_Toc534973923" localSheetId="2">'Minimale wp Verkeersruimten'!$A$113</definedName>
    <definedName name="_Toc534973924" localSheetId="2">'Minimale wp Verkeersruimten'!$A$115</definedName>
    <definedName name="_Toc534973925" localSheetId="2">'Minimale wp Verkeersruimten'!#REF!</definedName>
    <definedName name="_Toc534973926" localSheetId="2">'Minimale wp Verkeersruimten'!$A$117</definedName>
    <definedName name="_Toc534973927" localSheetId="2">'Minimale wp Verkeersruimten'!$A$119</definedName>
    <definedName name="_Toc534973928" localSheetId="2">'Minimale wp Verkeersruimten'!#REF!</definedName>
    <definedName name="_Toc534973929" localSheetId="2">'Minimale wp Verkeersruimten'!$A$121</definedName>
    <definedName name="_Toc534973930" localSheetId="2">'Minimale wp Verkeersruimten'!$A$123</definedName>
    <definedName name="_Toc534973931" localSheetId="2">'Minimale wp Verkeersruimten'!$A$125</definedName>
    <definedName name="_Toc534973932" localSheetId="2">'Minimale wp Verkeersruimten'!$A$130</definedName>
    <definedName name="_Toc534973933" localSheetId="2">'Minimale wp Verkeersruimten'!$A$132</definedName>
    <definedName name="_Toc534973934" localSheetId="2">'Minimale wp Verkeersruimten'!$A$134</definedName>
    <definedName name="AccessDatabase" hidden="1">"C:\data\excel\BASISWP.mdb"</definedName>
    <definedName name="_xlnm.Print_Area" localSheetId="11">'Dieptereinigen sanitair'!$A$1:$I$49</definedName>
    <definedName name="_xlnm.Print_Area" localSheetId="15">Glasbewassing!$A$1:$I$19</definedName>
    <definedName name="_xlnm.Print_Area" localSheetId="16">'Regie en afroep'!$A$1:$I$79</definedName>
    <definedName name="_xlnm.Print_Area" localSheetId="10">Tariefsopbouw!$A$1:$Q$42</definedName>
    <definedName name="_xlnm.Print_Area" localSheetId="17">Totalisatie!$A$1:$I$23</definedName>
    <definedName name="_xlnm.Print_Area" localSheetId="12">Vloeronderhoud!$A$1:$J$25</definedName>
    <definedName name="Glas" hidden="1">[1]Psychiatrie!#REF!</definedName>
    <definedName name="Invulglas1">Glasbewassing!$A$9:$I$13</definedName>
    <definedName name="Invulvloer1" localSheetId="12">Vloeronderhoud!$A$9:$I$17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22" l="1"/>
  <c r="H17" i="22" s="1"/>
  <c r="D17" i="22"/>
  <c r="B17" i="22"/>
  <c r="H22" i="40"/>
  <c r="H24" i="40" l="1"/>
  <c r="I24" i="40" s="1"/>
  <c r="H23" i="40"/>
  <c r="I23" i="40" s="1"/>
  <c r="I22" i="40"/>
  <c r="H21" i="40"/>
  <c r="I21" i="40" s="1"/>
  <c r="H20" i="40"/>
  <c r="I20" i="40" s="1"/>
  <c r="H19" i="40"/>
  <c r="I19" i="40" s="1"/>
  <c r="H18" i="40"/>
  <c r="D23" i="40"/>
  <c r="B23" i="40"/>
  <c r="E14" i="40"/>
  <c r="F14" i="40" s="1"/>
  <c r="G14" i="40" s="1"/>
  <c r="H14" i="40" s="1"/>
  <c r="I14" i="40" s="1"/>
  <c r="D24" i="40"/>
  <c r="B24" i="40"/>
  <c r="D22" i="40"/>
  <c r="B22" i="40"/>
  <c r="D21" i="40"/>
  <c r="B21" i="40"/>
  <c r="D20" i="40"/>
  <c r="B20" i="40"/>
  <c r="D19" i="40"/>
  <c r="B19" i="40"/>
  <c r="B24" i="38" l="1"/>
  <c r="B23" i="38"/>
  <c r="B22" i="38"/>
  <c r="B21" i="38"/>
  <c r="B20" i="38"/>
  <c r="I36" i="24"/>
  <c r="I35" i="24"/>
  <c r="I34" i="24"/>
  <c r="I33" i="24"/>
  <c r="I32" i="24"/>
  <c r="I31" i="24"/>
  <c r="I30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H36" i="24"/>
  <c r="H35" i="24"/>
  <c r="H34" i="24"/>
  <c r="H33" i="24"/>
  <c r="H32" i="24"/>
  <c r="H31" i="24"/>
  <c r="H30" i="24"/>
  <c r="H29" i="24"/>
  <c r="H28" i="24"/>
  <c r="H27" i="24"/>
  <c r="H26" i="24"/>
  <c r="H25" i="24"/>
  <c r="H24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F36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13" i="22"/>
  <c r="F13" i="22" s="1"/>
  <c r="G13" i="22" s="1"/>
  <c r="H13" i="22" s="1"/>
  <c r="I13" i="22" s="1"/>
  <c r="E12" i="22"/>
  <c r="F12" i="22" s="1"/>
  <c r="G12" i="22" s="1"/>
  <c r="H12" i="22" s="1"/>
  <c r="I12" i="22" s="1"/>
  <c r="E11" i="22"/>
  <c r="F11" i="22" s="1"/>
  <c r="G11" i="22" s="1"/>
  <c r="H11" i="22" s="1"/>
  <c r="I11" i="22" s="1"/>
  <c r="E10" i="22"/>
  <c r="F10" i="22" s="1"/>
  <c r="G10" i="22" s="1"/>
  <c r="H10" i="22" s="1"/>
  <c r="I10" i="22" s="1"/>
  <c r="E9" i="22"/>
  <c r="F9" i="22" s="1"/>
  <c r="G9" i="22" s="1"/>
  <c r="H9" i="22" s="1"/>
  <c r="I9" i="22" s="1"/>
  <c r="I9" i="38"/>
  <c r="I10" i="38"/>
  <c r="I11" i="38"/>
  <c r="I12" i="38"/>
  <c r="I13" i="38"/>
  <c r="I14" i="38"/>
  <c r="I15" i="38"/>
  <c r="I16" i="38"/>
  <c r="I17" i="38"/>
  <c r="H9" i="38"/>
  <c r="H10" i="38"/>
  <c r="H11" i="38"/>
  <c r="H12" i="38"/>
  <c r="H13" i="38"/>
  <c r="H14" i="38"/>
  <c r="H15" i="38"/>
  <c r="H16" i="38"/>
  <c r="H17" i="38"/>
  <c r="G9" i="38"/>
  <c r="G10" i="38"/>
  <c r="G11" i="38"/>
  <c r="G12" i="38"/>
  <c r="G13" i="38"/>
  <c r="G14" i="38"/>
  <c r="G15" i="38"/>
  <c r="G16" i="38"/>
  <c r="G17" i="38"/>
  <c r="F9" i="38"/>
  <c r="F10" i="38"/>
  <c r="F11" i="38"/>
  <c r="F12" i="38"/>
  <c r="F13" i="38"/>
  <c r="F14" i="38"/>
  <c r="F15" i="38"/>
  <c r="F16" i="38"/>
  <c r="F17" i="38"/>
  <c r="E9" i="38"/>
  <c r="E10" i="38"/>
  <c r="E11" i="38"/>
  <c r="E12" i="38"/>
  <c r="E13" i="38"/>
  <c r="E14" i="38"/>
  <c r="E15" i="38"/>
  <c r="E16" i="38"/>
  <c r="E17" i="38"/>
  <c r="Q37" i="31"/>
  <c r="O37" i="31"/>
  <c r="M37" i="31"/>
  <c r="K37" i="31"/>
  <c r="E13" i="40"/>
  <c r="F13" i="40" s="1"/>
  <c r="G13" i="40" s="1"/>
  <c r="H13" i="40" s="1"/>
  <c r="I13" i="40" s="1"/>
  <c r="E15" i="40"/>
  <c r="F15" i="40" s="1"/>
  <c r="G15" i="40" s="1"/>
  <c r="H15" i="40" s="1"/>
  <c r="I15" i="40" s="1"/>
  <c r="B18" i="40"/>
  <c r="D26" i="21"/>
  <c r="B26" i="21"/>
  <c r="D25" i="21"/>
  <c r="B25" i="21"/>
  <c r="E11" i="21"/>
  <c r="E12" i="21"/>
  <c r="E13" i="21"/>
  <c r="E14" i="21"/>
  <c r="I37" i="31"/>
  <c r="E9" i="40" s="1"/>
  <c r="F9" i="40" s="1"/>
  <c r="G9" i="40" s="1"/>
  <c r="H9" i="40" s="1"/>
  <c r="I9" i="40" s="1"/>
  <c r="D27" i="21"/>
  <c r="B27" i="21"/>
  <c r="D24" i="21"/>
  <c r="B24" i="21"/>
  <c r="D23" i="21"/>
  <c r="B23" i="21"/>
  <c r="D22" i="21"/>
  <c r="B22" i="21"/>
  <c r="D21" i="21"/>
  <c r="B21" i="21"/>
  <c r="D20" i="21"/>
  <c r="B20" i="21"/>
  <c r="E10" i="21" l="1"/>
  <c r="F10" i="21" s="1"/>
  <c r="G10" i="21" s="1"/>
  <c r="E12" i="40"/>
  <c r="F12" i="40" s="1"/>
  <c r="G12" i="40" s="1"/>
  <c r="H12" i="40" s="1"/>
  <c r="I12" i="40" s="1"/>
  <c r="E17" i="21"/>
  <c r="F17" i="21" s="1"/>
  <c r="G17" i="21" s="1"/>
  <c r="E9" i="21"/>
  <c r="E11" i="40"/>
  <c r="F11" i="40" s="1"/>
  <c r="G11" i="40" s="1"/>
  <c r="H11" i="40" s="1"/>
  <c r="I11" i="40" s="1"/>
  <c r="E16" i="21"/>
  <c r="E10" i="40"/>
  <c r="F10" i="40" s="1"/>
  <c r="G10" i="40" s="1"/>
  <c r="H10" i="40" s="1"/>
  <c r="I10" i="40" s="1"/>
  <c r="E15" i="21"/>
  <c r="F13" i="21"/>
  <c r="G13" i="21" s="1"/>
  <c r="F12" i="21"/>
  <c r="G12" i="21" s="1"/>
  <c r="F11" i="21"/>
  <c r="G11" i="21" s="1"/>
  <c r="F9" i="21"/>
  <c r="G9" i="21" s="1"/>
  <c r="F16" i="21"/>
  <c r="G16" i="21" s="1"/>
  <c r="F15" i="21"/>
  <c r="G15" i="21" s="1"/>
  <c r="F14" i="21"/>
  <c r="G14" i="21" s="1"/>
  <c r="D28" i="21" l="1"/>
  <c r="B28" i="21"/>
  <c r="B12" i="19"/>
  <c r="B7" i="19"/>
  <c r="B16" i="32"/>
  <c r="B15" i="32"/>
  <c r="B14" i="32"/>
  <c r="D18" i="40" l="1"/>
  <c r="D24" i="38"/>
  <c r="H24" i="38"/>
  <c r="I24" i="38" s="1"/>
  <c r="D16" i="32" l="1"/>
  <c r="B16" i="22" l="1"/>
  <c r="B18" i="22"/>
  <c r="H25" i="40" l="1"/>
  <c r="G12" i="19" s="1"/>
  <c r="I18" i="40"/>
  <c r="I25" i="40" s="1"/>
  <c r="I32" i="31" l="1"/>
  <c r="K32" i="31" s="1"/>
  <c r="M32" i="31" s="1"/>
  <c r="O32" i="31" s="1"/>
  <c r="Q32" i="31" s="1"/>
  <c r="I31" i="31"/>
  <c r="K31" i="31" s="1"/>
  <c r="M31" i="31" s="1"/>
  <c r="O31" i="31" s="1"/>
  <c r="Q31" i="31" s="1"/>
  <c r="I30" i="31"/>
  <c r="K30" i="31" s="1"/>
  <c r="M30" i="31" s="1"/>
  <c r="O30" i="31" s="1"/>
  <c r="Q30" i="31" s="1"/>
  <c r="I25" i="31"/>
  <c r="K25" i="31" s="1"/>
  <c r="M25" i="31" s="1"/>
  <c r="O25" i="31" s="1"/>
  <c r="Q25" i="31" s="1"/>
  <c r="I23" i="31"/>
  <c r="K23" i="31" s="1"/>
  <c r="M23" i="31" s="1"/>
  <c r="O23" i="31" s="1"/>
  <c r="Q23" i="31" s="1"/>
  <c r="I22" i="31"/>
  <c r="K22" i="31" s="1"/>
  <c r="M22" i="31" s="1"/>
  <c r="O22" i="31" s="1"/>
  <c r="Q22" i="31" s="1"/>
  <c r="I21" i="31"/>
  <c r="K21" i="31" s="1"/>
  <c r="D9" i="31"/>
  <c r="E8" i="31"/>
  <c r="E7" i="31"/>
  <c r="E6" i="31"/>
  <c r="E5" i="31"/>
  <c r="E9" i="31" s="1"/>
  <c r="E10" i="31" s="1"/>
  <c r="G13" i="19" l="1"/>
  <c r="M21" i="31"/>
  <c r="I10" i="31"/>
  <c r="K10" i="31" s="1"/>
  <c r="M10" i="31" s="1"/>
  <c r="O10" i="31" s="1"/>
  <c r="Q10" i="31" s="1"/>
  <c r="E24" i="31"/>
  <c r="E17" i="31"/>
  <c r="I17" i="31" s="1"/>
  <c r="K17" i="31" s="1"/>
  <c r="M17" i="31" s="1"/>
  <c r="O17" i="31" s="1"/>
  <c r="Q17" i="31" s="1"/>
  <c r="E16" i="31"/>
  <c r="I16" i="31" s="1"/>
  <c r="K16" i="31" s="1"/>
  <c r="M16" i="31" s="1"/>
  <c r="O16" i="31" s="1"/>
  <c r="Q16" i="31" s="1"/>
  <c r="E15" i="31"/>
  <c r="I15" i="31" s="1"/>
  <c r="K15" i="31" s="1"/>
  <c r="M15" i="31" s="1"/>
  <c r="O15" i="31" s="1"/>
  <c r="Q15" i="31" s="1"/>
  <c r="E14" i="31"/>
  <c r="I14" i="31" s="1"/>
  <c r="K14" i="31" s="1"/>
  <c r="M14" i="31" s="1"/>
  <c r="O14" i="31" s="1"/>
  <c r="Q14" i="31" s="1"/>
  <c r="E13" i="31"/>
  <c r="I13" i="31" l="1"/>
  <c r="E18" i="31"/>
  <c r="O21" i="31"/>
  <c r="I24" i="31"/>
  <c r="E26" i="31"/>
  <c r="K13" i="31" l="1"/>
  <c r="I18" i="31"/>
  <c r="K24" i="31"/>
  <c r="I26" i="31"/>
  <c r="Q21" i="31"/>
  <c r="E29" i="31"/>
  <c r="I29" i="31" l="1"/>
  <c r="E33" i="31"/>
  <c r="M24" i="31"/>
  <c r="K26" i="31"/>
  <c r="K18" i="31"/>
  <c r="M13" i="31"/>
  <c r="O24" i="31" l="1"/>
  <c r="M26" i="31"/>
  <c r="E35" i="31"/>
  <c r="D41" i="31"/>
  <c r="C10" i="32" s="1"/>
  <c r="D39" i="31"/>
  <c r="D40" i="31"/>
  <c r="K29" i="31"/>
  <c r="I33" i="31"/>
  <c r="I35" i="31" s="1"/>
  <c r="M18" i="31"/>
  <c r="O13" i="31"/>
  <c r="G25" i="21" l="1"/>
  <c r="H25" i="21" s="1"/>
  <c r="G27" i="21"/>
  <c r="H27" i="21" s="1"/>
  <c r="G26" i="21"/>
  <c r="H26" i="21" s="1"/>
  <c r="G23" i="21"/>
  <c r="H23" i="21" s="1"/>
  <c r="G24" i="21"/>
  <c r="H24" i="21" s="1"/>
  <c r="G28" i="21"/>
  <c r="H28" i="21" s="1"/>
  <c r="G22" i="21"/>
  <c r="H22" i="21" s="1"/>
  <c r="E10" i="32"/>
  <c r="F10" i="32" s="1"/>
  <c r="G10" i="32" s="1"/>
  <c r="H10" i="32" s="1"/>
  <c r="I10" i="32" s="1"/>
  <c r="C9" i="32"/>
  <c r="D32" i="31"/>
  <c r="D31" i="31"/>
  <c r="D30" i="31"/>
  <c r="D25" i="31"/>
  <c r="D23" i="31"/>
  <c r="D22" i="31"/>
  <c r="D21" i="31"/>
  <c r="D38" i="31"/>
  <c r="C8" i="32" s="1"/>
  <c r="I41" i="31"/>
  <c r="K33" i="31"/>
  <c r="K35" i="31" s="1"/>
  <c r="M29" i="31"/>
  <c r="Q24" i="31"/>
  <c r="Q26" i="31" s="1"/>
  <c r="O26" i="31"/>
  <c r="E40" i="31"/>
  <c r="E39" i="31"/>
  <c r="Q13" i="31"/>
  <c r="Q18" i="31" s="1"/>
  <c r="O18" i="31"/>
  <c r="E41" i="31"/>
  <c r="G20" i="21" l="1"/>
  <c r="E8" i="32"/>
  <c r="F8" i="32" s="1"/>
  <c r="G8" i="32" s="1"/>
  <c r="H8" i="32" s="1"/>
  <c r="I8" i="32" s="1"/>
  <c r="G21" i="21"/>
  <c r="H21" i="21" s="1"/>
  <c r="E9" i="32"/>
  <c r="F9" i="32" s="1"/>
  <c r="G9" i="32" s="1"/>
  <c r="H9" i="32" s="1"/>
  <c r="I9" i="32" s="1"/>
  <c r="G15" i="32"/>
  <c r="H15" i="32" s="1"/>
  <c r="G14" i="32"/>
  <c r="G16" i="32"/>
  <c r="H16" i="32" s="1"/>
  <c r="I39" i="31"/>
  <c r="K39" i="31" s="1"/>
  <c r="I40" i="31"/>
  <c r="K40" i="31" s="1"/>
  <c r="O29" i="31"/>
  <c r="M33" i="31"/>
  <c r="M35" i="31" s="1"/>
  <c r="K41" i="31"/>
  <c r="I38" i="31"/>
  <c r="K38" i="31" s="1"/>
  <c r="E38" i="31"/>
  <c r="H20" i="21" l="1"/>
  <c r="H29" i="21" s="1"/>
  <c r="G29" i="21"/>
  <c r="C7" i="19"/>
  <c r="C12" i="19"/>
  <c r="M40" i="31"/>
  <c r="M39" i="31"/>
  <c r="M38" i="31"/>
  <c r="M41" i="31"/>
  <c r="Q29" i="31"/>
  <c r="Q33" i="31" s="1"/>
  <c r="Q35" i="31" s="1"/>
  <c r="O33" i="31"/>
  <c r="O35" i="31" s="1"/>
  <c r="O39" i="31" l="1"/>
  <c r="H15" i="21"/>
  <c r="H17" i="21"/>
  <c r="H16" i="21"/>
  <c r="H9" i="21"/>
  <c r="H12" i="21"/>
  <c r="H13" i="21"/>
  <c r="I13" i="21" s="1"/>
  <c r="H10" i="21"/>
  <c r="I10" i="21" s="1"/>
  <c r="H11" i="21"/>
  <c r="H14" i="21"/>
  <c r="O40" i="31"/>
  <c r="O41" i="31"/>
  <c r="O38" i="31"/>
  <c r="I14" i="21" l="1"/>
  <c r="I15" i="21"/>
  <c r="I11" i="21"/>
  <c r="Q39" i="31"/>
  <c r="I9" i="21"/>
  <c r="I16" i="21"/>
  <c r="I12" i="21"/>
  <c r="I17" i="21"/>
  <c r="Q40" i="31"/>
  <c r="Q41" i="31"/>
  <c r="Q38" i="31"/>
  <c r="D18" i="22" l="1"/>
  <c r="D16" i="22"/>
  <c r="D15" i="32"/>
  <c r="H14" i="32"/>
  <c r="D14" i="32"/>
  <c r="H23" i="38" l="1"/>
  <c r="I23" i="38" s="1"/>
  <c r="D23" i="38"/>
  <c r="H22" i="38"/>
  <c r="I22" i="38" s="1"/>
  <c r="D22" i="38"/>
  <c r="H21" i="38"/>
  <c r="I21" i="38" s="1"/>
  <c r="D21" i="38"/>
  <c r="D20" i="38"/>
  <c r="H20" i="38" l="1"/>
  <c r="I20" i="38" l="1"/>
  <c r="I25" i="38" s="1"/>
  <c r="D12" i="19"/>
  <c r="D13" i="19" s="1"/>
  <c r="H25" i="38"/>
  <c r="G18" i="22" l="1"/>
  <c r="H18" i="22" s="1"/>
  <c r="G16" i="22"/>
  <c r="H16" i="22" l="1"/>
  <c r="H19" i="22" s="1"/>
  <c r="F12" i="19"/>
  <c r="G19" i="22"/>
  <c r="G17" i="32" l="1"/>
  <c r="E12" i="19" s="1"/>
  <c r="E13" i="19" l="1"/>
  <c r="H17" i="32"/>
  <c r="H12" i="19" l="1"/>
  <c r="C8" i="19" l="1"/>
  <c r="C13" i="19" l="1"/>
  <c r="H13" i="19" l="1"/>
  <c r="E26" i="19" l="1"/>
</calcChain>
</file>

<file path=xl/sharedStrings.xml><?xml version="1.0" encoding="utf-8"?>
<sst xmlns="http://schemas.openxmlformats.org/spreadsheetml/2006/main" count="1093" uniqueCount="402">
  <si>
    <t xml:space="preserve"> </t>
  </si>
  <si>
    <t>Vakantiedagen, -toeslag, feestdagen</t>
  </si>
  <si>
    <t>Suppletie ziekengeld</t>
  </si>
  <si>
    <t>Sociale lasten</t>
  </si>
  <si>
    <t>Materialen</t>
  </si>
  <si>
    <t>Middelen</t>
  </si>
  <si>
    <t>Afschrijving machines</t>
  </si>
  <si>
    <t>Directe leiding</t>
  </si>
  <si>
    <t>Indirecte leiding</t>
  </si>
  <si>
    <t>Weekend</t>
  </si>
  <si>
    <t>Totaal</t>
  </si>
  <si>
    <t>Code</t>
  </si>
  <si>
    <t>Tariefsopbouw</t>
  </si>
  <si>
    <t>Glasbewassing</t>
  </si>
  <si>
    <t>Wassen handdoeken</t>
  </si>
  <si>
    <t>Prijs per stuk</t>
  </si>
  <si>
    <t>Wassen theedoeken</t>
  </si>
  <si>
    <t>prijs per stuk</t>
  </si>
  <si>
    <t>Verwijderen kauwgom buitenterrein</t>
  </si>
  <si>
    <t>Vlek verwijderen textiele bekleding zitvlak stoelen</t>
  </si>
  <si>
    <t>Prijs per beurt</t>
  </si>
  <si>
    <t xml:space="preserve">Reinigen van plafonds </t>
  </si>
  <si>
    <t>prijs per m²</t>
  </si>
  <si>
    <t>Reinigen van vitrage</t>
  </si>
  <si>
    <t>Reinigen van kunststoflamellen</t>
  </si>
  <si>
    <t>Reinigen van stoffenlamellen</t>
  </si>
  <si>
    <t>Reinigen van horizontale kunststoflamellen (luxaflex)</t>
  </si>
  <si>
    <t xml:space="preserve">Het verwijderen van aanslag per unit incl. (de-)montage </t>
  </si>
  <si>
    <t>Het desinfecteren van alle sanitaire onderdelen</t>
  </si>
  <si>
    <t>prijs per toiletunit</t>
  </si>
  <si>
    <t xml:space="preserve">Vegen van het buitenterrein </t>
  </si>
  <si>
    <t>Schoonmaakmedewerker</t>
  </si>
  <si>
    <t>Meewerkend leidinggevende</t>
  </si>
  <si>
    <t>Totaal geindexeerd uurloon</t>
  </si>
  <si>
    <r>
      <t>Prijs per m</t>
    </r>
    <r>
      <rPr>
        <vertAlign val="superscript"/>
        <sz val="9"/>
        <rFont val="Verdana"/>
        <family val="2"/>
      </rPr>
      <t>2</t>
    </r>
  </si>
  <si>
    <t>Loonkosten:</t>
  </si>
  <si>
    <t>Directe kosten:</t>
  </si>
  <si>
    <t>Indirecte kosten:</t>
  </si>
  <si>
    <t>Overheadkosten</t>
  </si>
  <si>
    <t>Winst en risico</t>
  </si>
  <si>
    <t>Loon:</t>
  </si>
  <si>
    <t>Subtotaal Loonkosten</t>
  </si>
  <si>
    <t>Subtotaal Directe kosten</t>
  </si>
  <si>
    <t>Subtotaal Indirecte kosten</t>
  </si>
  <si>
    <t>% v.h. loon</t>
  </si>
  <si>
    <t>% v.h. loon incl. loonkosten</t>
  </si>
  <si>
    <t>Rekentarieven</t>
  </si>
  <si>
    <t>€</t>
  </si>
  <si>
    <t>Standaard</t>
  </si>
  <si>
    <t>Eindejaarsuitkering</t>
  </si>
  <si>
    <t>Overige directe kosten</t>
  </si>
  <si>
    <t>Overige indirecte kosten</t>
  </si>
  <si>
    <t>Overige loonkosten</t>
  </si>
  <si>
    <t>Ochtend/avond</t>
  </si>
  <si>
    <t>ma. t/m vr. 6:00 - 21:30 uur</t>
  </si>
  <si>
    <t>ma. t/m vr. 21:30 - 6:00 uur</t>
  </si>
  <si>
    <t>vr. 21:30 t/m ma. 6:00 uur</t>
  </si>
  <si>
    <t>Feestdag</t>
  </si>
  <si>
    <t>Erkende feestdagen</t>
  </si>
  <si>
    <t>% opslag op loonkosten</t>
  </si>
  <si>
    <t>Tarief</t>
  </si>
  <si>
    <t xml:space="preserve">Over te nemen personeel </t>
  </si>
  <si>
    <t>Totale berekende productieve ureninzet (contractjaar 1)</t>
  </si>
  <si>
    <t>T</t>
  </si>
  <si>
    <t>L</t>
  </si>
  <si>
    <t>Frequentie</t>
  </si>
  <si>
    <t>Pantry</t>
  </si>
  <si>
    <t>Naam</t>
  </si>
  <si>
    <t>Locatie</t>
  </si>
  <si>
    <t>Glassoort/voorziening</t>
  </si>
  <si>
    <t>Kosten/jaar excl. BTW</t>
  </si>
  <si>
    <t>Prijs per m2 per beurt</t>
  </si>
  <si>
    <t>Separatieglas (enkel gemeten, dubbel te wassen)</t>
  </si>
  <si>
    <t>Eenheid</t>
  </si>
  <si>
    <t>Prijs</t>
  </si>
  <si>
    <t>Hoogwerker buiten max 12 meter</t>
  </si>
  <si>
    <t>Oppervlakte of dagen</t>
  </si>
  <si>
    <t>H1</t>
  </si>
  <si>
    <t>Werkzaamheden</t>
  </si>
  <si>
    <t>Prijs per m2 per beurt, incl. in- en uitruimen</t>
  </si>
  <si>
    <t>Prijs per m2 per beurt, incl. in- en uitruimen, minimaal 2 lagen, kruislings</t>
  </si>
  <si>
    <t>Vloersoort</t>
  </si>
  <si>
    <t>Oppervlakte</t>
  </si>
  <si>
    <t>Sprayen/opblokken</t>
  </si>
  <si>
    <t>Diepstrippen, sealen en conserveren</t>
  </si>
  <si>
    <t>Schuren en lakken houten vloer</t>
  </si>
  <si>
    <t>Frequentie (uitv./jaar)</t>
  </si>
  <si>
    <t>Handmatig schrobben en droogzuigen</t>
  </si>
  <si>
    <t>Vloeronderhoud</t>
  </si>
  <si>
    <t>Totalisatie (excl. BTW)</t>
  </si>
  <si>
    <t>Prijs excl. BTW</t>
  </si>
  <si>
    <t xml:space="preserve">Aan genoemde aantallen kunnen geen rechten worden ontleend. </t>
  </si>
  <si>
    <t>Regie- en afroepwerkzaamheden</t>
  </si>
  <si>
    <t>Genoemde aantallen zijn fictief en dienen om een vergelijkingsprijs op te stellen</t>
  </si>
  <si>
    <t>Werkzaamheid</t>
  </si>
  <si>
    <t>Prijs per uur</t>
  </si>
  <si>
    <t>Regiewerkzaamheden (schoonmaakonderhoud, ma-vr. tussen 6:00 en 21:30)</t>
  </si>
  <si>
    <t>Specialistische regiewerkzaamheden  (ma-vr. tussen 6:00 en 21:30)</t>
  </si>
  <si>
    <t>Cateringwerkzaamheden (ma-vr. tussen 6:00 en 21:30)</t>
  </si>
  <si>
    <t>Prijs per stuk per beurt</t>
  </si>
  <si>
    <t>Vaatwasser inruimen, activeren en uitruimen</t>
  </si>
  <si>
    <t>Reinigen koelkast binnen- en buitenzijde</t>
  </si>
  <si>
    <t>Reinigen van magnetron binnen- en buitenzijde</t>
  </si>
  <si>
    <t>Reinigen van koffieautomaat binnen- en buitenzijde</t>
  </si>
  <si>
    <t>Calamiteitenservice inclusief materialen en middelen</t>
  </si>
  <si>
    <t>Buiten</t>
  </si>
  <si>
    <t>Intensief reinigen voegen tegelwanden</t>
  </si>
  <si>
    <r>
      <t>Prijs per m</t>
    </r>
    <r>
      <rPr>
        <vertAlign val="superscript"/>
        <sz val="9"/>
        <rFont val="Verdana"/>
        <family val="2"/>
      </rPr>
      <t xml:space="preserve">2 </t>
    </r>
    <r>
      <rPr>
        <sz val="9"/>
        <rFont val="Verdana"/>
        <family val="2"/>
      </rPr>
      <t>per beurt</t>
    </r>
  </si>
  <si>
    <t>Regie per uur</t>
  </si>
  <si>
    <t>De opgegeven prijzen zijn tijdens de gehele contractduur van toepassing als afroepprijs.</t>
  </si>
  <si>
    <t>Machinaal schrobben en droogzuigen</t>
  </si>
  <si>
    <t>Textiel reinigen</t>
  </si>
  <si>
    <t>Dieptereiniging sanitair</t>
  </si>
  <si>
    <t>Fantomatten sanitaire ruimte</t>
  </si>
  <si>
    <t>Stoomreinigen sanitaire ruimte</t>
  </si>
  <si>
    <t>Klein technisch onderhoud, verhelpen techische gebreken</t>
  </si>
  <si>
    <t>Wanden en plafonds</t>
  </si>
  <si>
    <t>Volledig (diep)reinigen van de deur (beide zijden), (tegel-)wanden, vloeren en putjes (in- en uitwendig)</t>
  </si>
  <si>
    <t>Gemiddeld brutoloon</t>
  </si>
  <si>
    <t>Code Locatie</t>
  </si>
  <si>
    <t>Code Taak</t>
  </si>
  <si>
    <t>Code taak</t>
  </si>
  <si>
    <r>
      <rPr>
        <b/>
        <sz val="9"/>
        <rFont val="Verdana"/>
        <family val="2"/>
      </rPr>
      <t>Alle</t>
    </r>
    <r>
      <rPr>
        <sz val="9"/>
        <rFont val="Verdana"/>
        <family val="2"/>
      </rPr>
      <t xml:space="preserve"> groen gearceerde velden dienen ingevuld te worden, overige cellen mogen niet gewijzigd worden</t>
    </r>
  </si>
  <si>
    <t>Alle groen gearceerde velden dienen ingevuld te worden, overige cellen mogen niet gewijzigd worden</t>
  </si>
  <si>
    <t>Totalisatie</t>
  </si>
  <si>
    <t>Locaties</t>
  </si>
  <si>
    <t>Rechtsgeldig ondertekening</t>
  </si>
  <si>
    <t>Functie</t>
  </si>
  <si>
    <t>Plaats, datum</t>
  </si>
  <si>
    <t>Handtekening</t>
  </si>
  <si>
    <t>Naam Inschrijver:</t>
  </si>
  <si>
    <t>% van de prod. uren</t>
  </si>
  <si>
    <t>Bijlage 5 dient in Excel format te worden toegevoegd, deze pagina dient daarnaast rechtsgeldig ondertekend als PDF te worden toegevoegd.</t>
  </si>
  <si>
    <t>Samenvatting schoonmaakonderhoud</t>
  </si>
  <si>
    <t>prijs per toiletunit*</t>
  </si>
  <si>
    <t>* zie tabblad Werkprogramma voor definities</t>
  </si>
  <si>
    <t>……………</t>
  </si>
  <si>
    <t>Gevelglas binnenzijde</t>
  </si>
  <si>
    <t>De opgegeven prijzen zijn tijdens de gehele contractduur van toepassing als all-in afroepprijs.</t>
  </si>
  <si>
    <t>Volledig reinigen kunststofwanden (maximaal 6 meter hoog)</t>
  </si>
  <si>
    <t>Volledig reinigen geschilderde wanden (maximaal 6 meter hoog)</t>
  </si>
  <si>
    <t>Volledig reinigen tegelwanden (maximaal 6 meter hoog)</t>
  </si>
  <si>
    <t xml:space="preserve">Opdrachtgever heeft tijdens de gehele contractduur het recht frequenties en uitvoermomenten aan te passen of werkzaamheden aan derden uit te besteden. </t>
  </si>
  <si>
    <t>Reinigen van keukenkastjes binnen- en buitenzijde</t>
  </si>
  <si>
    <t>Vloersoort / toelichting</t>
  </si>
  <si>
    <t>Geboorte- datum</t>
  </si>
  <si>
    <t>Branche datum</t>
  </si>
  <si>
    <t>Soort  contract</t>
  </si>
  <si>
    <t>&gt; 1,5 jaar op object?</t>
  </si>
  <si>
    <t>Functiecode</t>
  </si>
  <si>
    <t>Loongroep</t>
  </si>
  <si>
    <t>Basis-uurloon</t>
  </si>
  <si>
    <t>OT Dienstjaren</t>
  </si>
  <si>
    <t>VET toeslag</t>
  </si>
  <si>
    <t>Pers. Toeslag</t>
  </si>
  <si>
    <t>Reiskosten boven CAO voor 31-12-2007 afgesproken</t>
  </si>
  <si>
    <t>In het bezit van basisvak-diploma? Ja/Nee</t>
  </si>
  <si>
    <t>Indexatie</t>
  </si>
  <si>
    <t>Topstrippen en conserveren</t>
  </si>
  <si>
    <t>Tapijtreinigen, sproei-extractiemethode</t>
  </si>
  <si>
    <t>Tapijtreinigen, poedermethode</t>
  </si>
  <si>
    <t>Verwijderen van vervuiling in spoelranden, afvoersluitingen en restant van de binnenzijde van het toilet</t>
  </si>
  <si>
    <t>De drukspoeler controleren op goede werking en ontdoen van aanslag op de buitenzijde</t>
  </si>
  <si>
    <t>De spoelpijp ontdoen van aanslag en controleren op losse of defecte bevestigingsbeugels op de aansluiting van de pot en op lekkage</t>
  </si>
  <si>
    <t>Het verwijderen van vervuiling van schaamschotten</t>
  </si>
  <si>
    <t>Het reinigen van het toilet/urinoir aan de buitenzijde</t>
  </si>
  <si>
    <t>De toiletbril ontdoen van aanslag, demonteren van een bril met brugstuk (teneinde het vuil eronder te verwijderen) en weer monteren</t>
  </si>
  <si>
    <t>De binnen- en buitenzijde van de stortbak ontdoen van aanslag en vuil (gietijzer alleen buitenzijde)</t>
  </si>
  <si>
    <t>De stortbak controleren op het functioneren van het mechanisme, het waterniveau en de bevestiging ervan</t>
  </si>
  <si>
    <t>De stopkraan van de stortbak ontkalken en controleren op goede werking</t>
  </si>
  <si>
    <t>Het verwijderen van organische en anorganische vervuiling op de binnen- en buitenzijde van de wastafel</t>
  </si>
  <si>
    <t>Alle spiegels reinigen</t>
  </si>
  <si>
    <t>……………………………………………………</t>
  </si>
  <si>
    <r>
      <t xml:space="preserve">Alle groen gearceerde velden dienen ingevuld te worden, overige cellen mogen niet gewijzigd worden    </t>
    </r>
    <r>
      <rPr>
        <b/>
        <sz val="9"/>
        <color rgb="FFFF0000"/>
        <rFont val="Verdana"/>
        <family val="2"/>
      </rPr>
      <t xml:space="preserve"> </t>
    </r>
  </si>
  <si>
    <t>2024</t>
  </si>
  <si>
    <t>2025</t>
  </si>
  <si>
    <t>2026</t>
  </si>
  <si>
    <t>Fietsenstalling</t>
  </si>
  <si>
    <t>2027</t>
  </si>
  <si>
    <t>Uren</t>
  </si>
  <si>
    <t>De gehele vloer en alle wanden reinigen met stoomreiniging bv fantomat</t>
  </si>
  <si>
    <t>Kosten/jaar incl. BTW</t>
  </si>
  <si>
    <t>Kosten / jaar excl btw</t>
  </si>
  <si>
    <t>Kosten/jaar incl BTW</t>
  </si>
  <si>
    <t>Schoonmaakonderhoud
Kosten / jaar excl btw</t>
  </si>
  <si>
    <t>Vloeronderhoud
Kosten / jaar excl btw</t>
  </si>
  <si>
    <t>Totaalprijs
Kosten / jaar excl. btw</t>
  </si>
  <si>
    <t>Soort indexatie</t>
  </si>
  <si>
    <t>Percentage</t>
  </si>
  <si>
    <t>Tarief excl btw</t>
  </si>
  <si>
    <t>CAO</t>
  </si>
  <si>
    <t>CBS index</t>
  </si>
  <si>
    <t>Tarief 
excl. 21% BTW</t>
  </si>
  <si>
    <t>Tarief 
incl. 21% BTW</t>
  </si>
  <si>
    <t>Gemiddelde
indexering</t>
  </si>
  <si>
    <t>Datum in dienst</t>
  </si>
  <si>
    <t>Aantal uur op object per week</t>
  </si>
  <si>
    <t>Reiskosten op basis van CAO</t>
  </si>
  <si>
    <t>Prijs per uur, overgenomen van tariefsopbouw</t>
  </si>
  <si>
    <t>Sanitaire voorzieningen</t>
  </si>
  <si>
    <t>Omschrijving</t>
  </si>
  <si>
    <t>Sanitaire voorzieningen kosten/ jaar excl. Btw</t>
  </si>
  <si>
    <t>2028</t>
  </si>
  <si>
    <t>Kauwgom verwijderen.</t>
  </si>
  <si>
    <t>H</t>
  </si>
  <si>
    <t>Werkzaamheden/Producten</t>
  </si>
  <si>
    <r>
      <t>Sanitaire eenheid:</t>
    </r>
    <r>
      <rPr>
        <sz val="10"/>
        <rFont val="Calibri"/>
        <family val="2"/>
        <scheme val="minor"/>
      </rPr>
      <t xml:space="preserve"> bestaat uit 2 toiletpotten (of 1 toiletpot en 1 urinoir) en 1 wastafel</t>
    </r>
  </si>
  <si>
    <t>Toiletpot</t>
  </si>
  <si>
    <t>-</t>
  </si>
  <si>
    <t>verwijderen van vervuiling in spoelranden, afvoersluitingen en restant van de binnenzijde van het toilet</t>
  </si>
  <si>
    <t>reinigen van het toilet aan de buitenzijde</t>
  </si>
  <si>
    <t>bevestiging en aansluiting op het afvoersysteem controleren; waar nodig vernieuwen van pluggen en schroeven en afdichten van onregelmatige aansluiting op de afvoer</t>
  </si>
  <si>
    <t>de toiletbril ontdoen van aanslag, demonteren van een bril met brugstuk (teneinde het vuil eronder te verwijderen) en weer monteren</t>
  </si>
  <si>
    <t>binnen- en buitenzijde van de stortbak ontdoen van aanslag en vuil (gietijzer alleen buitenzijde)</t>
  </si>
  <si>
    <t>stortbak controleren op het functioneren van het mechanisme, het waterniveau en de bevestiging ervan</t>
  </si>
  <si>
    <t>stopkraan van de stortbak ontkalken en controleren op goede werking</t>
  </si>
  <si>
    <t>valpijp ontdoen van aanslag en controleren op losse of defecte bevestigingsbeugels en op de aansluiting van het toilet</t>
  </si>
  <si>
    <t>bij een inbouwstortbak de voorplaat reinigen, het waterniveau controleren en eventueel opnieuw afstellen</t>
  </si>
  <si>
    <t>de drukspoeler controleren op goede werking en ontdoen van aanslag op de buitenzijde</t>
  </si>
  <si>
    <t>spoelpijp ontdoen van aanslag en controleren op losse of defecte bevestigingsbeugels op de aansluiting van de pot en op lekkage</t>
  </si>
  <si>
    <t>reinigen van de deur (beide zijden), tegelwanden en vloeren</t>
  </si>
  <si>
    <t>Urinoir</t>
  </si>
  <si>
    <t>verwijderen van organische en anorganische vervuiling in spoelranden en afvoeraansluitingen en restant van de binnenzijde van de pot</t>
  </si>
  <si>
    <t>reinigen van de buitenzijde van het urinoir</t>
  </si>
  <si>
    <t>bevestiging en aansluiting op het afvoersysteem controleren en afdichten van onregelmatige aansluiting op de afvoer</t>
  </si>
  <si>
    <t>bij wandurinoirs controleren op bevestigingen en afsluitingen op vloerpijp en afvoer</t>
  </si>
  <si>
    <t>verwijderen van vervuiling van schaamschotten</t>
  </si>
  <si>
    <t>schaamschotten controleren op bevestiging</t>
  </si>
  <si>
    <t>tegelwand tot 1 meter aan weerszijde van de urninoir(s) tot aan de bovenzijde reinigen</t>
  </si>
  <si>
    <t>vloer tot 1 meter aan weerszijde van de urninoir(s) en 1 meter vanaf de wand reinigen</t>
  </si>
  <si>
    <t>Wastafel</t>
  </si>
  <si>
    <t>verwijderen van organische en anorganische vervuiling op de binnen- en buitenzijde</t>
  </si>
  <si>
    <t>kranen ontkalken en controleren op functioneren en eventuele rubbers vervangen</t>
  </si>
  <si>
    <t>perlators demonteren en ontkalken en eventueel vervangen</t>
  </si>
  <si>
    <t>sifon in- en uitwendig reinigen, zonodig nieuwe pakkingring aanbrengen</t>
  </si>
  <si>
    <t>spiegels reinigen</t>
  </si>
  <si>
    <t>tegelwand tot 1 meter aan weerszijde van de wastafel(s) tot aan bovenzijde reinigen</t>
  </si>
  <si>
    <t>vloer tot 1 meter aan weerszijde van de wastafel(s) en 1 meter vanaf de wand reinigen</t>
  </si>
  <si>
    <t>Handelingen dieptereiniging per toilet unit</t>
  </si>
  <si>
    <t>Glasbewassing kosten/ jaar excl. Btw</t>
  </si>
  <si>
    <t>Olieen houten vloer</t>
  </si>
  <si>
    <t>Werkzaamheden van 9.00 uur tot 21.00 uur ma tm vr</t>
  </si>
  <si>
    <t>Werkzaamheden van 9.00 uur tot 21.00 uur weekend</t>
  </si>
  <si>
    <t>Werkzaamheden van 9.00 uur tot 21.00 uur feestdagen</t>
  </si>
  <si>
    <t>Werktijden</t>
  </si>
  <si>
    <t>Handelingen dieptereiniging 4x per jaar</t>
  </si>
  <si>
    <t xml:space="preserve">Er behoefd geen personeel te worden overgenomen. </t>
  </si>
  <si>
    <t>Adres</t>
  </si>
  <si>
    <t>Postcode</t>
  </si>
  <si>
    <t>Plaats</t>
  </si>
  <si>
    <t>Opvanglocatie</t>
  </si>
  <si>
    <t>Hazenweg 121</t>
  </si>
  <si>
    <t>Hengelo</t>
  </si>
  <si>
    <t>7556 BM</t>
  </si>
  <si>
    <t>Dieptereiniging sanitair kosten/ jaar excl. btw</t>
  </si>
  <si>
    <t>Aantal uur per beurt</t>
  </si>
  <si>
    <t>Uitvoeren dieptereiniging bg 39,6 m2 6 units</t>
  </si>
  <si>
    <t>Uitvoeren dieptereiniging 1e 52,5 m2 3 units</t>
  </si>
  <si>
    <t>Uitvoeren dieptereiniging 2e 74 m2 3 units</t>
  </si>
  <si>
    <t>Uitvoeren dieptereiniging 3e 74 m2 3 units</t>
  </si>
  <si>
    <t>Uitvoeren dieptereiniging 4e 48 m2 2 units</t>
  </si>
  <si>
    <t>Uitvoeren dieptereiniging 5e 48 m2 2 units</t>
  </si>
  <si>
    <t>Uitvoeren dieptereiniging 6e 48 m2 2 units</t>
  </si>
  <si>
    <t>Uitvoeren dieptereiniging 7e 48 m2 2 units</t>
  </si>
  <si>
    <t>Uitvoeren dieptereiniging douches 1e</t>
  </si>
  <si>
    <t>Supplies</t>
  </si>
  <si>
    <t>WERKPROGRAMMA</t>
  </si>
  <si>
    <t>Freq.</t>
  </si>
  <si>
    <t>Ruimtesoort 1.</t>
  </si>
  <si>
    <t>Verkeersruimten</t>
  </si>
  <si>
    <t>DAGELIJKSE WERKZAAMHEDEN</t>
  </si>
  <si>
    <t>Prullenbakken legen en zo nodig zak verwisselen.</t>
  </si>
  <si>
    <t>X</t>
  </si>
  <si>
    <t>Deuren (inclusief omlijsting) vlek- en vingertasten verwijderen.</t>
  </si>
  <si>
    <t>Entreematten stof zuigen.</t>
  </si>
  <si>
    <t>Glazen toegangsdeuren tweezijdig vlek- en vingertasten verwijderen.</t>
  </si>
  <si>
    <t>(Tocht) deuren tweezijdig vlek- en vingertasten verwijderen.</t>
  </si>
  <si>
    <t>Glas bij receptie tweezijdig vlek- en vingertasten verwijderen.</t>
  </si>
  <si>
    <t>Spinrag verwijderen (hoog en laag).</t>
  </si>
  <si>
    <r>
      <t xml:space="preserve">Vloer </t>
    </r>
    <r>
      <rPr>
        <b/>
        <sz val="10"/>
        <color indexed="8"/>
        <rFont val="Times New Roman"/>
        <family val="1"/>
      </rPr>
      <t>lino/pvc/rubber/steen</t>
    </r>
    <r>
      <rPr>
        <sz val="10"/>
        <color indexed="8"/>
        <rFont val="Times New Roman"/>
        <family val="1"/>
      </rPr>
      <t xml:space="preserve"> stofwissen en vlekverwijderen.</t>
    </r>
  </si>
  <si>
    <r>
      <t xml:space="preserve">Vloer </t>
    </r>
    <r>
      <rPr>
        <b/>
        <sz val="10"/>
        <color indexed="8"/>
        <rFont val="Times New Roman"/>
        <family val="1"/>
      </rPr>
      <t>tapijt</t>
    </r>
    <r>
      <rPr>
        <sz val="10"/>
        <color indexed="8"/>
        <rFont val="Times New Roman"/>
        <family val="1"/>
      </rPr>
      <t xml:space="preserve"> tippend stofzuigen.</t>
    </r>
  </si>
  <si>
    <t>Buitenentree direct (2 mtr) voor de entreedeuren aanvegen.</t>
  </si>
  <si>
    <t>WEKELIJKSE WERKZAAMHEDEN</t>
  </si>
  <si>
    <t>Glasdeuren tweezijdig wassen.</t>
  </si>
  <si>
    <t>(Tocht) deuren tweezijdig wassen.</t>
  </si>
  <si>
    <t>Glas receptie tweezijdig wassen.</t>
  </si>
  <si>
    <r>
      <t xml:space="preserve">Vloer </t>
    </r>
    <r>
      <rPr>
        <b/>
        <sz val="10"/>
        <color indexed="8"/>
        <rFont val="Times New Roman"/>
        <family val="1"/>
      </rPr>
      <t>lino/pvc/rubber/steen</t>
    </r>
    <r>
      <rPr>
        <sz val="10"/>
        <color indexed="8"/>
        <rFont val="Times New Roman"/>
        <family val="1"/>
      </rPr>
      <t xml:space="preserve"> moppen.</t>
    </r>
  </si>
  <si>
    <r>
      <t xml:space="preserve">Vloer </t>
    </r>
    <r>
      <rPr>
        <b/>
        <sz val="10"/>
        <color indexed="8"/>
        <rFont val="Times New Roman"/>
        <family val="1"/>
      </rPr>
      <t>tapijt</t>
    </r>
    <r>
      <rPr>
        <sz val="10"/>
        <color indexed="8"/>
        <rFont val="Times New Roman"/>
        <family val="1"/>
      </rPr>
      <t xml:space="preserve"> geheel zuigen.</t>
    </r>
  </si>
  <si>
    <t>Gietvloeren schrobben met schrobzuigmachine</t>
  </si>
  <si>
    <t>2- WEKELIJKSE WERKZAAMHEDEN</t>
  </si>
  <si>
    <t>Prullenbakken buitenzijde nat reinigen.</t>
  </si>
  <si>
    <t>Deuren inclusief omlijsting geheel nat reinigen.</t>
  </si>
  <si>
    <t>Brandblusapparatuur geheel stof- en vlekvrij maken.</t>
  </si>
  <si>
    <t>Kapstokken stofvrij maken.</t>
  </si>
  <si>
    <t>Lage kasten en kluisjes boven- en voorzijde stof- en vlekverwijderen.</t>
  </si>
  <si>
    <t>Tafels boven- en achterzijde stof- en vlekvrij maken.</t>
  </si>
  <si>
    <t>Lichtschakelaars en stopcontacten stof- en vlekverwijderen.</t>
  </si>
  <si>
    <t>Plinten, randen en richels tot reikhoogte stofvrij maken.</t>
  </si>
  <si>
    <t>Radiatoren bovenzijde stofvrij maken.</t>
  </si>
  <si>
    <t>Stoelen, banken en krukken (hard) stof en vlek verwijderen.</t>
  </si>
  <si>
    <t>Stoelen, banken en krukken met stoffenbekleding stofzuigen.</t>
  </si>
  <si>
    <r>
      <t xml:space="preserve">Vensterbanken </t>
    </r>
    <r>
      <rPr>
        <b/>
        <sz val="10"/>
        <color indexed="8"/>
        <rFont val="Times New Roman"/>
        <family val="1"/>
      </rPr>
      <t>mits ontruimd</t>
    </r>
    <r>
      <rPr>
        <sz val="10"/>
        <color indexed="8"/>
        <rFont val="Times New Roman"/>
        <family val="1"/>
      </rPr>
      <t xml:space="preserve"> stof en vlek verwijderen.</t>
    </r>
  </si>
  <si>
    <t>PERIODIEKE WERKZAAMHEDEN</t>
  </si>
  <si>
    <t>Afvalbakken binnen en buitenkant nat reinigen.</t>
  </si>
  <si>
    <t>Bureaus, tafels geheel nat reinigen.</t>
  </si>
  <si>
    <t>Kasten hoog en laag buitenzijde geheel vochtig afnemen.</t>
  </si>
  <si>
    <t>Radiatoren geheel nat reinigen.</t>
  </si>
  <si>
    <t>Randen en richels boven reikhoogte stofvrij maken.</t>
  </si>
  <si>
    <t>Stoelen, banken en krukken (hard) geheel nat reinigen.</t>
  </si>
  <si>
    <t>Verlichtingsarmaturen buitenzijde geheel stofvrij maken.</t>
  </si>
  <si>
    <t>Boven reikhoogte is &gt; 2 meter.</t>
  </si>
  <si>
    <t>Ruimtesoort 2.</t>
  </si>
  <si>
    <t>3x per dag</t>
  </si>
  <si>
    <t xml:space="preserve">Het legen van de prullenbakken en zonodig vervangen van de </t>
  </si>
  <si>
    <t>plastic zakken.</t>
  </si>
  <si>
    <t>Deuren inclusief omlijsting vlek- en vingertasten verwijderen.</t>
  </si>
  <si>
    <t>Doorspoelinstallatie nat reinigen.</t>
  </si>
  <si>
    <t xml:space="preserve">Glazen toegangsdeuren tweezijdig vlek- en vingertasten </t>
  </si>
  <si>
    <t>Planchetten geheel nat reinigen.</t>
  </si>
  <si>
    <t>Spiegels geheel nat reinigen.</t>
  </si>
  <si>
    <t>Dispensers buitenzijde vochtig afnemen en indien nodig vullen.</t>
  </si>
  <si>
    <t>Toiletpotten binnen- en buitenzijde nat reinigen.</t>
  </si>
  <si>
    <t>Urinoirs binnen- en buitenzijde nat reinigen.</t>
  </si>
  <si>
    <t>Wanden rondom potten, urinoirs en wasbakken vochtig afnemen</t>
  </si>
  <si>
    <t>Wastafels inclusief toebehoren geheel vochtig reinigen.</t>
  </si>
  <si>
    <t>Spinrag hoog en laag verwijderen.</t>
  </si>
  <si>
    <t>Afvalbakken buitenzijde nat reinigen.</t>
  </si>
  <si>
    <t>Verlichtingsarmaturen tot reikhoogte stof- en vlekverwijderen.</t>
  </si>
  <si>
    <t>Horizontale vlakken tot reikhoogte stof- en vlekverwijderen.</t>
  </si>
  <si>
    <t>Plinten, randen en richels tot reikhoogte stof- en vlekverwijderen.</t>
  </si>
  <si>
    <t>Vensterbanken mits ontruimd stof- en vlekverwijderen.</t>
  </si>
  <si>
    <r>
      <t xml:space="preserve">Vloer </t>
    </r>
    <r>
      <rPr>
        <b/>
        <sz val="10"/>
        <color indexed="8"/>
        <rFont val="Times New Roman"/>
        <family val="1"/>
      </rPr>
      <t>lino/pvc/rubber/steen</t>
    </r>
    <r>
      <rPr>
        <sz val="10"/>
        <color indexed="8"/>
        <rFont val="Times New Roman"/>
        <family val="1"/>
      </rPr>
      <t xml:space="preserve"> schrobben.</t>
    </r>
  </si>
  <si>
    <t>Afvalbakken geheel nat reinigen.</t>
  </si>
  <si>
    <t>Het geheel nat afnemen van alle afwasbare wanden.</t>
  </si>
  <si>
    <t>Ventilatieroosters goed reinigen</t>
  </si>
  <si>
    <t>Toiletten</t>
  </si>
  <si>
    <t>Wasruimten</t>
  </si>
  <si>
    <t>Douche installatie nat reinigen.</t>
  </si>
  <si>
    <t>Ruimtesoort 4.</t>
  </si>
  <si>
    <t>Kantoren / receptie</t>
  </si>
  <si>
    <t>TWEE MAAL PER WEEK (di en vr)</t>
  </si>
  <si>
    <t>Telefoon geheel klamvochtig afnemen.</t>
  </si>
  <si>
    <t>Bureaus, tafels bovenzijde stof- en vlekverwijderen.</t>
  </si>
  <si>
    <t>Lage kasten bovenzijde stof- en vlekverwijderen.</t>
  </si>
  <si>
    <t>Spinrag verwijderen hoog en laag</t>
  </si>
  <si>
    <t>TWEE WEKELIJKSE WERKZAAMHEDEN</t>
  </si>
  <si>
    <t>Afvalbakken buitenzijde nat reingen.</t>
  </si>
  <si>
    <t>Bureaulamp en armatuur tot reikhoogte stof- en vlekverwijderen.</t>
  </si>
  <si>
    <t>Horizontale vlakken stof- en vlekverwijderen.</t>
  </si>
  <si>
    <t>Bureaus, tafels en balie receptie geheel nat reinigen.</t>
  </si>
  <si>
    <t>Stoelen, banken en krukken (gestoffeerd) stofzuigen.</t>
  </si>
  <si>
    <t>Ruimtesoort 5.</t>
  </si>
  <si>
    <t>Restaurant</t>
  </si>
  <si>
    <t>Tafels bovenzijde stof- en vlekverwijderen.</t>
  </si>
  <si>
    <t>Lage kasten boven- en voorzijde stof- en vlekverwijderen.</t>
  </si>
  <si>
    <t>Spinrag verwijderen hoog en laag.</t>
  </si>
  <si>
    <r>
      <t xml:space="preserve">Vloer </t>
    </r>
    <r>
      <rPr>
        <sz val="10"/>
        <color indexed="8"/>
        <rFont val="Times New Roman"/>
        <family val="1"/>
      </rPr>
      <t>wissen en moppen.</t>
    </r>
  </si>
  <si>
    <t>Afvalbakken buitenbzijde nat reinigen.</t>
  </si>
  <si>
    <t>Tafels en stoelen geheel nat reinigen.</t>
  </si>
  <si>
    <t>Ruimtesoort 6.</t>
  </si>
  <si>
    <t>Leslokaal</t>
  </si>
  <si>
    <t>DAGELIJKS WERKZAAMHEDEN</t>
  </si>
  <si>
    <t>Eventueel aanwezige wasbakken/tafels nat reinigen.</t>
  </si>
  <si>
    <r>
      <t xml:space="preserve">Vloer </t>
    </r>
    <r>
      <rPr>
        <b/>
        <sz val="10"/>
        <color indexed="8"/>
        <rFont val="Times New Roman"/>
        <family val="1"/>
      </rPr>
      <t>lino/pvc/steen</t>
    </r>
    <r>
      <rPr>
        <sz val="10"/>
        <color indexed="8"/>
        <rFont val="Times New Roman"/>
        <family val="1"/>
      </rPr>
      <t xml:space="preserve"> stofwissen en vlekverwijderen.</t>
    </r>
  </si>
  <si>
    <t>Dreuren vlekken en vingertasten verwijderen.</t>
  </si>
  <si>
    <t>Telefoon geheel stof, vlek en vingertasten verwijderen.</t>
  </si>
  <si>
    <t xml:space="preserve">Kauwgom verwijderen </t>
  </si>
  <si>
    <t>Ruimtesoort 7.</t>
  </si>
  <si>
    <t>Activiteitenruimte / Woonkamer</t>
  </si>
  <si>
    <t>Meubilair stof- en vlekverwijderen.</t>
  </si>
  <si>
    <t>2 - WEKELIJKSE WERKZAAMHEDEN</t>
  </si>
  <si>
    <t>Stoelen hard stof- en vlekverwijderen.</t>
  </si>
  <si>
    <t>Vloer tapijt geheel zuigen</t>
  </si>
  <si>
    <t>Bureaus, tafels en receptie geheel nat reinigen.</t>
  </si>
  <si>
    <t>Kauwgom verwijderen</t>
  </si>
  <si>
    <t>Vergaderruimte/spreekruimte</t>
  </si>
  <si>
    <t>Ruimtesoort 8.</t>
  </si>
  <si>
    <t>dagelijkse inzet aan uren</t>
  </si>
  <si>
    <t>2 personen dienen samen op te werken.</t>
  </si>
  <si>
    <t>Gevelglas buitenzijde begena grond</t>
  </si>
  <si>
    <t>Hygiënebox - 1x per 2 weken wisselen</t>
  </si>
  <si>
    <t>Prijs per stuk per lediging</t>
  </si>
  <si>
    <t>Navulling voor zeeddispenser</t>
  </si>
  <si>
    <t>Navulling voor Tork</t>
  </si>
  <si>
    <t>1 stuk</t>
  </si>
  <si>
    <t>Toiletborstel - Optioneel</t>
  </si>
  <si>
    <t>Toilet papier (2 laags)</t>
  </si>
  <si>
    <t>Fictieve afname:</t>
  </si>
  <si>
    <t>Luchtverfrisser</t>
  </si>
  <si>
    <t>270 ml</t>
  </si>
  <si>
    <t>Rol</t>
  </si>
  <si>
    <t>380 meter 1 rol</t>
  </si>
  <si>
    <t>1 liter</t>
  </si>
  <si>
    <t>fles</t>
  </si>
  <si>
    <t>per rol</t>
  </si>
  <si>
    <t>rol</t>
  </si>
  <si>
    <t>Papieren handdoekjes</t>
  </si>
  <si>
    <t>per pak</t>
  </si>
  <si>
    <t>pak</t>
  </si>
  <si>
    <t>aantal ledigingen</t>
  </si>
  <si>
    <t>Stuks</t>
  </si>
  <si>
    <t xml:space="preserve">Freq.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</si>
</sst>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&quot;fl&quot;\ * #,##0.00_-;_-&quot;fl&quot;\ * #,##0.00\-;_-&quot;fl&quot;\ * &quot;-&quot;??_-;_-@_-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00"/>
    <numFmt numFmtId="170" formatCode="0.000%"/>
    <numFmt numFmtId="171" formatCode="_([$€]* #,##0.00_);_([$€]* \(#,##0.00\);_([$€]* &quot;-&quot;??_);_(@_)"/>
    <numFmt numFmtId="172" formatCode="_-[$€-2]\ * #,##0.00_-;_-[$€-2]\ * #,##0.00\-;_-[$€-2]\ * &quot;-&quot;??_-;_-@_-"/>
    <numFmt numFmtId="173" formatCode="_ [$€-413]\ * #,##0.00_ ;_ [$€-413]\ * \-#,##0.00_ ;_ [$€-413]\ * &quot;-&quot;??_ ;_ @_ "/>
    <numFmt numFmtId="174" formatCode="0\ &quot;m2&quot;"/>
    <numFmt numFmtId="175" formatCode="_-&quot;F&quot;\ * #,##0_-;_-&quot;F&quot;\ * #,##0\-;_-&quot;F&quot;\ * &quot;-&quot;_-;_-@_-"/>
    <numFmt numFmtId="176" formatCode="_-&quot;F&quot;\ * #,##0.00_-;_-&quot;F&quot;\ * #,##0.00\-;_-&quot;F&quot;\ * &quot;-&quot;??_-;_-@_-"/>
    <numFmt numFmtId="177" formatCode="_ [$€-2]\ * #,##0.00_ ;_ [$€-2]\ * \-#,##0.00_ ;_ [$€-2]\ * &quot;-&quot;??_ ;_ @_ "/>
    <numFmt numFmtId="178" formatCode="#,##0.00_ ;\-#,##0.00\ "/>
    <numFmt numFmtId="179" formatCode="&quot;€&quot;\ #,##0.00"/>
    <numFmt numFmtId="180" formatCode="_(* #,##0.0_);_(* \(#,##0.0\);_(* &quot;-&quot;??_);_(@_)"/>
  </numFmts>
  <fonts count="58">
    <font>
      <sz val="10"/>
      <name val="Arial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36"/>
      <name val="Univers"/>
      <family val="2"/>
    </font>
    <font>
      <b/>
      <sz val="10"/>
      <name val="Arial"/>
      <family val="2"/>
    </font>
    <font>
      <sz val="9"/>
      <name val="Humnst777 BT"/>
      <family val="2"/>
    </font>
    <font>
      <sz val="10"/>
      <name val="Courier"/>
      <family val="3"/>
    </font>
    <font>
      <b/>
      <sz val="11"/>
      <color indexed="9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sz val="9"/>
      <color indexed="9"/>
      <name val="Verdana"/>
      <family val="2"/>
    </font>
    <font>
      <u/>
      <sz val="9"/>
      <name val="Verdana"/>
      <family val="2"/>
    </font>
    <font>
      <vertAlign val="superscript"/>
      <sz val="9"/>
      <name val="Verdana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b/>
      <u/>
      <sz val="12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9"/>
      <color theme="1"/>
      <name val="Verdana"/>
      <family val="2"/>
    </font>
    <font>
      <b/>
      <sz val="12"/>
      <color theme="0"/>
      <name val="Verdana"/>
      <family val="2"/>
    </font>
    <font>
      <b/>
      <sz val="9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sz val="9"/>
      <color rgb="FFFFFFFF"/>
      <name val="Verdana"/>
      <family val="2"/>
    </font>
    <font>
      <b/>
      <sz val="9"/>
      <color rgb="FFFF0000"/>
      <name val="Verdana"/>
      <family val="2"/>
    </font>
    <font>
      <sz val="9"/>
      <name val="Geneva"/>
    </font>
    <font>
      <sz val="9"/>
      <color rgb="FFFF0000"/>
      <name val="Verdana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1"/>
      <color rgb="FFFF0000"/>
      <name val="Times New Roman"/>
      <family val="1"/>
    </font>
    <font>
      <b/>
      <sz val="10"/>
      <color theme="1"/>
      <name val="Times New Roman"/>
      <family val="1"/>
    </font>
    <font>
      <strike/>
      <sz val="10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0.249977111117893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76">
    <xf numFmtId="0" fontId="0" fillId="0" borderId="0"/>
    <xf numFmtId="0" fontId="12" fillId="0" borderId="0"/>
    <xf numFmtId="17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68" fontId="6" fillId="0" borderId="0" applyFont="0" applyFill="0" applyBorder="0" applyAlignment="0" applyProtection="0"/>
    <xf numFmtId="165" fontId="8" fillId="0" borderId="0">
      <alignment horizontal="center" vertical="center" textRotation="90" wrapText="1"/>
    </xf>
    <xf numFmtId="0" fontId="14" fillId="2" borderId="1"/>
    <xf numFmtId="174" fontId="9" fillId="0" borderId="0"/>
    <xf numFmtId="0" fontId="15" fillId="0" borderId="0" applyNumberFormat="0" applyBorder="0">
      <protection locked="0"/>
    </xf>
    <xf numFmtId="0" fontId="16" fillId="0" borderId="0"/>
    <xf numFmtId="0" fontId="17" fillId="3" borderId="2" applyNumberFormat="0" applyFont="0" applyFill="0" applyBorder="0" applyAlignment="0">
      <alignment horizontal="right"/>
    </xf>
    <xf numFmtId="0" fontId="14" fillId="4" borderId="3" applyNumberFormat="0" applyFont="0" applyBorder="0">
      <alignment horizontal="center"/>
    </xf>
    <xf numFmtId="0" fontId="10" fillId="0" borderId="0"/>
    <xf numFmtId="0" fontId="21" fillId="0" borderId="0"/>
    <xf numFmtId="0" fontId="6" fillId="0" borderId="0"/>
    <xf numFmtId="167" fontId="6" fillId="0" borderId="0" applyFont="0" applyFill="0" applyBorder="0" applyAlignment="0" applyProtection="0"/>
    <xf numFmtId="175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9" fillId="2" borderId="1"/>
    <xf numFmtId="0" fontId="6" fillId="0" borderId="0"/>
    <xf numFmtId="0" fontId="5" fillId="0" borderId="0"/>
    <xf numFmtId="9" fontId="6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44" fontId="38" fillId="0" borderId="0" applyFont="0" applyFill="0" applyBorder="0" applyAlignment="0" applyProtection="0"/>
    <xf numFmtId="0" fontId="41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" fillId="0" borderId="0"/>
    <xf numFmtId="0" fontId="2" fillId="0" borderId="0"/>
    <xf numFmtId="44" fontId="6" fillId="0" borderId="0" applyFont="0" applyFill="0" applyBorder="0" applyAlignment="0" applyProtection="0"/>
    <xf numFmtId="0" fontId="2" fillId="0" borderId="0"/>
    <xf numFmtId="4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</cellStyleXfs>
  <cellXfs count="320">
    <xf numFmtId="0" fontId="0" fillId="0" borderId="0" xfId="0"/>
    <xf numFmtId="0" fontId="24" fillId="0" borderId="0" xfId="0" applyFont="1"/>
    <xf numFmtId="0" fontId="29" fillId="0" borderId="0" xfId="28" applyFont="1"/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4" fillId="0" borderId="0" xfId="29" applyFont="1" applyAlignment="1">
      <alignment vertical="center"/>
    </xf>
    <xf numFmtId="164" fontId="24" fillId="5" borderId="9" xfId="0" applyNumberFormat="1" applyFont="1" applyFill="1" applyBorder="1" applyAlignment="1">
      <alignment horizontal="left" vertical="center"/>
    </xf>
    <xf numFmtId="10" fontId="24" fillId="5" borderId="9" xfId="0" applyNumberFormat="1" applyFont="1" applyFill="1" applyBorder="1" applyAlignment="1">
      <alignment horizontal="center" vertical="center"/>
    </xf>
    <xf numFmtId="173" fontId="24" fillId="0" borderId="9" xfId="0" applyNumberFormat="1" applyFont="1" applyBorder="1" applyAlignment="1">
      <alignment vertical="center"/>
    </xf>
    <xf numFmtId="10" fontId="24" fillId="0" borderId="9" xfId="0" applyNumberFormat="1" applyFont="1" applyBorder="1" applyAlignment="1">
      <alignment horizontal="center" vertical="center"/>
    </xf>
    <xf numFmtId="171" fontId="24" fillId="0" borderId="9" xfId="2" applyFont="1" applyBorder="1" applyAlignment="1" applyProtection="1">
      <alignment horizontal="left" vertical="center"/>
      <protection locked="0"/>
    </xf>
    <xf numFmtId="172" fontId="24" fillId="0" borderId="9" xfId="30" applyNumberFormat="1" applyFont="1" applyBorder="1" applyAlignment="1" applyProtection="1">
      <alignment horizontal="left" vertical="center"/>
      <protection hidden="1"/>
    </xf>
    <xf numFmtId="0" fontId="27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170" fontId="24" fillId="0" borderId="0" xfId="0" applyNumberFormat="1" applyFont="1" applyAlignment="1">
      <alignment vertical="center"/>
    </xf>
    <xf numFmtId="170" fontId="24" fillId="0" borderId="0" xfId="0" applyNumberFormat="1" applyFont="1" applyAlignment="1" applyProtection="1">
      <alignment horizontal="center" vertical="center"/>
      <protection locked="0"/>
    </xf>
    <xf numFmtId="166" fontId="24" fillId="0" borderId="0" xfId="0" applyNumberFormat="1" applyFont="1" applyAlignment="1" applyProtection="1">
      <alignment horizontal="left" vertical="center"/>
      <protection hidden="1"/>
    </xf>
    <xf numFmtId="0" fontId="24" fillId="0" borderId="0" xfId="0" applyFont="1" applyAlignment="1">
      <alignment horizontal="center" vertical="center"/>
    </xf>
    <xf numFmtId="170" fontId="24" fillId="0" borderId="0" xfId="0" applyNumberFormat="1" applyFont="1" applyAlignment="1">
      <alignment horizontal="center" vertical="center"/>
    </xf>
    <xf numFmtId="172" fontId="24" fillId="0" borderId="0" xfId="30" applyNumberFormat="1" applyFont="1" applyAlignment="1" applyProtection="1">
      <alignment horizontal="left" vertical="center"/>
      <protection hidden="1"/>
    </xf>
    <xf numFmtId="171" fontId="24" fillId="0" borderId="0" xfId="2" applyFont="1" applyAlignment="1" applyProtection="1">
      <alignment horizontal="left" vertical="center"/>
      <protection locked="0"/>
    </xf>
    <xf numFmtId="9" fontId="24" fillId="0" borderId="9" xfId="0" applyNumberFormat="1" applyFont="1" applyBorder="1" applyAlignment="1">
      <alignment horizontal="center" vertical="center"/>
    </xf>
    <xf numFmtId="173" fontId="24" fillId="0" borderId="9" xfId="0" applyNumberFormat="1" applyFont="1" applyBorder="1" applyAlignment="1" applyProtection="1">
      <alignment vertical="center"/>
      <protection locked="0"/>
    </xf>
    <xf numFmtId="173" fontId="24" fillId="0" borderId="9" xfId="2" applyNumberFormat="1" applyFont="1" applyBorder="1" applyAlignment="1" applyProtection="1">
      <alignment horizontal="left" vertical="center"/>
      <protection hidden="1"/>
    </xf>
    <xf numFmtId="173" fontId="24" fillId="0" borderId="0" xfId="0" applyNumberFormat="1" applyFont="1" applyAlignment="1">
      <alignment vertical="center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center" vertical="center" wrapText="1"/>
    </xf>
    <xf numFmtId="4" fontId="24" fillId="0" borderId="0" xfId="0" applyNumberFormat="1" applyFont="1" applyAlignment="1">
      <alignment vertical="center"/>
    </xf>
    <xf numFmtId="4" fontId="24" fillId="0" borderId="0" xfId="0" applyNumberFormat="1" applyFont="1" applyAlignment="1">
      <alignment horizontal="center" vertical="center"/>
    </xf>
    <xf numFmtId="164" fontId="24" fillId="0" borderId="0" xfId="8" applyFont="1" applyAlignment="1">
      <alignment vertical="center"/>
    </xf>
    <xf numFmtId="0" fontId="25" fillId="0" borderId="0" xfId="0" applyFont="1" applyAlignment="1">
      <alignment vertical="center"/>
    </xf>
    <xf numFmtId="3" fontId="24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left" vertical="center"/>
    </xf>
    <xf numFmtId="164" fontId="24" fillId="6" borderId="0" xfId="0" applyNumberFormat="1" applyFont="1" applyFill="1" applyAlignment="1">
      <alignment horizontal="center" vertical="center"/>
    </xf>
    <xf numFmtId="3" fontId="24" fillId="0" borderId="0" xfId="8" applyNumberFormat="1" applyFont="1" applyAlignment="1">
      <alignment vertical="center"/>
    </xf>
    <xf numFmtId="0" fontId="30" fillId="0" borderId="0" xfId="28" applyFont="1"/>
    <xf numFmtId="0" fontId="29" fillId="0" borderId="0" xfId="28" applyFont="1" applyAlignment="1">
      <alignment horizontal="center" vertical="center"/>
    </xf>
    <xf numFmtId="0" fontId="33" fillId="9" borderId="0" xfId="0" applyFont="1" applyFill="1" applyAlignment="1">
      <alignment horizontal="center" vertical="center" wrapText="1"/>
    </xf>
    <xf numFmtId="0" fontId="33" fillId="9" borderId="0" xfId="0" applyFont="1" applyFill="1" applyAlignment="1">
      <alignment vertical="center" wrapText="1"/>
    </xf>
    <xf numFmtId="164" fontId="33" fillId="9" borderId="0" xfId="0" applyNumberFormat="1" applyFont="1" applyFill="1" applyAlignment="1">
      <alignment horizontal="center" vertical="center" wrapText="1"/>
    </xf>
    <xf numFmtId="0" fontId="34" fillId="8" borderId="0" xfId="0" applyFont="1" applyFill="1" applyAlignment="1">
      <alignment horizontal="center" vertical="center"/>
    </xf>
    <xf numFmtId="164" fontId="34" fillId="5" borderId="0" xfId="0" applyNumberFormat="1" applyFont="1" applyFill="1" applyAlignment="1">
      <alignment horizontal="center" vertical="center"/>
    </xf>
    <xf numFmtId="0" fontId="34" fillId="7" borderId="0" xfId="0" applyFont="1" applyFill="1" applyAlignment="1">
      <alignment horizontal="center" vertical="center"/>
    </xf>
    <xf numFmtId="4" fontId="33" fillId="9" borderId="0" xfId="0" applyNumberFormat="1" applyFont="1" applyFill="1" applyAlignment="1">
      <alignment horizontal="center" vertical="center" wrapText="1"/>
    </xf>
    <xf numFmtId="164" fontId="33" fillId="9" borderId="0" xfId="8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2" fillId="9" borderId="0" xfId="0" applyFont="1" applyFill="1" applyAlignment="1">
      <alignment horizontal="center" vertical="center" wrapText="1"/>
    </xf>
    <xf numFmtId="4" fontId="32" fillId="9" borderId="0" xfId="0" applyNumberFormat="1" applyFont="1" applyFill="1" applyAlignment="1">
      <alignment horizontal="center" vertical="center" wrapText="1"/>
    </xf>
    <xf numFmtId="164" fontId="32" fillId="9" borderId="0" xfId="8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textRotation="90"/>
    </xf>
    <xf numFmtId="0" fontId="31" fillId="0" borderId="0" xfId="29" applyFont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textRotation="90" wrapText="1"/>
    </xf>
    <xf numFmtId="173" fontId="24" fillId="5" borderId="0" xfId="0" applyNumberFormat="1" applyFont="1" applyFill="1" applyAlignment="1">
      <alignment vertical="center"/>
    </xf>
    <xf numFmtId="0" fontId="24" fillId="6" borderId="0" xfId="0" applyFont="1" applyFill="1" applyAlignment="1">
      <alignment horizontal="center" vertical="center" textRotation="90"/>
    </xf>
    <xf numFmtId="0" fontId="24" fillId="6" borderId="0" xfId="0" applyFont="1" applyFill="1" applyAlignment="1">
      <alignment vertical="center"/>
    </xf>
    <xf numFmtId="2" fontId="25" fillId="6" borderId="0" xfId="0" applyNumberFormat="1" applyFont="1" applyFill="1" applyAlignment="1">
      <alignment vertical="center"/>
    </xf>
    <xf numFmtId="0" fontId="33" fillId="10" borderId="9" xfId="0" applyFont="1" applyFill="1" applyBorder="1" applyAlignment="1">
      <alignment horizontal="center" vertical="center" wrapText="1"/>
    </xf>
    <xf numFmtId="170" fontId="33" fillId="10" borderId="9" xfId="0" applyNumberFormat="1" applyFont="1" applyFill="1" applyBorder="1" applyAlignment="1">
      <alignment horizontal="center" vertical="center" wrapText="1"/>
    </xf>
    <xf numFmtId="0" fontId="32" fillId="10" borderId="7" xfId="0" applyFont="1" applyFill="1" applyBorder="1" applyAlignment="1">
      <alignment vertical="center" wrapText="1"/>
    </xf>
    <xf numFmtId="0" fontId="32" fillId="10" borderId="4" xfId="0" applyFont="1" applyFill="1" applyBorder="1" applyAlignment="1">
      <alignment vertical="center" wrapText="1"/>
    </xf>
    <xf numFmtId="169" fontId="24" fillId="0" borderId="0" xfId="0" applyNumberFormat="1" applyFont="1" applyAlignment="1">
      <alignment vertical="center"/>
    </xf>
    <xf numFmtId="0" fontId="33" fillId="9" borderId="9" xfId="0" applyFont="1" applyFill="1" applyBorder="1" applyAlignment="1">
      <alignment horizontal="center" vertical="center" wrapText="1"/>
    </xf>
    <xf numFmtId="0" fontId="33" fillId="9" borderId="9" xfId="0" applyFont="1" applyFill="1" applyBorder="1" applyAlignment="1">
      <alignment horizontal="left" vertical="center" wrapText="1"/>
    </xf>
    <xf numFmtId="173" fontId="33" fillId="9" borderId="9" xfId="0" applyNumberFormat="1" applyFont="1" applyFill="1" applyBorder="1" applyAlignment="1">
      <alignment horizontal="center" vertical="center" wrapText="1"/>
    </xf>
    <xf numFmtId="0" fontId="29" fillId="0" borderId="0" xfId="28" applyFont="1" applyAlignment="1">
      <alignment horizontal="center"/>
    </xf>
    <xf numFmtId="0" fontId="34" fillId="7" borderId="9" xfId="0" applyFont="1" applyFill="1" applyBorder="1" applyAlignment="1">
      <alignment horizontal="left" vertical="center"/>
    </xf>
    <xf numFmtId="0" fontId="34" fillId="8" borderId="9" xfId="0" applyFont="1" applyFill="1" applyBorder="1" applyAlignment="1">
      <alignment horizontal="left" vertical="center"/>
    </xf>
    <xf numFmtId="0" fontId="24" fillId="7" borderId="9" xfId="0" applyFont="1" applyFill="1" applyBorder="1" applyAlignment="1">
      <alignment vertical="center"/>
    </xf>
    <xf numFmtId="177" fontId="24" fillId="7" borderId="9" xfId="0" applyNumberFormat="1" applyFont="1" applyFill="1" applyBorder="1" applyAlignment="1">
      <alignment horizontal="center" vertical="center"/>
    </xf>
    <xf numFmtId="0" fontId="24" fillId="7" borderId="7" xfId="0" applyFont="1" applyFill="1" applyBorder="1" applyAlignment="1">
      <alignment vertical="center"/>
    </xf>
    <xf numFmtId="0" fontId="24" fillId="7" borderId="4" xfId="0" applyFont="1" applyFill="1" applyBorder="1" applyAlignment="1">
      <alignment vertical="center"/>
    </xf>
    <xf numFmtId="0" fontId="24" fillId="7" borderId="14" xfId="0" applyFont="1" applyFill="1" applyBorder="1" applyAlignment="1">
      <alignment vertical="center"/>
    </xf>
    <xf numFmtId="0" fontId="34" fillId="0" borderId="0" xfId="0" applyFont="1" applyAlignment="1">
      <alignment horizontal="center" vertical="center" textRotation="90"/>
    </xf>
    <xf numFmtId="0" fontId="34" fillId="13" borderId="0" xfId="0" applyFont="1" applyFill="1" applyAlignment="1">
      <alignment horizontal="left" vertical="center" wrapText="1"/>
    </xf>
    <xf numFmtId="0" fontId="34" fillId="0" borderId="0" xfId="0" applyFont="1"/>
    <xf numFmtId="173" fontId="36" fillId="13" borderId="9" xfId="0" applyNumberFormat="1" applyFont="1" applyFill="1" applyBorder="1" applyAlignment="1">
      <alignment vertical="center"/>
    </xf>
    <xf numFmtId="0" fontId="24" fillId="0" borderId="0" xfId="0" applyFont="1" applyAlignment="1">
      <alignment horizontal="right" vertical="center"/>
    </xf>
    <xf numFmtId="164" fontId="24" fillId="0" borderId="0" xfId="8" applyFont="1" applyAlignment="1">
      <alignment horizontal="right" vertical="center"/>
    </xf>
    <xf numFmtId="2" fontId="26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horizontal="right" vertical="center"/>
    </xf>
    <xf numFmtId="4" fontId="33" fillId="9" borderId="0" xfId="0" applyNumberFormat="1" applyFont="1" applyFill="1" applyAlignment="1">
      <alignment horizontal="right" vertical="center" wrapText="1"/>
    </xf>
    <xf numFmtId="0" fontId="37" fillId="13" borderId="9" xfId="0" applyFont="1" applyFill="1" applyBorder="1" applyAlignment="1">
      <alignment horizontal="center" vertical="center"/>
    </xf>
    <xf numFmtId="0" fontId="37" fillId="13" borderId="9" xfId="0" applyFont="1" applyFill="1" applyBorder="1" applyAlignment="1">
      <alignment vertical="center"/>
    </xf>
    <xf numFmtId="173" fontId="37" fillId="13" borderId="9" xfId="0" applyNumberFormat="1" applyFont="1" applyFill="1" applyBorder="1" applyAlignment="1">
      <alignment vertical="center"/>
    </xf>
    <xf numFmtId="0" fontId="34" fillId="0" borderId="9" xfId="0" applyFont="1" applyBorder="1" applyAlignment="1">
      <alignment horizontal="center" vertical="center"/>
    </xf>
    <xf numFmtId="0" fontId="34" fillId="0" borderId="9" xfId="0" applyFont="1" applyBorder="1" applyAlignment="1">
      <alignment vertical="center"/>
    </xf>
    <xf numFmtId="173" fontId="34" fillId="0" borderId="9" xfId="0" applyNumberFormat="1" applyFont="1" applyBorder="1" applyAlignment="1">
      <alignment vertical="center"/>
    </xf>
    <xf numFmtId="0" fontId="34" fillId="0" borderId="0" xfId="0" applyFont="1" applyAlignment="1">
      <alignment horizontal="center"/>
    </xf>
    <xf numFmtId="0" fontId="24" fillId="6" borderId="5" xfId="29" applyFont="1" applyFill="1" applyBorder="1" applyAlignment="1">
      <alignment vertical="center"/>
    </xf>
    <xf numFmtId="10" fontId="33" fillId="10" borderId="9" xfId="0" applyNumberFormat="1" applyFont="1" applyFill="1" applyBorder="1" applyAlignment="1">
      <alignment horizontal="center" vertical="center" wrapText="1"/>
    </xf>
    <xf numFmtId="44" fontId="24" fillId="5" borderId="9" xfId="47" applyFont="1" applyFill="1" applyBorder="1" applyAlignment="1">
      <alignment horizontal="center" vertical="center"/>
    </xf>
    <xf numFmtId="170" fontId="24" fillId="0" borderId="9" xfId="43" applyNumberFormat="1" applyFont="1" applyFill="1" applyBorder="1" applyAlignment="1">
      <alignment horizontal="center" vertical="center"/>
    </xf>
    <xf numFmtId="170" fontId="24" fillId="0" borderId="9" xfId="0" applyNumberFormat="1" applyFont="1" applyBorder="1" applyAlignment="1">
      <alignment horizontal="center" vertical="center"/>
    </xf>
    <xf numFmtId="0" fontId="32" fillId="10" borderId="9" xfId="0" applyFont="1" applyFill="1" applyBorder="1" applyAlignment="1">
      <alignment vertical="center" wrapText="1"/>
    </xf>
    <xf numFmtId="0" fontId="36" fillId="13" borderId="20" xfId="0" applyFont="1" applyFill="1" applyBorder="1" applyAlignment="1">
      <alignment horizontal="left" vertical="center" wrapText="1"/>
    </xf>
    <xf numFmtId="173" fontId="0" fillId="0" borderId="9" xfId="0" applyNumberFormat="1" applyBorder="1" applyAlignment="1">
      <alignment vertical="center"/>
    </xf>
    <xf numFmtId="0" fontId="39" fillId="14" borderId="9" xfId="0" applyFont="1" applyFill="1" applyBorder="1" applyAlignment="1">
      <alignment horizontal="left" vertical="center" wrapText="1"/>
    </xf>
    <xf numFmtId="173" fontId="33" fillId="9" borderId="14" xfId="0" applyNumberFormat="1" applyFont="1" applyFill="1" applyBorder="1" applyAlignment="1">
      <alignment horizontal="center" vertical="center" wrapText="1"/>
    </xf>
    <xf numFmtId="9" fontId="24" fillId="0" borderId="0" xfId="37" applyFont="1" applyAlignment="1">
      <alignment vertical="center"/>
    </xf>
    <xf numFmtId="9" fontId="29" fillId="0" borderId="0" xfId="37" applyFont="1"/>
    <xf numFmtId="3" fontId="34" fillId="0" borderId="0" xfId="57" applyNumberFormat="1" applyFont="1" applyAlignment="1">
      <alignment horizontal="center" vertical="center"/>
    </xf>
    <xf numFmtId="173" fontId="29" fillId="0" borderId="0" xfId="28" applyNumberFormat="1" applyFont="1"/>
    <xf numFmtId="44" fontId="29" fillId="0" borderId="0" xfId="53" applyFont="1"/>
    <xf numFmtId="44" fontId="24" fillId="0" borderId="0" xfId="0" applyNumberFormat="1" applyFont="1" applyAlignment="1">
      <alignment vertical="center"/>
    </xf>
    <xf numFmtId="178" fontId="24" fillId="0" borderId="0" xfId="0" applyNumberFormat="1" applyFont="1" applyAlignment="1">
      <alignment vertical="center"/>
    </xf>
    <xf numFmtId="44" fontId="24" fillId="0" borderId="0" xfId="0" applyNumberFormat="1" applyFont="1" applyAlignment="1">
      <alignment vertical="center" wrapText="1"/>
    </xf>
    <xf numFmtId="1" fontId="24" fillId="0" borderId="0" xfId="0" applyNumberFormat="1" applyFont="1" applyAlignment="1">
      <alignment vertical="center"/>
    </xf>
    <xf numFmtId="0" fontId="1" fillId="12" borderId="0" xfId="0" applyFont="1" applyFill="1" applyAlignment="1">
      <alignment horizontal="center" vertical="center"/>
    </xf>
    <xf numFmtId="0" fontId="1" fillId="12" borderId="0" xfId="0" applyFont="1" applyFill="1" applyAlignment="1">
      <alignment horizontal="left" vertical="center"/>
    </xf>
    <xf numFmtId="0" fontId="1" fillId="12" borderId="0" xfId="0" applyFont="1" applyFill="1" applyAlignment="1">
      <alignment vertical="center"/>
    </xf>
    <xf numFmtId="0" fontId="1" fillId="12" borderId="0" xfId="0" applyFont="1" applyFill="1" applyAlignment="1">
      <alignment horizontal="right" vertical="center"/>
    </xf>
    <xf numFmtId="173" fontId="1" fillId="12" borderId="0" xfId="0" applyNumberFormat="1" applyFont="1" applyFill="1" applyAlignment="1">
      <alignment horizontal="center" vertical="center"/>
    </xf>
    <xf numFmtId="178" fontId="29" fillId="0" borderId="0" xfId="28" applyNumberFormat="1" applyFont="1"/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4" fontId="34" fillId="0" borderId="0" xfId="0" applyNumberFormat="1" applyFont="1" applyAlignment="1">
      <alignment vertical="center"/>
    </xf>
    <xf numFmtId="4" fontId="34" fillId="0" borderId="0" xfId="0" applyNumberFormat="1" applyFont="1" applyAlignment="1">
      <alignment horizontal="center" vertical="center"/>
    </xf>
    <xf numFmtId="4" fontId="34" fillId="0" borderId="0" xfId="0" applyNumberFormat="1" applyFont="1" applyAlignment="1">
      <alignment horizontal="right" vertical="center"/>
    </xf>
    <xf numFmtId="173" fontId="34" fillId="0" borderId="0" xfId="0" applyNumberFormat="1" applyFont="1" applyAlignment="1">
      <alignment horizontal="center" vertical="center"/>
    </xf>
    <xf numFmtId="44" fontId="34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4" fontId="1" fillId="0" borderId="18" xfId="53" applyFont="1" applyFill="1" applyBorder="1" applyAlignment="1">
      <alignment horizontal="left" vertical="center"/>
    </xf>
    <xf numFmtId="44" fontId="34" fillId="0" borderId="18" xfId="53" applyFont="1" applyFill="1" applyBorder="1" applyAlignment="1">
      <alignment horizontal="left" vertical="center"/>
    </xf>
    <xf numFmtId="1" fontId="3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3" fontId="1" fillId="0" borderId="0" xfId="0" applyNumberFormat="1" applyFont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4" fontId="32" fillId="9" borderId="5" xfId="8" applyNumberFormat="1" applyFont="1" applyFill="1" applyBorder="1" applyAlignment="1">
      <alignment horizontal="center" vertical="center" wrapText="1"/>
    </xf>
    <xf numFmtId="0" fontId="1" fillId="11" borderId="0" xfId="0" applyFont="1" applyFill="1" applyAlignment="1">
      <alignment horizontal="left" vertical="center"/>
    </xf>
    <xf numFmtId="0" fontId="1" fillId="11" borderId="0" xfId="0" applyFont="1" applyFill="1" applyAlignment="1">
      <alignment vertical="center"/>
    </xf>
    <xf numFmtId="173" fontId="1" fillId="11" borderId="0" xfId="0" applyNumberFormat="1" applyFont="1" applyFill="1" applyAlignment="1">
      <alignment horizontal="center" vertical="center"/>
    </xf>
    <xf numFmtId="44" fontId="34" fillId="0" borderId="0" xfId="53" applyFont="1" applyFill="1" applyAlignment="1">
      <alignment horizontal="center" vertical="center"/>
    </xf>
    <xf numFmtId="164" fontId="33" fillId="9" borderId="0" xfId="8" applyFont="1" applyFill="1" applyAlignment="1">
      <alignment horizontal="center" wrapText="1"/>
    </xf>
    <xf numFmtId="4" fontId="1" fillId="0" borderId="0" xfId="0" applyNumberFormat="1" applyFont="1" applyAlignment="1">
      <alignment horizontal="center" vertical="center"/>
    </xf>
    <xf numFmtId="0" fontId="3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9" xfId="0" applyFont="1" applyBorder="1" applyAlignment="1">
      <alignment horizontal="left" vertical="center"/>
    </xf>
    <xf numFmtId="170" fontId="24" fillId="5" borderId="9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9" fontId="24" fillId="0" borderId="9" xfId="0" applyNumberFormat="1" applyFont="1" applyBorder="1" applyAlignment="1">
      <alignment vertical="center"/>
    </xf>
    <xf numFmtId="170" fontId="1" fillId="13" borderId="9" xfId="0" applyNumberFormat="1" applyFont="1" applyFill="1" applyBorder="1" applyAlignment="1">
      <alignment horizontal="center" vertical="center"/>
    </xf>
    <xf numFmtId="172" fontId="1" fillId="13" borderId="9" xfId="30" applyNumberFormat="1" applyFont="1" applyFill="1" applyBorder="1" applyAlignment="1" applyProtection="1">
      <alignment horizontal="left" vertical="center"/>
      <protection hidden="1"/>
    </xf>
    <xf numFmtId="177" fontId="24" fillId="0" borderId="9" xfId="0" applyNumberFormat="1" applyFont="1" applyBorder="1" applyAlignment="1">
      <alignment vertical="center"/>
    </xf>
    <xf numFmtId="9" fontId="24" fillId="0" borderId="9" xfId="43" applyFont="1" applyBorder="1" applyAlignment="1">
      <alignment vertical="center"/>
    </xf>
    <xf numFmtId="170" fontId="1" fillId="13" borderId="9" xfId="0" applyNumberFormat="1" applyFont="1" applyFill="1" applyBorder="1" applyAlignment="1" applyProtection="1">
      <alignment horizontal="center" vertical="center"/>
      <protection locked="0"/>
    </xf>
    <xf numFmtId="172" fontId="1" fillId="13" borderId="9" xfId="2" applyNumberFormat="1" applyFont="1" applyFill="1" applyBorder="1" applyAlignment="1" applyProtection="1">
      <alignment horizontal="left" vertical="center"/>
      <protection hidden="1"/>
    </xf>
    <xf numFmtId="171" fontId="24" fillId="0" borderId="9" xfId="0" applyNumberFormat="1" applyFont="1" applyBorder="1" applyAlignment="1">
      <alignment vertical="center"/>
    </xf>
    <xf numFmtId="171" fontId="1" fillId="13" borderId="9" xfId="2" applyFont="1" applyFill="1" applyBorder="1" applyAlignment="1" applyProtection="1">
      <alignment horizontal="left" vertical="center"/>
      <protection locked="0"/>
    </xf>
    <xf numFmtId="14" fontId="1" fillId="0" borderId="9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8" fontId="1" fillId="0" borderId="9" xfId="19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179" fontId="1" fillId="0" borderId="9" xfId="47" applyNumberFormat="1" applyFont="1" applyBorder="1" applyAlignment="1">
      <alignment horizontal="center" vertical="center"/>
    </xf>
    <xf numFmtId="44" fontId="1" fillId="0" borderId="9" xfId="47" applyFont="1" applyBorder="1" applyAlignment="1">
      <alignment vertical="center"/>
    </xf>
    <xf numFmtId="180" fontId="1" fillId="0" borderId="9" xfId="19" applyNumberFormat="1" applyFont="1" applyBorder="1" applyAlignment="1">
      <alignment vertical="center"/>
    </xf>
    <xf numFmtId="0" fontId="1" fillId="0" borderId="9" xfId="0" applyFont="1" applyBorder="1" applyAlignment="1">
      <alignment horizontal="right" vertical="center"/>
    </xf>
    <xf numFmtId="164" fontId="34" fillId="0" borderId="0" xfId="0" applyNumberFormat="1" applyFont="1" applyAlignment="1">
      <alignment horizontal="center" vertical="center"/>
    </xf>
    <xf numFmtId="0" fontId="1" fillId="8" borderId="0" xfId="0" applyFont="1" applyFill="1" applyAlignment="1">
      <alignment vertical="center"/>
    </xf>
    <xf numFmtId="0" fontId="32" fillId="9" borderId="15" xfId="0" applyFont="1" applyFill="1" applyBorder="1" applyAlignment="1">
      <alignment horizontal="center" vertical="center" wrapText="1"/>
    </xf>
    <xf numFmtId="0" fontId="32" fillId="9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44" fontId="1" fillId="0" borderId="0" xfId="53" applyFont="1" applyFill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43" fillId="0" borderId="24" xfId="0" applyFont="1" applyBorder="1" applyAlignment="1">
      <alignment horizontal="center"/>
    </xf>
    <xf numFmtId="0" fontId="44" fillId="0" borderId="2" xfId="0" applyFont="1" applyBorder="1"/>
    <xf numFmtId="0" fontId="43" fillId="0" borderId="25" xfId="0" applyFont="1" applyBorder="1"/>
    <xf numFmtId="0" fontId="43" fillId="0" borderId="22" xfId="0" applyFont="1" applyBorder="1" applyAlignment="1">
      <alignment horizontal="center"/>
    </xf>
    <xf numFmtId="0" fontId="43" fillId="0" borderId="0" xfId="0" applyFont="1"/>
    <xf numFmtId="0" fontId="43" fillId="0" borderId="23" xfId="0" applyFont="1" applyBorder="1"/>
    <xf numFmtId="0" fontId="45" fillId="0" borderId="0" xfId="0" applyFont="1"/>
    <xf numFmtId="0" fontId="46" fillId="0" borderId="0" xfId="0" applyFont="1"/>
    <xf numFmtId="0" fontId="43" fillId="0" borderId="22" xfId="0" applyFont="1" applyBorder="1" applyAlignment="1">
      <alignment horizontal="center" vertical="center"/>
    </xf>
    <xf numFmtId="0" fontId="43" fillId="0" borderId="0" xfId="0" applyFont="1" applyAlignment="1">
      <alignment horizontal="left" indent="1"/>
    </xf>
    <xf numFmtId="0" fontId="46" fillId="0" borderId="0" xfId="0" applyFont="1" applyAlignment="1">
      <alignment horizontal="left" indent="1"/>
    </xf>
    <xf numFmtId="0" fontId="43" fillId="0" borderId="26" xfId="0" applyFont="1" applyBorder="1" applyAlignment="1">
      <alignment horizontal="center" vertical="center"/>
    </xf>
    <xf numFmtId="4" fontId="34" fillId="0" borderId="0" xfId="0" applyNumberFormat="1" applyFont="1" applyAlignment="1">
      <alignment horizontal="left" vertical="center"/>
    </xf>
    <xf numFmtId="44" fontId="34" fillId="0" borderId="18" xfId="0" applyNumberFormat="1" applyFont="1" applyBorder="1" applyAlignment="1">
      <alignment horizontal="left" vertical="center"/>
    </xf>
    <xf numFmtId="0" fontId="1" fillId="0" borderId="0" xfId="0" applyFont="1"/>
    <xf numFmtId="2" fontId="25" fillId="0" borderId="31" xfId="0" applyNumberFormat="1" applyFont="1" applyBorder="1" applyAlignment="1">
      <alignment vertical="center" wrapText="1"/>
    </xf>
    <xf numFmtId="2" fontId="25" fillId="0" borderId="15" xfId="0" applyNumberFormat="1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169" fontId="24" fillId="6" borderId="0" xfId="0" applyNumberFormat="1" applyFont="1" applyFill="1"/>
    <xf numFmtId="0" fontId="24" fillId="6" borderId="0" xfId="0" applyFont="1" applyFill="1"/>
    <xf numFmtId="17" fontId="24" fillId="6" borderId="0" xfId="0" applyNumberFormat="1" applyFont="1" applyFill="1" applyAlignment="1">
      <alignment horizontal="center"/>
    </xf>
    <xf numFmtId="0" fontId="24" fillId="6" borderId="0" xfId="0" applyFont="1" applyFill="1" applyAlignment="1">
      <alignment horizontal="center"/>
    </xf>
    <xf numFmtId="0" fontId="24" fillId="0" borderId="32" xfId="29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top"/>
    </xf>
    <xf numFmtId="0" fontId="24" fillId="0" borderId="0" xfId="29" applyFont="1" applyAlignment="1">
      <alignment horizontal="left" vertical="center"/>
    </xf>
    <xf numFmtId="0" fontId="32" fillId="9" borderId="0" xfId="0" applyFont="1" applyFill="1" applyAlignment="1">
      <alignment vertical="center" wrapText="1"/>
    </xf>
    <xf numFmtId="164" fontId="32" fillId="9" borderId="0" xfId="0" applyNumberFormat="1" applyFont="1" applyFill="1" applyAlignment="1">
      <alignment horizontal="center" vertical="center" wrapText="1"/>
    </xf>
    <xf numFmtId="173" fontId="34" fillId="0" borderId="17" xfId="0" applyNumberFormat="1" applyFont="1" applyBorder="1" applyAlignment="1">
      <alignment horizontal="left" vertical="center" wrapText="1"/>
    </xf>
    <xf numFmtId="0" fontId="32" fillId="9" borderId="31" xfId="0" applyFont="1" applyFill="1" applyBorder="1" applyAlignment="1">
      <alignment horizontal="center" vertical="center" wrapText="1"/>
    </xf>
    <xf numFmtId="173" fontId="34" fillId="0" borderId="32" xfId="0" applyNumberFormat="1" applyFont="1" applyBorder="1" applyAlignment="1">
      <alignment horizontal="left" vertical="center" wrapText="1"/>
    </xf>
    <xf numFmtId="173" fontId="34" fillId="0" borderId="33" xfId="0" applyNumberFormat="1" applyFont="1" applyBorder="1" applyAlignment="1">
      <alignment horizontal="left" vertical="center" wrapText="1"/>
    </xf>
    <xf numFmtId="173" fontId="34" fillId="0" borderId="34" xfId="0" applyNumberFormat="1" applyFont="1" applyBorder="1" applyAlignment="1">
      <alignment horizontal="left" vertical="center" wrapText="1"/>
    </xf>
    <xf numFmtId="0" fontId="47" fillId="6" borderId="8" xfId="0" applyFont="1" applyFill="1" applyBorder="1"/>
    <xf numFmtId="0" fontId="48" fillId="6" borderId="29" xfId="0" applyFont="1" applyFill="1" applyBorder="1"/>
    <xf numFmtId="0" fontId="49" fillId="6" borderId="21" xfId="0" applyFont="1" applyFill="1" applyBorder="1" applyAlignment="1">
      <alignment horizontal="center"/>
    </xf>
    <xf numFmtId="0" fontId="48" fillId="0" borderId="0" xfId="0" applyFont="1"/>
    <xf numFmtId="0" fontId="49" fillId="6" borderId="11" xfId="0" applyFont="1" applyFill="1" applyBorder="1"/>
    <xf numFmtId="0" fontId="48" fillId="6" borderId="0" xfId="0" applyFont="1" applyFill="1"/>
    <xf numFmtId="0" fontId="49" fillId="6" borderId="5" xfId="0" applyFont="1" applyFill="1" applyBorder="1" applyAlignment="1">
      <alignment horizontal="center"/>
    </xf>
    <xf numFmtId="0" fontId="49" fillId="6" borderId="12" xfId="0" applyFont="1" applyFill="1" applyBorder="1"/>
    <xf numFmtId="0" fontId="48" fillId="6" borderId="6" xfId="0" applyFont="1" applyFill="1" applyBorder="1"/>
    <xf numFmtId="0" fontId="48" fillId="6" borderId="10" xfId="0" applyFont="1" applyFill="1" applyBorder="1"/>
    <xf numFmtId="0" fontId="49" fillId="15" borderId="7" xfId="0" applyFont="1" applyFill="1" applyBorder="1"/>
    <xf numFmtId="0" fontId="48" fillId="15" borderId="4" xfId="0" applyFont="1" applyFill="1" applyBorder="1"/>
    <xf numFmtId="0" fontId="48" fillId="15" borderId="9" xfId="0" applyFont="1" applyFill="1" applyBorder="1"/>
    <xf numFmtId="0" fontId="50" fillId="6" borderId="11" xfId="0" applyFont="1" applyFill="1" applyBorder="1"/>
    <xf numFmtId="0" fontId="50" fillId="6" borderId="0" xfId="0" applyFont="1" applyFill="1"/>
    <xf numFmtId="0" fontId="50" fillId="6" borderId="7" xfId="0" applyFont="1" applyFill="1" applyBorder="1"/>
    <xf numFmtId="0" fontId="50" fillId="6" borderId="4" xfId="0" applyFont="1" applyFill="1" applyBorder="1"/>
    <xf numFmtId="0" fontId="50" fillId="6" borderId="14" xfId="0" applyFont="1" applyFill="1" applyBorder="1"/>
    <xf numFmtId="0" fontId="49" fillId="0" borderId="9" xfId="0" applyFont="1" applyBorder="1" applyAlignment="1">
      <alignment horizontal="center"/>
    </xf>
    <xf numFmtId="0" fontId="50" fillId="6" borderId="8" xfId="0" applyFont="1" applyFill="1" applyBorder="1"/>
    <xf numFmtId="0" fontId="50" fillId="6" borderId="29" xfId="0" applyFont="1" applyFill="1" applyBorder="1"/>
    <xf numFmtId="0" fontId="50" fillId="6" borderId="19" xfId="0" applyFont="1" applyFill="1" applyBorder="1"/>
    <xf numFmtId="0" fontId="50" fillId="6" borderId="9" xfId="0" applyFont="1" applyFill="1" applyBorder="1"/>
    <xf numFmtId="0" fontId="49" fillId="0" borderId="5" xfId="0" applyFont="1" applyBorder="1" applyAlignment="1">
      <alignment horizontal="center"/>
    </xf>
    <xf numFmtId="0" fontId="50" fillId="15" borderId="4" xfId="0" applyFont="1" applyFill="1" applyBorder="1"/>
    <xf numFmtId="0" fontId="49" fillId="15" borderId="9" xfId="0" applyFont="1" applyFill="1" applyBorder="1" applyAlignment="1">
      <alignment horizontal="center"/>
    </xf>
    <xf numFmtId="0" fontId="53" fillId="6" borderId="4" xfId="0" applyFont="1" applyFill="1" applyBorder="1"/>
    <xf numFmtId="0" fontId="53" fillId="6" borderId="14" xfId="0" applyFont="1" applyFill="1" applyBorder="1"/>
    <xf numFmtId="0" fontId="50" fillId="15" borderId="14" xfId="0" applyFont="1" applyFill="1" applyBorder="1"/>
    <xf numFmtId="0" fontId="50" fillId="0" borderId="0" xfId="0" applyFont="1"/>
    <xf numFmtId="0" fontId="50" fillId="0" borderId="7" xfId="0" applyFont="1" applyBorder="1"/>
    <xf numFmtId="0" fontId="48" fillId="0" borderId="4" xfId="0" applyFont="1" applyBorder="1"/>
    <xf numFmtId="0" fontId="50" fillId="6" borderId="5" xfId="0" applyFont="1" applyFill="1" applyBorder="1"/>
    <xf numFmtId="0" fontId="50" fillId="6" borderId="30" xfId="0" applyFont="1" applyFill="1" applyBorder="1"/>
    <xf numFmtId="0" fontId="49" fillId="6" borderId="9" xfId="0" applyFont="1" applyFill="1" applyBorder="1" applyAlignment="1">
      <alignment horizontal="center"/>
    </xf>
    <xf numFmtId="0" fontId="49" fillId="0" borderId="0" xfId="0" applyFont="1"/>
    <xf numFmtId="0" fontId="48" fillId="6" borderId="9" xfId="0" applyFont="1" applyFill="1" applyBorder="1"/>
    <xf numFmtId="0" fontId="48" fillId="6" borderId="5" xfId="0" applyFont="1" applyFill="1" applyBorder="1"/>
    <xf numFmtId="0" fontId="50" fillId="0" borderId="4" xfId="0" applyFont="1" applyBorder="1"/>
    <xf numFmtId="0" fontId="50" fillId="0" borderId="14" xfId="0" applyFont="1" applyBorder="1"/>
    <xf numFmtId="0" fontId="54" fillId="6" borderId="12" xfId="0" applyFont="1" applyFill="1" applyBorder="1" applyAlignment="1">
      <alignment horizontal="left"/>
    </xf>
    <xf numFmtId="0" fontId="55" fillId="6" borderId="6" xfId="0" applyFont="1" applyFill="1" applyBorder="1" applyAlignment="1">
      <alignment horizontal="center"/>
    </xf>
    <xf numFmtId="0" fontId="55" fillId="6" borderId="13" xfId="0" applyFont="1" applyFill="1" applyBorder="1" applyAlignment="1">
      <alignment horizontal="center"/>
    </xf>
    <xf numFmtId="0" fontId="49" fillId="6" borderId="10" xfId="0" applyFont="1" applyFill="1" applyBorder="1" applyAlignment="1">
      <alignment horizontal="center"/>
    </xf>
    <xf numFmtId="0" fontId="56" fillId="6" borderId="21" xfId="0" applyFont="1" applyFill="1" applyBorder="1" applyAlignment="1">
      <alignment horizontal="center"/>
    </xf>
    <xf numFmtId="0" fontId="57" fillId="6" borderId="9" xfId="0" applyFont="1" applyFill="1" applyBorder="1"/>
    <xf numFmtId="0" fontId="57" fillId="6" borderId="7" xfId="0" applyFont="1" applyFill="1" applyBorder="1"/>
    <xf numFmtId="0" fontId="1" fillId="0" borderId="0" xfId="0" applyFont="1" applyFill="1" applyAlignment="1">
      <alignment horizontal="left" vertical="center"/>
    </xf>
    <xf numFmtId="44" fontId="34" fillId="0" borderId="18" xfId="0" applyNumberFormat="1" applyFont="1" applyFill="1" applyBorder="1" applyAlignment="1">
      <alignment horizontal="left" vertical="center"/>
    </xf>
    <xf numFmtId="0" fontId="34" fillId="0" borderId="0" xfId="0" applyFont="1" applyFill="1" applyAlignment="1">
      <alignment horizontal="left" vertical="center"/>
    </xf>
    <xf numFmtId="173" fontId="0" fillId="0" borderId="9" xfId="0" applyNumberFormat="1" applyFill="1" applyBorder="1" applyAlignment="1">
      <alignment vertical="center"/>
    </xf>
    <xf numFmtId="0" fontId="31" fillId="0" borderId="0" xfId="29" applyFont="1" applyAlignment="1">
      <alignment horizontal="center" vertical="center"/>
    </xf>
    <xf numFmtId="0" fontId="36" fillId="13" borderId="9" xfId="0" applyFont="1" applyFill="1" applyBorder="1" applyAlignment="1">
      <alignment horizontal="center" vertical="center"/>
    </xf>
    <xf numFmtId="170" fontId="24" fillId="5" borderId="9" xfId="0" applyNumberFormat="1" applyFont="1" applyFill="1" applyBorder="1" applyAlignment="1">
      <alignment horizontal="center" vertical="center"/>
    </xf>
    <xf numFmtId="0" fontId="32" fillId="10" borderId="7" xfId="0" applyFont="1" applyFill="1" applyBorder="1" applyAlignment="1">
      <alignment horizontal="left" vertical="center" wrapText="1"/>
    </xf>
    <xf numFmtId="0" fontId="32" fillId="10" borderId="14" xfId="0" applyFont="1" applyFill="1" applyBorder="1" applyAlignment="1">
      <alignment horizontal="left" vertical="center" wrapText="1"/>
    </xf>
    <xf numFmtId="0" fontId="32" fillId="10" borderId="4" xfId="0" applyFont="1" applyFill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/>
    </xf>
    <xf numFmtId="0" fontId="24" fillId="0" borderId="9" xfId="0" applyFont="1" applyBorder="1" applyAlignment="1">
      <alignment vertical="center"/>
    </xf>
    <xf numFmtId="9" fontId="24" fillId="0" borderId="7" xfId="0" applyNumberFormat="1" applyFont="1" applyBorder="1" applyAlignment="1">
      <alignment horizontal="left" vertical="center" wrapText="1"/>
    </xf>
    <xf numFmtId="9" fontId="24" fillId="0" borderId="14" xfId="0" applyNumberFormat="1" applyFont="1" applyBorder="1" applyAlignment="1">
      <alignment horizontal="left" vertical="center" wrapText="1"/>
    </xf>
    <xf numFmtId="9" fontId="24" fillId="0" borderId="7" xfId="0" applyNumberFormat="1" applyFont="1" applyBorder="1" applyAlignment="1">
      <alignment horizontal="left" vertical="center"/>
    </xf>
    <xf numFmtId="9" fontId="24" fillId="0" borderId="4" xfId="0" applyNumberFormat="1" applyFont="1" applyBorder="1" applyAlignment="1">
      <alignment horizontal="left" vertical="center"/>
    </xf>
    <xf numFmtId="9" fontId="24" fillId="0" borderId="14" xfId="0" applyNumberFormat="1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10" fontId="24" fillId="5" borderId="7" xfId="0" applyNumberFormat="1" applyFont="1" applyFill="1" applyBorder="1" applyAlignment="1">
      <alignment horizontal="left" vertical="center"/>
    </xf>
    <xf numFmtId="10" fontId="24" fillId="5" borderId="14" xfId="0" applyNumberFormat="1" applyFont="1" applyFill="1" applyBorder="1" applyAlignment="1">
      <alignment horizontal="left" vertical="center"/>
    </xf>
    <xf numFmtId="0" fontId="25" fillId="0" borderId="9" xfId="29" applyFont="1" applyBorder="1" applyAlignment="1">
      <alignment horizontal="center" vertical="center"/>
    </xf>
    <xf numFmtId="0" fontId="32" fillId="10" borderId="10" xfId="0" applyFont="1" applyFill="1" applyBorder="1" applyAlignment="1">
      <alignment horizontal="center" vertical="center" wrapText="1"/>
    </xf>
    <xf numFmtId="0" fontId="32" fillId="10" borderId="12" xfId="0" applyFont="1" applyFill="1" applyBorder="1" applyAlignment="1">
      <alignment horizontal="center" vertical="center" wrapText="1"/>
    </xf>
    <xf numFmtId="0" fontId="32" fillId="10" borderId="13" xfId="0" applyFont="1" applyFill="1" applyBorder="1" applyAlignment="1">
      <alignment horizontal="center" vertical="center" wrapText="1"/>
    </xf>
    <xf numFmtId="0" fontId="36" fillId="13" borderId="7" xfId="0" applyFont="1" applyFill="1" applyBorder="1" applyAlignment="1">
      <alignment horizontal="left" vertical="center"/>
    </xf>
    <xf numFmtId="0" fontId="36" fillId="13" borderId="4" xfId="0" applyFont="1" applyFill="1" applyBorder="1" applyAlignment="1">
      <alignment horizontal="left" vertical="center"/>
    </xf>
    <xf numFmtId="0" fontId="36" fillId="13" borderId="14" xfId="0" applyFont="1" applyFill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10" fontId="24" fillId="5" borderId="4" xfId="0" applyNumberFormat="1" applyFont="1" applyFill="1" applyBorder="1" applyAlignment="1">
      <alignment horizontal="left" vertical="center"/>
    </xf>
    <xf numFmtId="0" fontId="24" fillId="0" borderId="11" xfId="29" applyFont="1" applyBorder="1" applyAlignment="1">
      <alignment horizontal="left" vertical="center"/>
    </xf>
    <xf numFmtId="0" fontId="24" fillId="0" borderId="0" xfId="29" applyFont="1" applyAlignment="1">
      <alignment horizontal="left" vertical="center"/>
    </xf>
    <xf numFmtId="0" fontId="24" fillId="6" borderId="11" xfId="29" applyFont="1" applyFill="1" applyBorder="1" applyAlignment="1">
      <alignment horizontal="left" vertical="center"/>
    </xf>
    <xf numFmtId="0" fontId="24" fillId="6" borderId="0" xfId="29" applyFont="1" applyFill="1" applyAlignment="1">
      <alignment horizontal="left" vertical="center"/>
    </xf>
    <xf numFmtId="0" fontId="31" fillId="0" borderId="6" xfId="29" applyFont="1" applyBorder="1" applyAlignment="1">
      <alignment horizontal="center" vertical="center"/>
    </xf>
    <xf numFmtId="170" fontId="25" fillId="5" borderId="7" xfId="0" applyNumberFormat="1" applyFont="1" applyFill="1" applyBorder="1" applyAlignment="1">
      <alignment horizontal="center" vertical="center"/>
    </xf>
    <xf numFmtId="170" fontId="25" fillId="5" borderId="4" xfId="0" applyNumberFormat="1" applyFont="1" applyFill="1" applyBorder="1" applyAlignment="1">
      <alignment horizontal="center" vertical="center"/>
    </xf>
    <xf numFmtId="170" fontId="25" fillId="5" borderId="14" xfId="0" applyNumberFormat="1" applyFont="1" applyFill="1" applyBorder="1" applyAlignment="1">
      <alignment horizontal="center" vertical="center"/>
    </xf>
    <xf numFmtId="4" fontId="24" fillId="0" borderId="9" xfId="0" applyNumberFormat="1" applyFont="1" applyBorder="1" applyAlignment="1">
      <alignment horizontal="center" vertical="center"/>
    </xf>
    <xf numFmtId="0" fontId="35" fillId="10" borderId="11" xfId="29" applyFont="1" applyFill="1" applyBorder="1" applyAlignment="1">
      <alignment horizontal="center" vertical="center" wrapText="1"/>
    </xf>
    <xf numFmtId="0" fontId="35" fillId="10" borderId="0" xfId="29" applyFont="1" applyFill="1" applyAlignment="1">
      <alignment horizontal="center" vertical="center" wrapText="1"/>
    </xf>
    <xf numFmtId="170" fontId="25" fillId="5" borderId="9" xfId="0" applyNumberFormat="1" applyFont="1" applyFill="1" applyBorder="1" applyAlignment="1">
      <alignment horizontal="center" vertical="center"/>
    </xf>
    <xf numFmtId="170" fontId="24" fillId="5" borderId="4" xfId="0" applyNumberFormat="1" applyFont="1" applyFill="1" applyBorder="1" applyAlignment="1">
      <alignment horizontal="center" vertical="center"/>
    </xf>
    <xf numFmtId="170" fontId="24" fillId="5" borderId="14" xfId="0" applyNumberFormat="1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 vertical="center" textRotation="90"/>
    </xf>
    <xf numFmtId="0" fontId="24" fillId="0" borderId="11" xfId="0" applyFont="1" applyBorder="1" applyAlignment="1">
      <alignment horizontal="center" vertical="center" textRotation="90"/>
    </xf>
    <xf numFmtId="0" fontId="24" fillId="0" borderId="12" xfId="0" applyFont="1" applyBorder="1" applyAlignment="1">
      <alignment horizontal="center" vertical="center" textRotation="90"/>
    </xf>
    <xf numFmtId="170" fontId="24" fillId="5" borderId="7" xfId="0" applyNumberFormat="1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 vertical="center" textRotation="90" wrapText="1"/>
    </xf>
    <xf numFmtId="0" fontId="24" fillId="0" borderId="11" xfId="0" applyFont="1" applyBorder="1" applyAlignment="1">
      <alignment horizontal="center" vertical="center" textRotation="90" wrapText="1"/>
    </xf>
    <xf numFmtId="0" fontId="24" fillId="0" borderId="12" xfId="0" applyFont="1" applyBorder="1" applyAlignment="1">
      <alignment horizontal="center" vertical="center" textRotation="90" wrapText="1"/>
    </xf>
    <xf numFmtId="4" fontId="24" fillId="0" borderId="21" xfId="0" applyNumberFormat="1" applyFont="1" applyBorder="1" applyAlignment="1">
      <alignment horizontal="center" vertical="center"/>
    </xf>
    <xf numFmtId="0" fontId="43" fillId="0" borderId="0" xfId="0" applyFont="1" applyAlignment="1">
      <alignment horizontal="left" wrapText="1"/>
    </xf>
    <xf numFmtId="0" fontId="43" fillId="0" borderId="23" xfId="0" applyFont="1" applyBorder="1" applyAlignment="1">
      <alignment horizontal="left" wrapText="1"/>
    </xf>
    <xf numFmtId="0" fontId="43" fillId="0" borderId="0" xfId="0" applyFont="1" applyAlignment="1">
      <alignment horizontal="left"/>
    </xf>
    <xf numFmtId="0" fontId="43" fillId="0" borderId="23" xfId="0" applyFont="1" applyBorder="1" applyAlignment="1">
      <alignment horizontal="left"/>
    </xf>
    <xf numFmtId="0" fontId="43" fillId="0" borderId="27" xfId="0" applyFont="1" applyBorder="1" applyAlignment="1">
      <alignment horizontal="left"/>
    </xf>
    <xf numFmtId="0" fontId="43" fillId="0" borderId="28" xfId="0" applyFont="1" applyBorder="1" applyAlignment="1">
      <alignment horizontal="left"/>
    </xf>
    <xf numFmtId="0" fontId="24" fillId="8" borderId="7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/>
    </xf>
    <xf numFmtId="0" fontId="24" fillId="8" borderId="14" xfId="0" applyFont="1" applyFill="1" applyBorder="1" applyAlignment="1">
      <alignment horizontal="center" vertical="center"/>
    </xf>
    <xf numFmtId="2" fontId="32" fillId="10" borderId="7" xfId="0" applyNumberFormat="1" applyFont="1" applyFill="1" applyBorder="1" applyAlignment="1">
      <alignment horizontal="left" vertical="center"/>
    </xf>
    <xf numFmtId="2" fontId="32" fillId="10" borderId="4" xfId="0" applyNumberFormat="1" applyFont="1" applyFill="1" applyBorder="1" applyAlignment="1">
      <alignment horizontal="left" vertical="center"/>
    </xf>
    <xf numFmtId="49" fontId="32" fillId="10" borderId="4" xfId="28" applyNumberFormat="1" applyFont="1" applyFill="1" applyBorder="1" applyAlignment="1">
      <alignment horizontal="left" vertical="center"/>
    </xf>
    <xf numFmtId="49" fontId="32" fillId="10" borderId="14" xfId="28" applyNumberFormat="1" applyFont="1" applyFill="1" applyBorder="1" applyAlignment="1">
      <alignment horizontal="left" vertical="center"/>
    </xf>
    <xf numFmtId="49" fontId="24" fillId="7" borderId="7" xfId="0" applyNumberFormat="1" applyFont="1" applyFill="1" applyBorder="1" applyAlignment="1">
      <alignment horizontal="center" vertical="center"/>
    </xf>
    <xf numFmtId="49" fontId="24" fillId="7" borderId="14" xfId="0" applyNumberFormat="1" applyFont="1" applyFill="1" applyBorder="1" applyAlignment="1">
      <alignment horizontal="center" vertical="center"/>
    </xf>
    <xf numFmtId="49" fontId="24" fillId="8" borderId="7" xfId="0" applyNumberFormat="1" applyFont="1" applyFill="1" applyBorder="1" applyAlignment="1">
      <alignment horizontal="center" vertical="center"/>
    </xf>
    <xf numFmtId="49" fontId="24" fillId="8" borderId="14" xfId="0" applyNumberFormat="1" applyFont="1" applyFill="1" applyBorder="1" applyAlignment="1">
      <alignment horizontal="center" vertical="center"/>
    </xf>
    <xf numFmtId="49" fontId="24" fillId="7" borderId="4" xfId="0" applyNumberFormat="1" applyFont="1" applyFill="1" applyBorder="1" applyAlignment="1">
      <alignment horizontal="center" vertical="center"/>
    </xf>
    <xf numFmtId="49" fontId="24" fillId="8" borderId="4" xfId="0" applyNumberFormat="1" applyFont="1" applyFill="1" applyBorder="1" applyAlignment="1">
      <alignment horizontal="center" vertical="center"/>
    </xf>
  </cellXfs>
  <cellStyles count="76">
    <cellStyle name="%" xfId="1" xr:uid="{00000000-0005-0000-0000-000000000000}"/>
    <cellStyle name="% 2" xfId="38" xr:uid="{00000000-0005-0000-0000-000001000000}"/>
    <cellStyle name="Euro" xfId="2" xr:uid="{00000000-0005-0000-0000-000002000000}"/>
    <cellStyle name="Euro 10" xfId="3" xr:uid="{00000000-0005-0000-0000-000003000000}"/>
    <cellStyle name="Euro 11" xfId="4" xr:uid="{00000000-0005-0000-0000-000004000000}"/>
    <cellStyle name="Euro 12" xfId="5" xr:uid="{00000000-0005-0000-0000-000005000000}"/>
    <cellStyle name="Euro 13" xfId="6" xr:uid="{00000000-0005-0000-0000-000006000000}"/>
    <cellStyle name="Euro 14" xfId="7" xr:uid="{00000000-0005-0000-0000-000007000000}"/>
    <cellStyle name="Euro 15" xfId="8" xr:uid="{00000000-0005-0000-0000-000008000000}"/>
    <cellStyle name="Euro 15 2" xfId="39" xr:uid="{00000000-0005-0000-0000-000009000000}"/>
    <cellStyle name="Euro 2" xfId="9" xr:uid="{00000000-0005-0000-0000-00000A000000}"/>
    <cellStyle name="Euro 3" xfId="10" xr:uid="{00000000-0005-0000-0000-00000B000000}"/>
    <cellStyle name="Euro 4" xfId="11" xr:uid="{00000000-0005-0000-0000-00000C000000}"/>
    <cellStyle name="Euro 5" xfId="12" xr:uid="{00000000-0005-0000-0000-00000D000000}"/>
    <cellStyle name="Euro 6" xfId="13" xr:uid="{00000000-0005-0000-0000-00000E000000}"/>
    <cellStyle name="Euro 7" xfId="14" xr:uid="{00000000-0005-0000-0000-00000F000000}"/>
    <cellStyle name="Euro 8" xfId="15" xr:uid="{00000000-0005-0000-0000-000010000000}"/>
    <cellStyle name="Euro 9" xfId="16" xr:uid="{00000000-0005-0000-0000-000011000000}"/>
    <cellStyle name="Euro_1.5 Ruimtestaten SRO N2" xfId="17" xr:uid="{00000000-0005-0000-0000-000012000000}"/>
    <cellStyle name="Followed Hyperlink_Adres-Gymzalen.xls" xfId="18" xr:uid="{00000000-0005-0000-0000-000013000000}"/>
    <cellStyle name="Komma 2" xfId="19" xr:uid="{00000000-0005-0000-0000-000015000000}"/>
    <cellStyle name="Komma 2 2" xfId="58" xr:uid="{2A492E22-8071-495F-B395-533F59284596}"/>
    <cellStyle name="Komma 3" xfId="36" xr:uid="{00000000-0005-0000-0000-000016000000}"/>
    <cellStyle name="Komma 3 2" xfId="61" xr:uid="{6186048D-7B8C-4745-99A0-D638432F2B56}"/>
    <cellStyle name="Komma 4" xfId="55" xr:uid="{919DEB51-BFC8-47F3-8C42-1E0AE3D3F518}"/>
    <cellStyle name="Komma 4 2" xfId="73" xr:uid="{51C89407-043E-4BC6-98A8-049224F0D4C8}"/>
    <cellStyle name="Koppen_rekenblad" xfId="20" xr:uid="{00000000-0005-0000-0000-000017000000}"/>
    <cellStyle name="koppenrekenblad2" xfId="21" xr:uid="{00000000-0005-0000-0000-000018000000}"/>
    <cellStyle name="koppenrekenblad2 2" xfId="40" xr:uid="{00000000-0005-0000-0000-000019000000}"/>
    <cellStyle name="m2" xfId="22" xr:uid="{00000000-0005-0000-0000-00001A000000}"/>
    <cellStyle name="NIBa standaard" xfId="23" xr:uid="{00000000-0005-0000-0000-00001B000000}"/>
    <cellStyle name="Ongedefinieerd" xfId="24" xr:uid="{00000000-0005-0000-0000-00001C000000}"/>
    <cellStyle name="prijslijst" xfId="25" xr:uid="{00000000-0005-0000-0000-00001D000000}"/>
    <cellStyle name="Procent" xfId="37" builtinId="5"/>
    <cellStyle name="Procent 2" xfId="34" xr:uid="{00000000-0005-0000-0000-00001F000000}"/>
    <cellStyle name="Procent 3" xfId="43" xr:uid="{00000000-0005-0000-0000-000020000000}"/>
    <cellStyle name="Ruimtestaat_Koppen" xfId="26" xr:uid="{00000000-0005-0000-0000-000021000000}"/>
    <cellStyle name="Standaard" xfId="0" builtinId="0"/>
    <cellStyle name="Standaard 10 2" xfId="57" xr:uid="{C61B1C61-3F3F-4272-B325-767678D74ECF}"/>
    <cellStyle name="Standaard 2" xfId="27" xr:uid="{00000000-0005-0000-0000-000023000000}"/>
    <cellStyle name="Standaard 2 2" xfId="41" xr:uid="{00000000-0005-0000-0000-000024000000}"/>
    <cellStyle name="Standaard 3" xfId="28" xr:uid="{00000000-0005-0000-0000-000025000000}"/>
    <cellStyle name="Standaard 3 2" xfId="42" xr:uid="{00000000-0005-0000-0000-000026000000}"/>
    <cellStyle name="Standaard 3 2 2" xfId="50" xr:uid="{00000000-0005-0000-0000-000027000000}"/>
    <cellStyle name="Standaard 3 2 2 2" xfId="69" xr:uid="{DAEC5A13-F869-40DC-B6E1-FAB72A17125F}"/>
    <cellStyle name="Standaard 3 2 3" xfId="46" xr:uid="{00000000-0005-0000-0000-000028000000}"/>
    <cellStyle name="Standaard 3 2 3 2" xfId="65" xr:uid="{EBF4262D-2F5C-46E3-BCA0-ED97D4279F9E}"/>
    <cellStyle name="Standaard 3 2 4" xfId="62" xr:uid="{EBD8D7AB-0B76-4121-B932-1425AC32EE1E}"/>
    <cellStyle name="Standaard 3 3" xfId="48" xr:uid="{00000000-0005-0000-0000-000029000000}"/>
    <cellStyle name="Standaard 3 3 2" xfId="51" xr:uid="{00000000-0005-0000-0000-00002A000000}"/>
    <cellStyle name="Standaard 3 3 2 2" xfId="70" xr:uid="{DAFF012D-75FE-4D49-BF40-9130E5535FC2}"/>
    <cellStyle name="Standaard 3 3 3" xfId="67" xr:uid="{36341F05-AA12-40AB-A236-CFA73F1D3A81}"/>
    <cellStyle name="Standaard 3 4" xfId="49" xr:uid="{00000000-0005-0000-0000-00002B000000}"/>
    <cellStyle name="Standaard 3 4 2" xfId="68" xr:uid="{E244E67B-732F-46AB-A864-45354C95C755}"/>
    <cellStyle name="Standaard 3 5" xfId="44" xr:uid="{00000000-0005-0000-0000-00002C000000}"/>
    <cellStyle name="Standaard 3 5 2" xfId="63" xr:uid="{0BD0EC5F-FFA4-4B91-A810-A2B9111254A6}"/>
    <cellStyle name="Standaard 3 6" xfId="52" xr:uid="{00000000-0005-0000-0000-00002D000000}"/>
    <cellStyle name="Standaard 3 6 2" xfId="71" xr:uid="{2DB36948-0132-48B5-AFB3-362E777C809A}"/>
    <cellStyle name="Standaard 3 7" xfId="59" xr:uid="{BBB55D53-91A6-4BEB-B165-115B801D778F}"/>
    <cellStyle name="Standaard 4" xfId="29" xr:uid="{00000000-0005-0000-0000-00002E000000}"/>
    <cellStyle name="Standaard 5" xfId="33" xr:uid="{00000000-0005-0000-0000-00002F000000}"/>
    <cellStyle name="Standaard 6" xfId="54" xr:uid="{E455430A-9DF4-46E1-A18E-520926441726}"/>
    <cellStyle name="Standaard 7" xfId="75" xr:uid="{95832036-9989-4404-93AA-9F417CCA343C}"/>
    <cellStyle name="Valuta" xfId="53" builtinId="4"/>
    <cellStyle name="Valuta 2" xfId="30" xr:uid="{00000000-0005-0000-0000-000031000000}"/>
    <cellStyle name="Valuta 3" xfId="35" xr:uid="{00000000-0005-0000-0000-000032000000}"/>
    <cellStyle name="Valuta 3 2" xfId="60" xr:uid="{942E41F7-F4A6-42CE-B1C1-B8BBB35F9936}"/>
    <cellStyle name="Valuta 4" xfId="47" xr:uid="{00000000-0005-0000-0000-000033000000}"/>
    <cellStyle name="Valuta 4 2" xfId="66" xr:uid="{5EB5C5AA-7C57-4218-8E63-056C1A13E0E4}"/>
    <cellStyle name="Valuta 5" xfId="45" xr:uid="{00000000-0005-0000-0000-000034000000}"/>
    <cellStyle name="Valuta 5 2" xfId="64" xr:uid="{BC1E8891-794D-45E4-A37D-E3DE3AC06586}"/>
    <cellStyle name="Valuta 6" xfId="56" xr:uid="{2F6036FC-E1D4-4DD3-A240-4ECECFEECB7D}"/>
    <cellStyle name="Valuta 6 2" xfId="74" xr:uid="{E3A8307F-1F63-4DEC-BC68-95A22994F8A7}"/>
    <cellStyle name="Valuta 7" xfId="72" xr:uid="{8FEF3307-EEDB-4E6D-B28C-182D190EE40B}"/>
    <cellStyle name="Währung [0]_Aufmaß" xfId="31" xr:uid="{00000000-0005-0000-0000-000035000000}"/>
    <cellStyle name="Währung_Aufmaß" xfId="32" xr:uid="{00000000-0005-0000-0000-000036000000}"/>
  </cellStyles>
  <dxfs count="199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_ [$€-413]\ * #,##0.00_ ;_ [$€-413]\ * \-#,##0.00_ ;_ [$€-413]\ * &quot;-&quot;??_ ;_ @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3" formatCode="_ [$€-413]\ * #,##0.00_ ;_ [$€-413]\ * \-#,##0.00_ ;_ [$€-413]\ * &quot;-&quot;??_ ;_ @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_ [$€-413]\ * #,##0.00_ ;_ [$€-413]\ * \-#,##0.00_ ;_ [$€-413]\ * &quot;-&quot;??_ ;_ @_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indexed="1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sz val="9"/>
        <color theme="1"/>
        <name val="Verdana"/>
        <family val="2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79998168889431442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B8CCE4"/>
          <bgColor rgb="FFBFBFB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theme="4" tint="0.59999389629810485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theme="4" tint="0.59999389629810485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theme="4" tint="0.59999389629810485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theme="4" tint="0.59999389629810485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theme="4" tint="0.79998168889431442"/>
          <bgColor auto="1"/>
        </patternFill>
      </fill>
      <alignment horizontal="left" vertical="center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59999389629810485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81" formatCode="#,##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B8CCE4"/>
          <bgColor rgb="FFBFBFB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59999389629810485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0E096B"/>
      <color rgb="FF346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egevens\Excel\Calc\AZR\AZR%20psychiatr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Voor..van\meten%20glas\meten%20glas\meten%20glas\meten%20glas\meten%20glas\meten%20glas\meten%20glas\meten%20glas\at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  <sheetName val="Nummers"/>
      <sheetName val="Menu"/>
      <sheetName val="Tijdnormen"/>
      <sheetName val="Frekwenties"/>
      <sheetName val="Vloeren"/>
      <sheetName val="Uitgangspunten"/>
      <sheetName val="hiddenSheet"/>
      <sheetName val="Blad3_(3)"/>
      <sheetName val="Blad3_(2)"/>
      <sheetName val="dv_info"/>
      <sheetName val="Kalender"/>
      <sheetName val="EtagesLijst"/>
      <sheetName val="Werkprogrammas"/>
      <sheetName val="_BuildingSectionListExport"/>
      <sheetName val="_DepartmentListExport"/>
      <sheetName val="_BuildingListExport"/>
      <sheetName val="_LocationListExport"/>
      <sheetName val="_ProgramListExport"/>
      <sheetName val="_SpaceTypeListExport"/>
      <sheetName val="_FloorTypeListExport"/>
      <sheetName val="Voorblad"/>
      <sheetName val="1.0a-Contractblad Prodruimten"/>
      <sheetName val="1.0d-Contractblad Algemeen"/>
      <sheetName val="1.1-Jaarprijzen"/>
      <sheetName val="1.5 Opbouw uurtarieven"/>
      <sheetName val="1.1a-Inzet uren per lijn"/>
      <sheetName val="1.1a-Overzicht uren-prijzen"/>
      <sheetName val="1.2-Tijdseenheid Productie"/>
      <sheetName val="MAXIMO VERSU CONTRACT"/>
      <sheetName val="1.3a-Low Care"/>
      <sheetName val="1.3f-Mutaties"/>
      <sheetName val="13g-Mutaties oud"/>
      <sheetName val="1.3c-Plafond en wanden"/>
      <sheetName val="1.3d Vloeronderhoud door ED"/>
      <sheetName val="1.6-Machine-investeringskosten"/>
      <sheetName val="Normen"/>
      <sheetName val="Kalender (2)"/>
      <sheetName val="Opzoeklijst"/>
      <sheetName val="01.255"/>
      <sheetName val="02.255"/>
      <sheetName val="04.255"/>
      <sheetName val="AZR psychiatrie"/>
      <sheetName val="Blad3_(3)1"/>
      <sheetName val="Blad3_(2)1"/>
      <sheetName val="Kalender_(2)"/>
      <sheetName val="01_255"/>
      <sheetName val="02_255"/>
      <sheetName val="04_25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 refreshError="1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r.xls"/>
      <sheetName val="#REF"/>
      <sheetName val="atir_xls"/>
      <sheetName val="3-Basis_ruimtestaa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80D738E-C6DA-4122-85D3-811659622DE1}" name="Tabel6" displayName="Tabel6" ref="A1:E2" totalsRowShown="0">
  <autoFilter ref="A1:E2" xr:uid="{480D738E-C6DA-4122-85D3-811659622DE1}"/>
  <tableColumns count="5">
    <tableColumn id="1" xr3:uid="{FE613984-F932-4A74-A135-95E19B762B95}" name="Code"/>
    <tableColumn id="2" xr3:uid="{C9DABE93-725F-44F8-9161-FF4AC945A67B}" name="Locatie"/>
    <tableColumn id="4" xr3:uid="{D8EA695B-96F8-4FAE-BA50-176DF0DC5934}" name="Adres"/>
    <tableColumn id="5" xr3:uid="{75C7D844-D829-4042-8542-6408F1D909A4}" name="Postcode"/>
    <tableColumn id="6" xr3:uid="{C26074F3-6028-4A9F-BEA7-77B41B79508C}" name="Plaats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5000000}" name="InvulGlas" displayName="InvulGlas" ref="A8:I13" totalsRowShown="0" headerRowDxfId="78">
  <autoFilter ref="A8:I13" xr:uid="{00000000-0009-0000-0100-000003000000}"/>
  <tableColumns count="9">
    <tableColumn id="1" xr3:uid="{00000000-0010-0000-0500-000001000000}" name="Code taak" dataDxfId="77"/>
    <tableColumn id="2" xr3:uid="{00000000-0010-0000-0500-000002000000}" name="Glassoort/voorziening" dataDxfId="76"/>
    <tableColumn id="3" xr3:uid="{00000000-0010-0000-0500-000003000000}" name="Prijs excl. BTW" dataDxfId="75"/>
    <tableColumn id="4" xr3:uid="{00000000-0010-0000-0500-000004000000}" name="Eenheid" dataDxfId="74"/>
    <tableColumn id="5" xr3:uid="{CC43D47B-51D1-48C7-9FBE-6228B4D72C08}" name="2024" dataDxfId="73" dataCellStyle="Valuta">
      <calculatedColumnFormula>(InvulGlas[[#This Row],[Prijs excl. BTW]]*Tariefsopbouw!$H$35)+InvulGlas[[#This Row],[Prijs excl. BTW]]</calculatedColumnFormula>
    </tableColumn>
    <tableColumn id="6" xr3:uid="{14AF2224-D978-4323-B50E-296D91A6AA97}" name="2025" dataDxfId="72" dataCellStyle="Valuta">
      <calculatedColumnFormula>E9*Tariefsopbouw!$J$35+Glasbewassing!E9</calculatedColumnFormula>
    </tableColumn>
    <tableColumn id="7" xr3:uid="{C18EB174-680A-4DCC-A57F-327D4F1C3675}" name="2026" dataDxfId="71" dataCellStyle="Valuta">
      <calculatedColumnFormula>F9*Tariefsopbouw!$L$35+Glasbewassing!F9</calculatedColumnFormula>
    </tableColumn>
    <tableColumn id="8" xr3:uid="{2002E41E-1578-4095-8CE5-943025AA110B}" name="2027" dataDxfId="70" dataCellStyle="Valuta">
      <calculatedColumnFormula>G10*Tariefsopbouw!$N$35+Glasbewassing!G10</calculatedColumnFormula>
    </tableColumn>
    <tableColumn id="9" xr3:uid="{95B9447D-2760-430F-8929-530FC65F506E}" name="2028" dataDxfId="69" dataCellStyle="Valuta">
      <calculatedColumnFormula>H9*Tariefsopbouw!$P$35+Glasbewassing!H9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6000000}" name="OverzichtGlas" displayName="OverzichtGlas" ref="A15:H19" totalsRowCount="1" headerRowDxfId="68" dataDxfId="67" totalsRowDxfId="66">
  <autoFilter ref="A15:H18" xr:uid="{00000000-0009-0000-0100-000004000000}"/>
  <sortState xmlns:xlrd2="http://schemas.microsoft.com/office/spreadsheetml/2017/richdata2" ref="A16:G18">
    <sortCondition ref="A16:A18"/>
  </sortState>
  <tableColumns count="8">
    <tableColumn id="1" xr3:uid="{00000000-0010-0000-0600-000001000000}" name="Code Locatie" totalsRowLabel="Totaal" dataDxfId="65" totalsRowDxfId="64"/>
    <tableColumn id="2" xr3:uid="{00000000-0010-0000-0600-000002000000}" name="Locatie" dataDxfId="63" totalsRowDxfId="62">
      <calculatedColumnFormula>VLOOKUP(OverzichtGlas[[#This Row],[Code Locatie]],Totalisatie!$A$7:$B$7,2,FALSE)</calculatedColumnFormula>
    </tableColumn>
    <tableColumn id="3" xr3:uid="{00000000-0010-0000-0600-000003000000}" name="Code taak" dataDxfId="61" totalsRowDxfId="60"/>
    <tableColumn id="4" xr3:uid="{00000000-0010-0000-0600-000004000000}" name="Glassoort/voorziening" dataDxfId="59" totalsRowDxfId="58">
      <calculatedColumnFormula>IF(Glasbewassing!$C16&gt;0,VLOOKUP(Glasbewassing!$C16,$A$8:$B$13,2,FALSE),"Hier vult u de inzet van eventuele hoogwerkers in")</calculatedColumnFormula>
    </tableColumn>
    <tableColumn id="5" xr3:uid="{00000000-0010-0000-0600-000005000000}" name="Oppervlakte of dagen" dataDxfId="57" totalsRowDxfId="56"/>
    <tableColumn id="7" xr3:uid="{00000000-0010-0000-0600-000007000000}" name="Frequentie" dataDxfId="55" totalsRowDxfId="54"/>
    <tableColumn id="8" xr3:uid="{00000000-0010-0000-0600-000008000000}" name="Kosten/jaar excl. BTW" totalsRowFunction="sum" dataDxfId="53" totalsRowDxfId="52">
      <calculatedColumnFormula>IF(C16&gt;0,VLOOKUP(OverzichtGlas[[#This Row],[Code taak]],InvulGlas[],3,0)*E16*F16,0)</calculatedColumnFormula>
    </tableColumn>
    <tableColumn id="9" xr3:uid="{C6828B68-C5ED-4DD8-81B9-05DF00D6C1BD}" name="Kosten/jaar incl. BTW" totalsRowFunction="sum" dataDxfId="51" totalsRowDxfId="50">
      <calculatedColumnFormula>OverzichtGlas[[#This Row],[Kosten/jaar excl. BTW]]*1.21</calculatedColumnFormula>
    </tableColumn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B000000}" name="InvulRegie" displayName="InvulRegie" ref="B8:D37" totalsRowCount="1" headerRowDxfId="49" dataDxfId="48" totalsRowDxfId="47">
  <autoFilter ref="B8:D36" xr:uid="{00000000-0009-0000-0100-00000B000000}"/>
  <tableColumns count="3">
    <tableColumn id="1" xr3:uid="{00000000-0010-0000-0B00-000001000000}" name="Werkzaamheid" totalsRowLabel="Totaal" totalsRowDxfId="46"/>
    <tableColumn id="2" xr3:uid="{00000000-0010-0000-0B00-000002000000}" name="Eenheid" totalsRowDxfId="45"/>
    <tableColumn id="3" xr3:uid="{00000000-0010-0000-0B00-000003000000}" name="Prijs excl. BTW" dataDxfId="44" totalsRowDxfId="43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352F571-76D7-41E9-8348-EA9443F03AB8}" name="Tabel9" displayName="Tabel9" ref="E8:I36" totalsRowShown="0" headerRowDxfId="42" dataDxfId="40" headerRowBorderDxfId="41" tableBorderDxfId="39" totalsRowBorderDxfId="38">
  <autoFilter ref="E8:I36" xr:uid="{0352F571-76D7-41E9-8348-EA9443F03AB8}"/>
  <tableColumns count="5">
    <tableColumn id="1" xr3:uid="{92850CF6-5B50-42E9-A8F7-B7CB24B14B35}" name="2024" dataDxfId="37">
      <calculatedColumnFormula>InvulRegie[[#This Row],[Prijs excl. BTW]]*Tariefsopbouw!$I$37+InvulRegie[[#This Row],[Prijs excl. BTW]]</calculatedColumnFormula>
    </tableColumn>
    <tableColumn id="2" xr3:uid="{A50C118A-8E51-4925-ABE5-93C19C3648A6}" name="2025" dataDxfId="36">
      <calculatedColumnFormula>E9*Tariefsopbouw!$K$37+'Regie en afroep'!E9</calculatedColumnFormula>
    </tableColumn>
    <tableColumn id="3" xr3:uid="{E0A7C683-D79A-4193-8C05-10CF7CAFD084}" name="2026" dataDxfId="35">
      <calculatedColumnFormula>F9*Tariefsopbouw!$M$37+'Regie en afroep'!F9</calculatedColumnFormula>
    </tableColumn>
    <tableColumn id="4" xr3:uid="{C29415BE-FEAF-477D-BA9A-E066EAF00789}" name="2027" dataDxfId="34">
      <calculatedColumnFormula>G9*Tariefsopbouw!$O$37+'Regie en afroep'!G9</calculatedColumnFormula>
    </tableColumn>
    <tableColumn id="5" xr3:uid="{93C4BD15-621B-4D34-BF48-C25057A550BD}" name="2028" dataDxfId="33">
      <calculatedColumnFormula>H9*Tariefsopbouw!$Q$37+H9</calculatedColumnFormula>
    </tableColumn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Samenvattingschoonmaak" displayName="Samenvattingschoonmaak" ref="A6:C8" totalsRowCount="1" headerRowDxfId="32" dataDxfId="30" totalsRowDxfId="28" headerRowBorderDxfId="31" tableBorderDxfId="29">
  <autoFilter ref="A6:C7" xr:uid="{00000000-0009-0000-0100-00000E000000}"/>
  <tableColumns count="3">
    <tableColumn id="8" xr3:uid="{00000000-0010-0000-0C00-000008000000}" name="Code Locatie" dataDxfId="27" totalsRowDxfId="26"/>
    <tableColumn id="1" xr3:uid="{00000000-0010-0000-0C00-000001000000}" name="Locatie" totalsRowLabel="Totaal" dataDxfId="25" totalsRowDxfId="24">
      <calculatedColumnFormula>VLOOKUP(Samenvattingschoonmaak[[#This Row],[Code Locatie]],Locatie!$A$1:$B$2,2,0)</calculatedColumnFormula>
    </tableColumn>
    <tableColumn id="6" xr3:uid="{00000000-0010-0000-0C00-000006000000}" name="Kosten / jaar excl btw" totalsRowFunction="sum" dataDxfId="23" totalsRowDxfId="22">
      <calculatedColumnFormula>SUMIF(Overzichtextrawerkz.[[#All],[Code Locatie]:[Kosten/jaar excl. BTW]],Samenvattingschoonmaak[[#This Row],[Code Locatie]],Overzichtextrawerkz.[[#Headers],[#Data],[Kosten/jaar excl. BTW]])</calculatedColumnFormula>
    </tableColumn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otalisatie" displayName="Totalisatie" ref="A11:H13" totalsRowCount="1" headerRowDxfId="21" dataDxfId="19" totalsRowDxfId="17" headerRowBorderDxfId="20" tableBorderDxfId="18">
  <autoFilter ref="A11:H12" xr:uid="{00000000-0009-0000-0100-00000F000000}"/>
  <sortState xmlns:xlrd2="http://schemas.microsoft.com/office/spreadsheetml/2017/richdata2" ref="A12:H12">
    <sortCondition ref="C11:C12"/>
  </sortState>
  <tableColumns count="8">
    <tableColumn id="8" xr3:uid="{00000000-0010-0000-0D00-000008000000}" name="Code Locatie" dataDxfId="16" totalsRowDxfId="15"/>
    <tableColumn id="1" xr3:uid="{00000000-0010-0000-0D00-000001000000}" name="Locaties" totalsRowLabel="Totaal" dataDxfId="14" totalsRowDxfId="13">
      <calculatedColumnFormula>VLOOKUP(Totalisatie[[#This Row],[Code Locatie]],Locatie!A1:B2,2,0)</calculatedColumnFormula>
    </tableColumn>
    <tableColumn id="4" xr3:uid="{00000000-0010-0000-0D00-000004000000}" name="Schoonmaakonderhoud_x000a_Kosten / jaar excl btw" totalsRowFunction="sum" dataDxfId="12" totalsRowDxfId="11">
      <calculatedColumnFormula>SUMIF(Overzichtextrawerkz.[[#Headers],[#Data],[Code Locatie]:[Kosten/jaar excl. BTW]],Totalisatie[[#This Row],[Code Locatie]],Overzichtextrawerkz.[[#Headers],[#Data],[Kosten/jaar excl. BTW]])</calculatedColumnFormula>
    </tableColumn>
    <tableColumn id="2" xr3:uid="{00000000-0010-0000-0D00-000002000000}" name="Vloeronderhoud_x000a_Kosten / jaar excl btw" totalsRowFunction="sum" dataDxfId="10" totalsRowDxfId="9">
      <calculatedColumnFormula>SUMIF(OverzichtVloer20[[#All],[Code Locatie]:[Kosten/jaar excl. BTW]],Totalisatie[[#This Row],[Code Locatie]],OverzichtVloer20[[#Headers],[#Data],[Kosten/jaar excl. BTW]])</calculatedColumnFormula>
    </tableColumn>
    <tableColumn id="3" xr3:uid="{5354BE06-5B60-4010-BCF7-0BE3CE5F1508}" name="Dieptereiniging sanitair kosten/ jaar excl. btw" totalsRowFunction="sum" dataDxfId="8" totalsRowDxfId="7">
      <calculatedColumnFormula>SUMIF(Overzichtextrawerkz.[[#All],[Code Locatie]:[Kosten/jaar excl. BTW]],Totalisatie[[#This Row],[Code Locatie]],Overzichtextrawerkz.[[#All],[Kosten/jaar excl. BTW]])</calculatedColumnFormula>
    </tableColumn>
    <tableColumn id="7" xr3:uid="{266F666E-706F-4B8C-AD09-D590778A6711}" name="Glasbewassing kosten/ jaar excl. Btw" dataDxfId="6" totalsRowDxfId="5">
      <calculatedColumnFormula>SUMIF(OverzichtGlas[[Code Locatie]:[Kosten/jaar excl. BTW]],Totalisatie[[#This Row],[Code Locatie]],OverzichtGlas[Kosten/jaar excl. BTW])</calculatedColumnFormula>
    </tableColumn>
    <tableColumn id="6" xr3:uid="{3A26B1B1-0A23-4EC3-945E-74F3498B3BF0}" name="Sanitaire voorzieningen kosten/ jaar excl. Btw" totalsRowFunction="sum" dataDxfId="4" totalsRowDxfId="3">
      <calculatedColumnFormula>SUMIF(Sanitair2[[#All],[Code Locatie]:[Kosten/jaar excl. BTW]],Totalisatie[[#This Row],[Code Locatie]],Sanitair2[[#All],[Kosten/jaar excl. BTW]])</calculatedColumnFormula>
    </tableColumn>
    <tableColumn id="5" xr3:uid="{2A8C3CF1-513F-4CAD-A439-3F5FCA3E0363}" name="Totaalprijs_x000a_Kosten / jaar excl. btw" totalsRowFunction="sum" dataDxfId="2" totalsRowDxfId="1">
      <calculatedColumnFormula>SUM(Totalisatie[[#This Row],[Schoonmaakonderhoud
Kosten / jaar excl btw]:[Sanitaire voorzieningen kosten/ jaar excl. Btw]])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6EE15DD-7089-42A3-9B63-3548FD5414B0}" name="Tabel7" displayName="Tabel7" ref="A8:I17" totalsRowShown="0" headerRowDxfId="198">
  <autoFilter ref="A8:I17" xr:uid="{16EE15DD-7089-42A3-9B63-3548FD5414B0}"/>
  <tableColumns count="9">
    <tableColumn id="1" xr3:uid="{66164881-14AB-4EF8-91B2-C48E24BAD8FF}" name="Code Taak" dataDxfId="197"/>
    <tableColumn id="2" xr3:uid="{D5F4209E-55EF-4C45-81EA-533217417F57}" name="Werkzaamheden" dataDxfId="196"/>
    <tableColumn id="3" xr3:uid="{68E0396C-45DB-4650-ACA5-A7AA9E0D1184}" name="Prijs" dataDxfId="195"/>
    <tableColumn id="4" xr3:uid="{17B26CBE-2BD3-4295-B0C2-4833668BB9CC}" name="Omschrijving" dataDxfId="194"/>
    <tableColumn id="5" xr3:uid="{AC1DDA44-46C5-447C-A3F3-C36C4FE184B3}" name="2024" dataDxfId="193" dataCellStyle="Valuta">
      <calculatedColumnFormula>Tabel7[[#This Row],[Prijs]]*Tariefsopbouw!$I$37+Tabel7[[#This Row],[Prijs]]</calculatedColumnFormula>
    </tableColumn>
    <tableColumn id="6" xr3:uid="{75C22EDC-43E0-4D4A-8F8D-B55F744D10FB}" name="2025" dataDxfId="192">
      <calculatedColumnFormula>Tabel7[[#This Row],[2024]]*Tariefsopbouw!$K$37+Tabel7[[#This Row],[2024]]</calculatedColumnFormula>
    </tableColumn>
    <tableColumn id="7" xr3:uid="{7D759731-2F86-4C83-9FF9-184FAD466203}" name="2026" dataDxfId="191">
      <calculatedColumnFormula>Tabel7[[#This Row],[2025]]*Tariefsopbouw!$M$37+Tabel7[[#This Row],[2025]]</calculatedColumnFormula>
    </tableColumn>
    <tableColumn id="8" xr3:uid="{F6F6A4B7-1614-438E-B4CF-96B6B206F8BA}" name="2027" dataDxfId="190">
      <calculatedColumnFormula>Tabel7[[#This Row],[2026]]*Tariefsopbouw!$O$37+Tabel7[[#This Row],[2026]]</calculatedColumnFormula>
    </tableColumn>
    <tableColumn id="9" xr3:uid="{AB4A3E0B-8B56-4CB2-8057-74485140BF30}" name="2028" dataDxfId="189">
      <calculatedColumnFormula>Tabel7[[#This Row],[2027]]*Tariefsopbouw!$Q$37+Tabel7[[#This Row],[2027]]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627FD2B-88C9-4963-9402-EB1BD27D13F6}" name="Overzichtextrawerkz.9" displayName="Overzichtextrawerkz.9" ref="A19:H29" totalsRowCount="1" headerRowDxfId="188" dataDxfId="187" totalsRowDxfId="186">
  <autoFilter ref="A19:H28" xr:uid="{F627FD2B-88C9-4963-9402-EB1BD27D13F6}"/>
  <tableColumns count="8">
    <tableColumn id="11" xr3:uid="{6939C0A9-E897-4CAF-88AC-91F5BC865E49}" name="Code Locatie" dataDxfId="185" totalsRowDxfId="184"/>
    <tableColumn id="1" xr3:uid="{47DB8D4D-BA25-44F2-85F6-BE2C3E98B1C4}" name="Locatie" totalsRowLabel="Totaal" dataDxfId="183" totalsRowDxfId="182">
      <calculatedColumnFormula>VLOOKUP(Overzichtextrawerkz.9[[#This Row],[Code Locatie]],Locatie!$A$1:$E$2,2,FALSE)</calculatedColumnFormula>
    </tableColumn>
    <tableColumn id="3" xr3:uid="{20FD30F8-97B9-421A-A843-67B89AEF1F4A}" name="Code Taak" dataDxfId="181" totalsRowDxfId="180"/>
    <tableColumn id="4" xr3:uid="{49A50600-6ED4-4D2B-B009-3321E766594C}" name="Werkzaamheden" dataDxfId="179" totalsRowDxfId="178">
      <calculatedColumnFormula>IF(Overzichtextrawerkz.9[[#This Row],[Code Taak]]&gt;0,VLOOKUP(Overzichtextrawerkz.9[[#This Row],[Code Taak]],$A$8:$B$19,2,FALSE),"")</calculatedColumnFormula>
    </tableColumn>
    <tableColumn id="6" xr3:uid="{D9E0C512-69B6-4550-A0F4-08F21A2CE6CB}" name="Aantal uur per beurt" dataDxfId="177" totalsRowDxfId="176"/>
    <tableColumn id="8" xr3:uid="{8C865879-A71E-471B-8103-933BD53451B0}" name="Frequentie (uitv./jaar)" dataDxfId="175" totalsRowDxfId="174"/>
    <tableColumn id="9" xr3:uid="{CBD8977C-DD48-4280-9917-732070352AEE}" name="Kosten/jaar excl. BTW" totalsRowFunction="sum" dataDxfId="173" totalsRowDxfId="172">
      <calculatedColumnFormula>VLOOKUP(Overzichtextrawerkz.9[[#This Row],[Code Taak]],Invulextrawerkz[],3,3)*E20*F20</calculatedColumnFormula>
    </tableColumn>
    <tableColumn id="10" xr3:uid="{36025DF3-1881-4728-A33C-51682B1137AC}" name="Kosten/jaar incl. BTW" totalsRowFunction="sum" dataDxfId="171" totalsRowDxfId="170">
      <calculatedColumnFormula>Overzichtextrawerkz.9[[#This Row],[Kosten/jaar excl. BTW]]*1.21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7314165-68FD-4D3E-B0D9-9038EBEAD743}" name="InvulVloer19" displayName="InvulVloer19" ref="A8:I17" totalsRowShown="0" headerRowDxfId="169">
  <autoFilter ref="A8:I17" xr:uid="{00000000-0009-0000-0100-000001000000}"/>
  <tableColumns count="9">
    <tableColumn id="1" xr3:uid="{634B9515-CED4-4B9C-AC41-91D68E2A6390}" name="Code Taak" dataDxfId="168"/>
    <tableColumn id="2" xr3:uid="{B45DE533-5F07-4399-BBF5-C49AD01DD88F}" name="Werkzaamheden" dataDxfId="167"/>
    <tableColumn id="3" xr3:uid="{569B4254-85AB-4A9D-9738-20A72FAFD71D}" name="Prijs" dataDxfId="166"/>
    <tableColumn id="4" xr3:uid="{3FCFDB06-433D-4D90-AC83-D401C0BB9D5F}" name="Omschrijving" dataDxfId="165"/>
    <tableColumn id="5" xr3:uid="{A2C235A7-50B4-45CF-B035-6B2B17679F97}" name="2024" dataDxfId="164" dataCellStyle="Valuta">
      <calculatedColumnFormula>InvulVloer19[[#This Row],[Prijs]]*Tariefsopbouw!$I$37+InvulVloer19[[#This Row],[Prijs]]</calculatedColumnFormula>
    </tableColumn>
    <tableColumn id="6" xr3:uid="{32314B1F-C549-43D0-A68A-E1D872932DA7}" name="2025" dataDxfId="163" dataCellStyle="Valuta">
      <calculatedColumnFormula>InvulVloer19[[#This Row],[2024]]*Tariefsopbouw!$K$37+InvulVloer19[[#This Row],[2024]]</calculatedColumnFormula>
    </tableColumn>
    <tableColumn id="7" xr3:uid="{5A4E277A-177C-4476-A9A5-6B25E0351BAB}" name="2026" dataDxfId="162" dataCellStyle="Valuta">
      <calculatedColumnFormula>InvulVloer19[[#This Row],[2025]]*Tariefsopbouw!$M$37+InvulVloer19[[#This Row],[2025]]</calculatedColumnFormula>
    </tableColumn>
    <tableColumn id="8" xr3:uid="{6A8CB127-9578-4A7F-8F5E-DABA3EAD7E06}" name="2027" dataDxfId="161" dataCellStyle="Valuta">
      <calculatedColumnFormula>InvulVloer19[[#This Row],[2026]]*Tariefsopbouw!$O$37+InvulVloer19[[#This Row],[2026]]</calculatedColumnFormula>
    </tableColumn>
    <tableColumn id="9" xr3:uid="{F268163B-6C49-46F0-9F2A-A503A98B29BC}" name="2028" dataDxfId="160" dataCellStyle="Valuta">
      <calculatedColumnFormula>InvulVloer19[[#This Row],[2027]]*Tariefsopbouw!$Q$37+InvulVloer19[[#This Row],[2027]]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8E5AD75-4207-402C-A20C-56042472E510}" name="OverzichtVloer20" displayName="OverzichtVloer20" ref="A19:I25" totalsRowCount="1" headerRowDxfId="159" dataDxfId="158" totalsRowDxfId="157">
  <autoFilter ref="A19:I24" xr:uid="{00000000-0009-0000-0100-000002000000}"/>
  <tableColumns count="9">
    <tableColumn id="11" xr3:uid="{9970215E-3F06-4AEF-A1F5-0009C03D624E}" name="Code Locatie" dataDxfId="156" totalsRowDxfId="155"/>
    <tableColumn id="1" xr3:uid="{113C96F6-1924-406B-B23A-994513941647}" name="Locatie" totalsRowLabel="Totaal" dataDxfId="154" totalsRowDxfId="153">
      <calculatedColumnFormula>VLOOKUP(OverzichtVloer20[[#This Row],[Code Locatie]],#REF!,2,0)</calculatedColumnFormula>
    </tableColumn>
    <tableColumn id="3" xr3:uid="{B3D3B5E7-D3C4-461C-9CA1-DBFD10306269}" name="Code Taak" dataDxfId="152" totalsRowDxfId="151"/>
    <tableColumn id="4" xr3:uid="{EBF3EF80-AF01-4C87-A6CF-BF63D79AF323}" name="Vloersoort / toelichting" dataDxfId="150" totalsRowDxfId="149">
      <calculatedColumnFormula>IF(Vloeronderhoud!$C20&gt;0,VLOOKUP(Vloeronderhoud!$C20,$A$8:$B$17,2,FALSE),"")</calculatedColumnFormula>
    </tableColumn>
    <tableColumn id="5" xr3:uid="{309F41B6-3D0E-446B-8EDD-5EB98BD855C7}" name="Vloersoort" dataDxfId="148" totalsRowDxfId="147"/>
    <tableColumn id="6" xr3:uid="{B97F1EF9-BC44-4F7E-8997-83E439999C81}" name="Oppervlakte" dataDxfId="146" totalsRowDxfId="145">
      <calculatedColumnFormula>SUMIFS(#REF!,#REF!,Vloeronderhoud!E20,#REF!,Vloeronderhoud!A20)</calculatedColumnFormula>
    </tableColumn>
    <tableColumn id="8" xr3:uid="{A5FF7A00-BD80-4497-8A9A-905C07BFA557}" name="Frequentie (uitv./jaar)" dataDxfId="144" totalsRowDxfId="143"/>
    <tableColumn id="9" xr3:uid="{13C992BE-16CA-4305-AC75-C46233681A13}" name="Kosten/jaar excl. BTW" totalsRowFunction="sum" dataDxfId="142" totalsRowDxfId="141">
      <calculatedColumnFormula>VLOOKUP(OverzichtVloer20[[#This Row],[Code Taak]],InvulVloer19[],3,3)*F20*G20</calculatedColumnFormula>
    </tableColumn>
    <tableColumn id="2" xr3:uid="{BBD43C19-81F6-4223-A10B-97F2D79A548F}" name="Kosten/jaar incl BTW" totalsRowFunction="sum" dataDxfId="140" totalsRowDxfId="139" dataCellStyle="Valuta">
      <calculatedColumnFormula>OverzichtVloer20[[#This Row],[Kosten/jaar excl. BTW]]*1.21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DB9578-714A-48DF-BAEF-79307E09FE9A}" name="Invulextrawerkz" displayName="Invulextrawerkz" ref="A7:I10" totalsRowShown="0" headerRowDxfId="138" dataDxfId="137">
  <autoFilter ref="A7:I10" xr:uid="{A588C5F6-B106-46F9-B98B-C593A09DB2A3}"/>
  <tableColumns count="9">
    <tableColumn id="1" xr3:uid="{22B850F0-AE08-4CE3-9B2D-04E6314FD547}" name="Code Taak" dataDxfId="136"/>
    <tableColumn id="2" xr3:uid="{6412DB2E-0333-47D7-AB1A-EA797FE96A5D}" name="Werkzaamheden" dataDxfId="135"/>
    <tableColumn id="3" xr3:uid="{8AAD7C70-4047-4EB3-A9DF-188E4E2089BC}" name="Prijs" dataDxfId="134"/>
    <tableColumn id="4" xr3:uid="{1CA4AC32-87D6-4484-8912-27D47F4EAAF7}" name="Omschrijving" dataDxfId="133"/>
    <tableColumn id="5" xr3:uid="{BE52F369-C5C3-4A71-8D70-B7E0ACF04F24}" name="2024" dataDxfId="132" dataCellStyle="Valuta">
      <calculatedColumnFormula>(Invulextrawerkz[[#This Row],[Prijs]]*Tariefsopbouw!$I$37)+Invulextrawerkz[[#This Row],[Prijs]]</calculatedColumnFormula>
    </tableColumn>
    <tableColumn id="6" xr3:uid="{046CD56D-41E8-4E69-876C-FF09421E56AF}" name="2025" dataDxfId="131" dataCellStyle="Valuta">
      <calculatedColumnFormula>Invulextrawerkz[[#This Row],[2024]]*Tariefsopbouw!$K$37+Invulextrawerkz[[#This Row],[2024]]</calculatedColumnFormula>
    </tableColumn>
    <tableColumn id="7" xr3:uid="{AF2B5E6B-A19D-4429-8D14-84B8E528B026}" name="2026" dataDxfId="130" dataCellStyle="Valuta">
      <calculatedColumnFormula>Invulextrawerkz[[#This Row],[2025]]*Tariefsopbouw!$M$37+Invulextrawerkz[[#This Row],[2025]]</calculatedColumnFormula>
    </tableColumn>
    <tableColumn id="8" xr3:uid="{69208AF1-447E-49EB-8803-78C4123AE3E9}" name="2027" dataDxfId="129" dataCellStyle="Valuta">
      <calculatedColumnFormula>Invulextrawerkz[[#This Row],[2026]]*Tariefsopbouw!$O$37+Invulextrawerkz[[#This Row],[2026]]</calculatedColumnFormula>
    </tableColumn>
    <tableColumn id="9" xr3:uid="{E25B61B0-84BE-4386-B6FA-D50084DDD0DC}" name="2028" dataDxfId="128" dataCellStyle="Valuta">
      <calculatedColumnFormula>Invulextrawerkz[[#This Row],[2027]]*Tariefsopbouw!$Q$37+Invulextrawerkz[[#This Row],[2027]]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E09BA18-8EEA-4E62-AF63-DC85F042CD41}" name="Overzichtextrawerkz." displayName="Overzichtextrawerkz." ref="A13:H17" totalsRowCount="1" headerRowDxfId="127" dataDxfId="126" totalsRowDxfId="125">
  <autoFilter ref="A13:H16" xr:uid="{B3DABFDF-61AB-4C78-A962-F8CAE07529D2}"/>
  <tableColumns count="8">
    <tableColumn id="11" xr3:uid="{FED34620-6CE0-4955-8DDC-285BD6540A10}" name="Code Locatie" dataDxfId="124" totalsRowDxfId="123"/>
    <tableColumn id="1" xr3:uid="{38A9D2E6-7E84-4572-8661-1EA1E213D2FD}" name="Locatie" totalsRowLabel="Totaal" dataDxfId="122" totalsRowDxfId="121"/>
    <tableColumn id="3" xr3:uid="{65AA2A4E-FC38-4AA7-9EDE-EA1292669AD6}" name="Code Taak" dataDxfId="120" totalsRowDxfId="119"/>
    <tableColumn id="4" xr3:uid="{4538BE92-6D95-4430-BD90-4F27BD6C1025}" name="Werkzaamheden" dataDxfId="118" totalsRowDxfId="117">
      <calculatedColumnFormula>IF(#REF!&gt;0,VLOOKUP(#REF!,$A$7:$B$10,2,FALSE),"")</calculatedColumnFormula>
    </tableColumn>
    <tableColumn id="6" xr3:uid="{6B6E2754-DCC5-4C0C-89CF-D088B3C5F0F4}" name="Uren" dataDxfId="116" totalsRowDxfId="115"/>
    <tableColumn id="8" xr3:uid="{4862230C-3525-4D32-9FDD-2ADF1DC2DED5}" name="Frequentie (uitv./jaar)" dataDxfId="114" totalsRowDxfId="113"/>
    <tableColumn id="9" xr3:uid="{3AF652DD-830E-4C84-ACC3-83DF08C65F3F}" name="Kosten/jaar excl. BTW" totalsRowFunction="sum" dataDxfId="112" totalsRowDxfId="111">
      <calculatedColumnFormula>VLOOKUP(Overzichtextrawerkz.[[#This Row],[Code Taak]],Invulextrawerkz[],3,3)*#REF!*E14*F14</calculatedColumnFormula>
    </tableColumn>
    <tableColumn id="10" xr3:uid="{DD2F212C-5755-442B-B448-ACDA43EBEDAE}" name="Kosten/jaar incl. BTW" totalsRowFunction="sum" dataDxfId="110" totalsRowDxfId="109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D3A8218-B2C3-4E82-8BC6-78E348E5EF0A}" name="Sanitair" displayName="Sanitair" ref="A8:I15" totalsRowShown="0" headerRowDxfId="108">
  <autoFilter ref="A8:I15" xr:uid="{1D3A8218-B2C3-4E82-8BC6-78E348E5EF0A}"/>
  <tableColumns count="9">
    <tableColumn id="1" xr3:uid="{604D3272-0601-4CA8-B1A7-688615684E80}" name="Code Taak" dataDxfId="107"/>
    <tableColumn id="2" xr3:uid="{3736B8E7-4A65-4B09-9E0B-218DA8DA9F4A}" name="Supplies"/>
    <tableColumn id="3" xr3:uid="{AAEE7484-F97C-49EF-80BC-5AAD5FA96FE6}" name="Prijs" dataDxfId="106"/>
    <tableColumn id="4" xr3:uid="{97D6280B-8659-4E8D-8799-6370DD16C96B}" name="Omschrijving" dataDxfId="105"/>
    <tableColumn id="5" xr3:uid="{5172FC6C-C769-45AD-80D0-F0EDFC9757C6}" name="2024" dataDxfId="104" dataCellStyle="Valuta">
      <calculatedColumnFormula>Sanitair[[#This Row],[Prijs]]*Tariefsopbouw!$I$37+Sanitair[[#This Row],[Prijs]]</calculatedColumnFormula>
    </tableColumn>
    <tableColumn id="6" xr3:uid="{14721B89-74D6-4BE9-9A79-053F5C5C05F7}" name="2025" dataDxfId="103" dataCellStyle="Valuta">
      <calculatedColumnFormula>Sanitair[[#This Row],[2024]]*Tariefsopbouw!$K$37+Sanitair[[#This Row],[2024]]</calculatedColumnFormula>
    </tableColumn>
    <tableColumn id="7" xr3:uid="{56E28DE0-763B-475C-90D3-FD2C34D8C6DB}" name="2026" dataDxfId="102" dataCellStyle="Valuta">
      <calculatedColumnFormula>Sanitair[[#This Row],[2025]]*Tariefsopbouw!$M$37+Sanitair[[#This Row],[2025]]</calculatedColumnFormula>
    </tableColumn>
    <tableColumn id="8" xr3:uid="{271DE52E-7044-4669-A3ED-F95B2808691B}" name="2027" dataDxfId="101" dataCellStyle="Valuta">
      <calculatedColumnFormula>Sanitair[[#This Row],[2026]]*Tariefsopbouw!$O$37+Sanitair[[#This Row],[2026]]</calculatedColumnFormula>
    </tableColumn>
    <tableColumn id="9" xr3:uid="{3529DF24-6972-4D26-99C0-7194E3070003}" name="2028" dataDxfId="100" dataCellStyle="Valuta">
      <calculatedColumnFormula>Sanitair[[#This Row],[2027]]*Tariefsopbouw!$Q$37+Sanitair[[#This Row],[2027]]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AAE5E7C-6DFF-4DCD-9376-69453FFCA827}" name="Sanitair2" displayName="Sanitair2" ref="A17:I25" totalsRowCount="1" headerRowDxfId="99" dataDxfId="98" totalsRowDxfId="97">
  <autoFilter ref="A17:I24" xr:uid="{DAAE5E7C-6DFF-4DCD-9376-69453FFCA827}"/>
  <tableColumns count="9">
    <tableColumn id="11" xr3:uid="{C238B9F8-B412-4EA8-A243-B6BD49C916C9}" name="Code Locatie" dataDxfId="96" totalsRowDxfId="95"/>
    <tableColumn id="1" xr3:uid="{45436CD2-9A11-4C44-8D9D-3B0F60011488}" name="Locatie" totalsRowLabel="Totaal" dataDxfId="94" totalsRowDxfId="93">
      <calculatedColumnFormula>VLOOKUP(Sanitair2[[#This Row],[Code Locatie]],#REF!,2,0)</calculatedColumnFormula>
    </tableColumn>
    <tableColumn id="3" xr3:uid="{7EA7BECA-332C-4074-A3CB-FDA19931B563}" name="Code Taak" dataDxfId="92" totalsRowDxfId="91"/>
    <tableColumn id="4" xr3:uid="{B7BF0A63-7883-4245-83DA-89EE56180092}" name="Werkzaamheden/Producten" dataDxfId="90" totalsRowDxfId="89">
      <calculatedColumnFormula>IF($C18&gt;0,VLOOKUP($C18,$A$8:$B$15,2,FALSE),"")</calculatedColumnFormula>
    </tableColumn>
    <tableColumn id="6" xr3:uid="{BD15E4E2-A733-42C3-9A22-1816807C47CE}" name="Fictieve afname:" dataDxfId="88" totalsRowDxfId="87">
      <calculatedColumnFormula>SUMIFS(#REF!,#REF!,Vloeronderhoud!E20,#REF!,Vloeronderhoud!A20)</calculatedColumnFormula>
    </tableColumn>
    <tableColumn id="5" xr3:uid="{E734D3A9-41C9-485F-A680-F81265858A5C}" name="Eenheid" dataDxfId="86" totalsRowDxfId="85"/>
    <tableColumn id="7" xr3:uid="{F0484243-99B6-4EC0-917B-C6EBAFD6AF53}" name="aantal ledigingen" dataDxfId="84" totalsRowDxfId="83"/>
    <tableColumn id="9" xr3:uid="{0C836F5C-E488-4835-A53A-268B9853849B}" name="Kosten/jaar excl. BTW" totalsRowFunction="sum" dataDxfId="82" totalsRowDxfId="81">
      <calculatedColumnFormula>VLOOKUP(Sanitair2[[#This Row],[Code Taak]],Sanitair[],3,3)*E18*#REF!</calculatedColumnFormula>
    </tableColumn>
    <tableColumn id="2" xr3:uid="{154A2B0B-11B2-4FA5-A344-5DA121F7D4F3}" name="Kosten/jaar incl BTW" totalsRowFunction="sum" dataDxfId="80" totalsRowDxfId="79" dataCellStyle="Valuta">
      <calculatedColumnFormula>Sanitair2[[#This Row],[Kosten/jaar excl. BTW]]*1.21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table" Target="../tables/table8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>
    <tabColor theme="0" tint="-0.14999847407452621"/>
    <pageSetUpPr fitToPage="1"/>
  </sheetPr>
  <dimension ref="A1:R8"/>
  <sheetViews>
    <sheetView workbookViewId="0"/>
  </sheetViews>
  <sheetFormatPr defaultRowHeight="12.75"/>
  <cols>
    <col min="1" max="1" width="6" style="76" customWidth="1"/>
    <col min="2" max="2" width="11.5703125" style="76" customWidth="1"/>
    <col min="3" max="3" width="13.85546875" style="76" customWidth="1"/>
    <col min="4" max="4" width="14.7109375" style="76" bestFit="1" customWidth="1"/>
    <col min="5" max="5" width="15.42578125" style="76" bestFit="1" customWidth="1"/>
    <col min="6" max="6" width="14" style="76" bestFit="1" customWidth="1"/>
    <col min="7" max="7" width="10.42578125" style="89" bestFit="1" customWidth="1"/>
    <col min="8" max="8" width="26" style="76" bestFit="1" customWidth="1"/>
    <col min="9" max="9" width="13" style="89" customWidth="1"/>
    <col min="10" max="10" width="13.7109375" style="89" customWidth="1"/>
    <col min="11" max="11" width="9" style="76" bestFit="1" customWidth="1"/>
    <col min="12" max="12" width="12.28515625" style="76" bestFit="1" customWidth="1"/>
    <col min="13" max="13" width="10.7109375" style="76" customWidth="1"/>
    <col min="14" max="14" width="11.7109375" style="76" customWidth="1"/>
    <col min="15" max="15" width="14.140625" style="76" bestFit="1" customWidth="1"/>
    <col min="16" max="16" width="17.7109375" style="76" customWidth="1"/>
    <col min="17" max="17" width="15.85546875" style="89" bestFit="1" customWidth="1"/>
    <col min="18" max="18" width="22.28515625" style="76" bestFit="1" customWidth="1"/>
  </cols>
  <sheetData>
    <row r="1" spans="1:18" ht="45" customHeight="1">
      <c r="A1" s="98"/>
      <c r="B1" s="95" t="s">
        <v>145</v>
      </c>
      <c r="C1" s="95" t="s">
        <v>195</v>
      </c>
      <c r="D1" s="95" t="s">
        <v>146</v>
      </c>
      <c r="E1" s="95" t="s">
        <v>147</v>
      </c>
      <c r="F1" s="95" t="s">
        <v>196</v>
      </c>
      <c r="G1" s="95" t="s">
        <v>148</v>
      </c>
      <c r="H1" s="95" t="s">
        <v>127</v>
      </c>
      <c r="I1" s="95" t="s">
        <v>149</v>
      </c>
      <c r="J1" s="95" t="s">
        <v>150</v>
      </c>
      <c r="K1" s="95" t="s">
        <v>151</v>
      </c>
      <c r="L1" s="95" t="s">
        <v>152</v>
      </c>
      <c r="M1" s="95" t="s">
        <v>153</v>
      </c>
      <c r="N1" s="95" t="s">
        <v>154</v>
      </c>
      <c r="O1" s="95" t="s">
        <v>197</v>
      </c>
      <c r="P1" s="95" t="s">
        <v>155</v>
      </c>
      <c r="Q1" s="95" t="s">
        <v>156</v>
      </c>
      <c r="R1" s="95" t="s">
        <v>68</v>
      </c>
    </row>
    <row r="2" spans="1:18">
      <c r="A2" s="159">
        <v>1</v>
      </c>
      <c r="B2" s="152"/>
      <c r="C2" s="152"/>
      <c r="D2" s="152"/>
      <c r="E2" s="153"/>
      <c r="F2" s="154"/>
      <c r="G2" s="155"/>
      <c r="H2" s="153"/>
      <c r="I2" s="155"/>
      <c r="J2" s="155"/>
      <c r="K2" s="156"/>
      <c r="L2" s="157"/>
      <c r="M2" s="153"/>
      <c r="N2" s="153"/>
      <c r="O2" s="155"/>
      <c r="P2" s="155"/>
      <c r="Q2" s="155"/>
      <c r="R2" s="153"/>
    </row>
    <row r="3" spans="1:18">
      <c r="A3" s="159">
        <v>2</v>
      </c>
      <c r="B3" s="152"/>
      <c r="C3" s="152"/>
      <c r="D3" s="152"/>
      <c r="E3" s="153"/>
      <c r="F3" s="154"/>
      <c r="G3" s="155"/>
      <c r="H3" s="153"/>
      <c r="I3" s="155"/>
      <c r="J3" s="155"/>
      <c r="K3" s="156"/>
      <c r="L3" s="157"/>
      <c r="M3" s="153"/>
      <c r="N3" s="153"/>
      <c r="O3" s="155"/>
      <c r="P3" s="155"/>
      <c r="Q3" s="155"/>
      <c r="R3" s="153"/>
    </row>
    <row r="4" spans="1:18">
      <c r="A4" s="159">
        <v>3</v>
      </c>
      <c r="B4" s="152"/>
      <c r="C4" s="152"/>
      <c r="D4" s="152"/>
      <c r="E4" s="153"/>
      <c r="F4" s="154"/>
      <c r="G4" s="155"/>
      <c r="H4" s="153"/>
      <c r="I4" s="155"/>
      <c r="J4" s="155"/>
      <c r="K4" s="156"/>
      <c r="L4" s="158"/>
      <c r="M4" s="153"/>
      <c r="N4" s="153"/>
      <c r="O4" s="155"/>
      <c r="P4" s="155"/>
      <c r="Q4" s="155"/>
      <c r="R4" s="153"/>
    </row>
    <row r="5" spans="1:18">
      <c r="A5" s="159">
        <v>4</v>
      </c>
      <c r="B5" s="152"/>
      <c r="C5" s="152"/>
      <c r="D5" s="152"/>
      <c r="E5" s="153"/>
      <c r="F5" s="154"/>
      <c r="G5" s="155"/>
      <c r="H5" s="153"/>
      <c r="I5" s="155"/>
      <c r="J5" s="155"/>
      <c r="K5" s="156"/>
      <c r="L5" s="158"/>
      <c r="M5" s="153"/>
      <c r="N5" s="153"/>
      <c r="O5" s="155"/>
      <c r="P5" s="155"/>
      <c r="Q5" s="155"/>
      <c r="R5" s="153"/>
    </row>
    <row r="6" spans="1:18">
      <c r="A6" s="159">
        <v>5</v>
      </c>
      <c r="B6" s="152"/>
      <c r="C6" s="152"/>
      <c r="D6" s="152"/>
      <c r="E6" s="153"/>
      <c r="F6" s="154"/>
      <c r="G6" s="155"/>
      <c r="H6" s="153"/>
      <c r="I6" s="155"/>
      <c r="J6" s="155"/>
      <c r="K6" s="156"/>
      <c r="L6" s="158"/>
      <c r="M6" s="153"/>
      <c r="N6" s="153"/>
      <c r="O6" s="155"/>
      <c r="P6" s="155"/>
      <c r="Q6" s="155"/>
      <c r="R6" s="153"/>
    </row>
    <row r="8" spans="1:18">
      <c r="B8" s="183" t="s">
        <v>246</v>
      </c>
    </row>
  </sheetData>
  <pageMargins left="0.7" right="0.7" top="0.75" bottom="0.75" header="0.3" footer="0.3"/>
  <pageSetup paperSize="9" scale="5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7F650-80F9-4A48-B04C-49F26F08C912}">
  <sheetPr>
    <tabColor theme="0" tint="-0.14999847407452621"/>
  </sheetPr>
  <dimension ref="A1:H39"/>
  <sheetViews>
    <sheetView topLeftCell="A3" workbookViewId="0">
      <selection activeCell="A3" sqref="A3"/>
    </sheetView>
  </sheetViews>
  <sheetFormatPr defaultRowHeight="15"/>
  <cols>
    <col min="1" max="3" width="9.140625" style="205"/>
    <col min="4" max="4" width="25.85546875" style="205" customWidth="1"/>
    <col min="5" max="8" width="7.28515625" style="205" customWidth="1"/>
    <col min="9" max="259" width="9.140625" style="205"/>
    <col min="260" max="260" width="25.85546875" style="205" customWidth="1"/>
    <col min="261" max="264" width="7.28515625" style="205" customWidth="1"/>
    <col min="265" max="515" width="9.140625" style="205"/>
    <col min="516" max="516" width="25.85546875" style="205" customWidth="1"/>
    <col min="517" max="520" width="7.28515625" style="205" customWidth="1"/>
    <col min="521" max="771" width="9.140625" style="205"/>
    <col min="772" max="772" width="25.85546875" style="205" customWidth="1"/>
    <col min="773" max="776" width="7.28515625" style="205" customWidth="1"/>
    <col min="777" max="1027" width="9.140625" style="205"/>
    <col min="1028" max="1028" width="25.85546875" style="205" customWidth="1"/>
    <col min="1029" max="1032" width="7.28515625" style="205" customWidth="1"/>
    <col min="1033" max="1283" width="9.140625" style="205"/>
    <col min="1284" max="1284" width="25.85546875" style="205" customWidth="1"/>
    <col min="1285" max="1288" width="7.28515625" style="205" customWidth="1"/>
    <col min="1289" max="1539" width="9.140625" style="205"/>
    <col min="1540" max="1540" width="25.85546875" style="205" customWidth="1"/>
    <col min="1541" max="1544" width="7.28515625" style="205" customWidth="1"/>
    <col min="1545" max="1795" width="9.140625" style="205"/>
    <col min="1796" max="1796" width="25.85546875" style="205" customWidth="1"/>
    <col min="1797" max="1800" width="7.28515625" style="205" customWidth="1"/>
    <col min="1801" max="2051" width="9.140625" style="205"/>
    <col min="2052" max="2052" width="25.85546875" style="205" customWidth="1"/>
    <col min="2053" max="2056" width="7.28515625" style="205" customWidth="1"/>
    <col min="2057" max="2307" width="9.140625" style="205"/>
    <col min="2308" max="2308" width="25.85546875" style="205" customWidth="1"/>
    <col min="2309" max="2312" width="7.28515625" style="205" customWidth="1"/>
    <col min="2313" max="2563" width="9.140625" style="205"/>
    <col min="2564" max="2564" width="25.85546875" style="205" customWidth="1"/>
    <col min="2565" max="2568" width="7.28515625" style="205" customWidth="1"/>
    <col min="2569" max="2819" width="9.140625" style="205"/>
    <col min="2820" max="2820" width="25.85546875" style="205" customWidth="1"/>
    <col min="2821" max="2824" width="7.28515625" style="205" customWidth="1"/>
    <col min="2825" max="3075" width="9.140625" style="205"/>
    <col min="3076" max="3076" width="25.85546875" style="205" customWidth="1"/>
    <col min="3077" max="3080" width="7.28515625" style="205" customWidth="1"/>
    <col min="3081" max="3331" width="9.140625" style="205"/>
    <col min="3332" max="3332" width="25.85546875" style="205" customWidth="1"/>
    <col min="3333" max="3336" width="7.28515625" style="205" customWidth="1"/>
    <col min="3337" max="3587" width="9.140625" style="205"/>
    <col min="3588" max="3588" width="25.85546875" style="205" customWidth="1"/>
    <col min="3589" max="3592" width="7.28515625" style="205" customWidth="1"/>
    <col min="3593" max="3843" width="9.140625" style="205"/>
    <col min="3844" max="3844" width="25.85546875" style="205" customWidth="1"/>
    <col min="3845" max="3848" width="7.28515625" style="205" customWidth="1"/>
    <col min="3849" max="4099" width="9.140625" style="205"/>
    <col min="4100" max="4100" width="25.85546875" style="205" customWidth="1"/>
    <col min="4101" max="4104" width="7.28515625" style="205" customWidth="1"/>
    <col min="4105" max="4355" width="9.140625" style="205"/>
    <col min="4356" max="4356" width="25.85546875" style="205" customWidth="1"/>
    <col min="4357" max="4360" width="7.28515625" style="205" customWidth="1"/>
    <col min="4361" max="4611" width="9.140625" style="205"/>
    <col min="4612" max="4612" width="25.85546875" style="205" customWidth="1"/>
    <col min="4613" max="4616" width="7.28515625" style="205" customWidth="1"/>
    <col min="4617" max="4867" width="9.140625" style="205"/>
    <col min="4868" max="4868" width="25.85546875" style="205" customWidth="1"/>
    <col min="4869" max="4872" width="7.28515625" style="205" customWidth="1"/>
    <col min="4873" max="5123" width="9.140625" style="205"/>
    <col min="5124" max="5124" width="25.85546875" style="205" customWidth="1"/>
    <col min="5125" max="5128" width="7.28515625" style="205" customWidth="1"/>
    <col min="5129" max="5379" width="9.140625" style="205"/>
    <col min="5380" max="5380" width="25.85546875" style="205" customWidth="1"/>
    <col min="5381" max="5384" width="7.28515625" style="205" customWidth="1"/>
    <col min="5385" max="5635" width="9.140625" style="205"/>
    <col min="5636" max="5636" width="25.85546875" style="205" customWidth="1"/>
    <col min="5637" max="5640" width="7.28515625" style="205" customWidth="1"/>
    <col min="5641" max="5891" width="9.140625" style="205"/>
    <col min="5892" max="5892" width="25.85546875" style="205" customWidth="1"/>
    <col min="5893" max="5896" width="7.28515625" style="205" customWidth="1"/>
    <col min="5897" max="6147" width="9.140625" style="205"/>
    <col min="6148" max="6148" width="25.85546875" style="205" customWidth="1"/>
    <col min="6149" max="6152" width="7.28515625" style="205" customWidth="1"/>
    <col min="6153" max="6403" width="9.140625" style="205"/>
    <col min="6404" max="6404" width="25.85546875" style="205" customWidth="1"/>
    <col min="6405" max="6408" width="7.28515625" style="205" customWidth="1"/>
    <col min="6409" max="6659" width="9.140625" style="205"/>
    <col min="6660" max="6660" width="25.85546875" style="205" customWidth="1"/>
    <col min="6661" max="6664" width="7.28515625" style="205" customWidth="1"/>
    <col min="6665" max="6915" width="9.140625" style="205"/>
    <col min="6916" max="6916" width="25.85546875" style="205" customWidth="1"/>
    <col min="6917" max="6920" width="7.28515625" style="205" customWidth="1"/>
    <col min="6921" max="7171" width="9.140625" style="205"/>
    <col min="7172" max="7172" width="25.85546875" style="205" customWidth="1"/>
    <col min="7173" max="7176" width="7.28515625" style="205" customWidth="1"/>
    <col min="7177" max="7427" width="9.140625" style="205"/>
    <col min="7428" max="7428" width="25.85546875" style="205" customWidth="1"/>
    <col min="7429" max="7432" width="7.28515625" style="205" customWidth="1"/>
    <col min="7433" max="7683" width="9.140625" style="205"/>
    <col min="7684" max="7684" width="25.85546875" style="205" customWidth="1"/>
    <col min="7685" max="7688" width="7.28515625" style="205" customWidth="1"/>
    <col min="7689" max="7939" width="9.140625" style="205"/>
    <col min="7940" max="7940" width="25.85546875" style="205" customWidth="1"/>
    <col min="7941" max="7944" width="7.28515625" style="205" customWidth="1"/>
    <col min="7945" max="8195" width="9.140625" style="205"/>
    <col min="8196" max="8196" width="25.85546875" style="205" customWidth="1"/>
    <col min="8197" max="8200" width="7.28515625" style="205" customWidth="1"/>
    <col min="8201" max="8451" width="9.140625" style="205"/>
    <col min="8452" max="8452" width="25.85546875" style="205" customWidth="1"/>
    <col min="8453" max="8456" width="7.28515625" style="205" customWidth="1"/>
    <col min="8457" max="8707" width="9.140625" style="205"/>
    <col min="8708" max="8708" width="25.85546875" style="205" customWidth="1"/>
    <col min="8709" max="8712" width="7.28515625" style="205" customWidth="1"/>
    <col min="8713" max="8963" width="9.140625" style="205"/>
    <col min="8964" max="8964" width="25.85546875" style="205" customWidth="1"/>
    <col min="8965" max="8968" width="7.28515625" style="205" customWidth="1"/>
    <col min="8969" max="9219" width="9.140625" style="205"/>
    <col min="9220" max="9220" width="25.85546875" style="205" customWidth="1"/>
    <col min="9221" max="9224" width="7.28515625" style="205" customWidth="1"/>
    <col min="9225" max="9475" width="9.140625" style="205"/>
    <col min="9476" max="9476" width="25.85546875" style="205" customWidth="1"/>
    <col min="9477" max="9480" width="7.28515625" style="205" customWidth="1"/>
    <col min="9481" max="9731" width="9.140625" style="205"/>
    <col min="9732" max="9732" width="25.85546875" style="205" customWidth="1"/>
    <col min="9733" max="9736" width="7.28515625" style="205" customWidth="1"/>
    <col min="9737" max="9987" width="9.140625" style="205"/>
    <col min="9988" max="9988" width="25.85546875" style="205" customWidth="1"/>
    <col min="9989" max="9992" width="7.28515625" style="205" customWidth="1"/>
    <col min="9993" max="10243" width="9.140625" style="205"/>
    <col min="10244" max="10244" width="25.85546875" style="205" customWidth="1"/>
    <col min="10245" max="10248" width="7.28515625" style="205" customWidth="1"/>
    <col min="10249" max="10499" width="9.140625" style="205"/>
    <col min="10500" max="10500" width="25.85546875" style="205" customWidth="1"/>
    <col min="10501" max="10504" width="7.28515625" style="205" customWidth="1"/>
    <col min="10505" max="10755" width="9.140625" style="205"/>
    <col min="10756" max="10756" width="25.85546875" style="205" customWidth="1"/>
    <col min="10757" max="10760" width="7.28515625" style="205" customWidth="1"/>
    <col min="10761" max="11011" width="9.140625" style="205"/>
    <col min="11012" max="11012" width="25.85546875" style="205" customWidth="1"/>
    <col min="11013" max="11016" width="7.28515625" style="205" customWidth="1"/>
    <col min="11017" max="11267" width="9.140625" style="205"/>
    <col min="11268" max="11268" width="25.85546875" style="205" customWidth="1"/>
    <col min="11269" max="11272" width="7.28515625" style="205" customWidth="1"/>
    <col min="11273" max="11523" width="9.140625" style="205"/>
    <col min="11524" max="11524" width="25.85546875" style="205" customWidth="1"/>
    <col min="11525" max="11528" width="7.28515625" style="205" customWidth="1"/>
    <col min="11529" max="11779" width="9.140625" style="205"/>
    <col min="11780" max="11780" width="25.85546875" style="205" customWidth="1"/>
    <col min="11781" max="11784" width="7.28515625" style="205" customWidth="1"/>
    <col min="11785" max="12035" width="9.140625" style="205"/>
    <col min="12036" max="12036" width="25.85546875" style="205" customWidth="1"/>
    <col min="12037" max="12040" width="7.28515625" style="205" customWidth="1"/>
    <col min="12041" max="12291" width="9.140625" style="205"/>
    <col min="12292" max="12292" width="25.85546875" style="205" customWidth="1"/>
    <col min="12293" max="12296" width="7.28515625" style="205" customWidth="1"/>
    <col min="12297" max="12547" width="9.140625" style="205"/>
    <col min="12548" max="12548" width="25.85546875" style="205" customWidth="1"/>
    <col min="12549" max="12552" width="7.28515625" style="205" customWidth="1"/>
    <col min="12553" max="12803" width="9.140625" style="205"/>
    <col min="12804" max="12804" width="25.85546875" style="205" customWidth="1"/>
    <col min="12805" max="12808" width="7.28515625" style="205" customWidth="1"/>
    <col min="12809" max="13059" width="9.140625" style="205"/>
    <col min="13060" max="13060" width="25.85546875" style="205" customWidth="1"/>
    <col min="13061" max="13064" width="7.28515625" style="205" customWidth="1"/>
    <col min="13065" max="13315" width="9.140625" style="205"/>
    <col min="13316" max="13316" width="25.85546875" style="205" customWidth="1"/>
    <col min="13317" max="13320" width="7.28515625" style="205" customWidth="1"/>
    <col min="13321" max="13571" width="9.140625" style="205"/>
    <col min="13572" max="13572" width="25.85546875" style="205" customWidth="1"/>
    <col min="13573" max="13576" width="7.28515625" style="205" customWidth="1"/>
    <col min="13577" max="13827" width="9.140625" style="205"/>
    <col min="13828" max="13828" width="25.85546875" style="205" customWidth="1"/>
    <col min="13829" max="13832" width="7.28515625" style="205" customWidth="1"/>
    <col min="13833" max="14083" width="9.140625" style="205"/>
    <col min="14084" max="14084" width="25.85546875" style="205" customWidth="1"/>
    <col min="14085" max="14088" width="7.28515625" style="205" customWidth="1"/>
    <col min="14089" max="14339" width="9.140625" style="205"/>
    <col min="14340" max="14340" width="25.85546875" style="205" customWidth="1"/>
    <col min="14341" max="14344" width="7.28515625" style="205" customWidth="1"/>
    <col min="14345" max="14595" width="9.140625" style="205"/>
    <col min="14596" max="14596" width="25.85546875" style="205" customWidth="1"/>
    <col min="14597" max="14600" width="7.28515625" style="205" customWidth="1"/>
    <col min="14601" max="14851" width="9.140625" style="205"/>
    <col min="14852" max="14852" width="25.85546875" style="205" customWidth="1"/>
    <col min="14853" max="14856" width="7.28515625" style="205" customWidth="1"/>
    <col min="14857" max="15107" width="9.140625" style="205"/>
    <col min="15108" max="15108" width="25.85546875" style="205" customWidth="1"/>
    <col min="15109" max="15112" width="7.28515625" style="205" customWidth="1"/>
    <col min="15113" max="15363" width="9.140625" style="205"/>
    <col min="15364" max="15364" width="25.85546875" style="205" customWidth="1"/>
    <col min="15365" max="15368" width="7.28515625" style="205" customWidth="1"/>
    <col min="15369" max="15619" width="9.140625" style="205"/>
    <col min="15620" max="15620" width="25.85546875" style="205" customWidth="1"/>
    <col min="15621" max="15624" width="7.28515625" style="205" customWidth="1"/>
    <col min="15625" max="15875" width="9.140625" style="205"/>
    <col min="15876" max="15876" width="25.85546875" style="205" customWidth="1"/>
    <col min="15877" max="15880" width="7.28515625" style="205" customWidth="1"/>
    <col min="15881" max="16131" width="9.140625" style="205"/>
    <col min="16132" max="16132" width="25.85546875" style="205" customWidth="1"/>
    <col min="16133" max="16136" width="7.28515625" style="205" customWidth="1"/>
    <col min="16137" max="16384" width="9.140625" style="205"/>
  </cols>
  <sheetData>
    <row r="1" spans="1:8" ht="20.25">
      <c r="A1" s="202" t="s">
        <v>266</v>
      </c>
      <c r="B1" s="203"/>
      <c r="C1" s="203"/>
      <c r="D1" s="203"/>
      <c r="E1" s="204" t="s">
        <v>267</v>
      </c>
      <c r="F1" s="204" t="s">
        <v>267</v>
      </c>
      <c r="G1" s="204" t="s">
        <v>267</v>
      </c>
      <c r="H1" s="204" t="s">
        <v>267</v>
      </c>
    </row>
    <row r="2" spans="1:8">
      <c r="A2" s="206" t="s">
        <v>376</v>
      </c>
      <c r="B2" s="207"/>
      <c r="C2" s="207"/>
      <c r="D2" s="207"/>
      <c r="E2" s="208">
        <v>200</v>
      </c>
      <c r="F2" s="208">
        <v>40</v>
      </c>
      <c r="G2" s="208">
        <v>4</v>
      </c>
      <c r="H2" s="208">
        <v>1</v>
      </c>
    </row>
    <row r="3" spans="1:8">
      <c r="A3" s="209" t="s">
        <v>375</v>
      </c>
      <c r="B3" s="210"/>
      <c r="C3" s="210"/>
      <c r="D3" s="210"/>
      <c r="E3" s="245"/>
      <c r="F3" s="211"/>
      <c r="G3" s="211"/>
      <c r="H3" s="211"/>
    </row>
    <row r="4" spans="1:8">
      <c r="A4" s="212" t="s">
        <v>270</v>
      </c>
      <c r="B4" s="213"/>
      <c r="C4" s="213"/>
      <c r="D4" s="213"/>
      <c r="E4" s="214"/>
      <c r="F4" s="214"/>
      <c r="G4" s="214"/>
      <c r="H4" s="214"/>
    </row>
    <row r="5" spans="1:8">
      <c r="A5" s="215" t="s">
        <v>313</v>
      </c>
      <c r="B5" s="216"/>
      <c r="C5" s="216"/>
      <c r="D5" s="216"/>
      <c r="E5" s="246"/>
      <c r="F5" s="239"/>
      <c r="G5" s="239"/>
      <c r="H5" s="239"/>
    </row>
    <row r="6" spans="1:8">
      <c r="A6" s="215" t="s">
        <v>314</v>
      </c>
      <c r="B6" s="216"/>
      <c r="C6" s="216"/>
      <c r="D6" s="216"/>
      <c r="E6" s="245" t="s">
        <v>272</v>
      </c>
      <c r="F6" s="208"/>
      <c r="G6" s="208"/>
      <c r="H6" s="208"/>
    </row>
    <row r="7" spans="1:8">
      <c r="A7" s="217" t="s">
        <v>341</v>
      </c>
      <c r="B7" s="218"/>
      <c r="C7" s="218"/>
      <c r="D7" s="218"/>
      <c r="E7" s="236" t="s">
        <v>272</v>
      </c>
      <c r="F7" s="220"/>
      <c r="G7" s="220"/>
      <c r="H7" s="220"/>
    </row>
    <row r="8" spans="1:8">
      <c r="A8" s="217" t="s">
        <v>353</v>
      </c>
      <c r="B8" s="218"/>
      <c r="C8" s="218"/>
      <c r="D8" s="218"/>
      <c r="E8" s="236" t="s">
        <v>272</v>
      </c>
      <c r="F8" s="220"/>
      <c r="G8" s="220"/>
      <c r="H8" s="220"/>
    </row>
    <row r="9" spans="1:8">
      <c r="A9" s="217" t="s">
        <v>343</v>
      </c>
      <c r="B9" s="218"/>
      <c r="C9" s="218"/>
      <c r="D9" s="218"/>
      <c r="E9" s="236" t="s">
        <v>272</v>
      </c>
      <c r="F9" s="220"/>
      <c r="G9" s="220"/>
      <c r="H9" s="220"/>
    </row>
    <row r="10" spans="1:8">
      <c r="A10" s="217" t="s">
        <v>344</v>
      </c>
      <c r="B10" s="218"/>
      <c r="C10" s="218"/>
      <c r="D10" s="218"/>
      <c r="E10" s="236" t="s">
        <v>272</v>
      </c>
      <c r="F10" s="220"/>
      <c r="G10" s="220"/>
      <c r="H10" s="220"/>
    </row>
    <row r="11" spans="1:8">
      <c r="A11" s="217" t="s">
        <v>279</v>
      </c>
      <c r="B11" s="218"/>
      <c r="C11" s="218"/>
      <c r="D11" s="218"/>
      <c r="E11" s="236" t="s">
        <v>272</v>
      </c>
      <c r="F11" s="220"/>
      <c r="G11" s="220"/>
      <c r="H11" s="220"/>
    </row>
    <row r="12" spans="1:8">
      <c r="A12" s="217" t="s">
        <v>280</v>
      </c>
      <c r="B12" s="218"/>
      <c r="C12" s="218"/>
      <c r="D12" s="218"/>
      <c r="E12" s="236" t="s">
        <v>272</v>
      </c>
      <c r="F12" s="220"/>
      <c r="G12" s="220"/>
      <c r="H12" s="220"/>
    </row>
    <row r="13" spans="1:8">
      <c r="A13" s="215"/>
      <c r="B13" s="216"/>
      <c r="C13" s="216"/>
      <c r="D13" s="216"/>
      <c r="E13" s="236"/>
      <c r="F13" s="225"/>
      <c r="G13" s="225"/>
      <c r="H13" s="225"/>
    </row>
    <row r="14" spans="1:8">
      <c r="A14" s="212" t="s">
        <v>282</v>
      </c>
      <c r="B14" s="226"/>
      <c r="C14" s="226"/>
      <c r="D14" s="226"/>
      <c r="E14" s="227"/>
      <c r="F14" s="227"/>
      <c r="G14" s="227"/>
      <c r="H14" s="227"/>
    </row>
    <row r="15" spans="1:8">
      <c r="A15" s="217" t="s">
        <v>346</v>
      </c>
      <c r="B15" s="218"/>
      <c r="C15" s="218"/>
      <c r="D15" s="218"/>
      <c r="E15" s="236"/>
      <c r="F15" s="220" t="s">
        <v>272</v>
      </c>
      <c r="G15" s="220"/>
      <c r="H15" s="220"/>
    </row>
    <row r="16" spans="1:8">
      <c r="A16" s="217" t="s">
        <v>315</v>
      </c>
      <c r="B16" s="218"/>
      <c r="C16" s="218"/>
      <c r="D16" s="218"/>
      <c r="E16" s="236"/>
      <c r="F16" s="220" t="s">
        <v>272</v>
      </c>
      <c r="G16" s="220"/>
      <c r="H16" s="220"/>
    </row>
    <row r="17" spans="1:8">
      <c r="A17" s="217" t="s">
        <v>293</v>
      </c>
      <c r="B17" s="218"/>
      <c r="C17" s="218"/>
      <c r="D17" s="218"/>
      <c r="E17" s="236"/>
      <c r="F17" s="220" t="s">
        <v>272</v>
      </c>
      <c r="G17" s="220"/>
      <c r="H17" s="220"/>
    </row>
    <row r="18" spans="1:8">
      <c r="A18" s="217" t="s">
        <v>347</v>
      </c>
      <c r="B18" s="218"/>
      <c r="C18" s="218"/>
      <c r="D18" s="218"/>
      <c r="E18" s="236"/>
      <c r="F18" s="220" t="s">
        <v>272</v>
      </c>
      <c r="G18" s="220"/>
      <c r="H18" s="220"/>
    </row>
    <row r="19" spans="1:8">
      <c r="A19" s="217" t="s">
        <v>348</v>
      </c>
      <c r="B19" s="218"/>
      <c r="C19" s="218"/>
      <c r="D19" s="218"/>
      <c r="E19" s="236"/>
      <c r="F19" s="220" t="s">
        <v>272</v>
      </c>
      <c r="G19" s="220"/>
      <c r="H19" s="220"/>
    </row>
    <row r="20" spans="1:8">
      <c r="A20" s="224" t="s">
        <v>296</v>
      </c>
      <c r="B20" s="224"/>
      <c r="C20" s="224"/>
      <c r="D20" s="217"/>
      <c r="E20" s="236"/>
      <c r="F20" s="220" t="s">
        <v>272</v>
      </c>
      <c r="G20" s="220"/>
      <c r="H20" s="220"/>
    </row>
    <row r="21" spans="1:8">
      <c r="A21" s="224" t="s">
        <v>297</v>
      </c>
      <c r="B21" s="224"/>
      <c r="C21" s="224"/>
      <c r="D21" s="217"/>
      <c r="E21" s="236"/>
      <c r="F21" s="220" t="s">
        <v>272</v>
      </c>
      <c r="G21" s="220"/>
      <c r="H21" s="220"/>
    </row>
    <row r="22" spans="1:8">
      <c r="A22" s="247" t="s">
        <v>298</v>
      </c>
      <c r="B22" s="224"/>
      <c r="C22" s="224"/>
      <c r="D22" s="217"/>
      <c r="E22" s="236"/>
      <c r="F22" s="220"/>
      <c r="G22" s="220"/>
      <c r="H22" s="220"/>
    </row>
    <row r="23" spans="1:8">
      <c r="A23" s="224" t="s">
        <v>299</v>
      </c>
      <c r="B23" s="224"/>
      <c r="C23" s="224"/>
      <c r="D23" s="217"/>
      <c r="E23" s="236"/>
      <c r="F23" s="220" t="s">
        <v>272</v>
      </c>
      <c r="G23" s="220"/>
      <c r="H23" s="220"/>
    </row>
    <row r="24" spans="1:8">
      <c r="A24" s="224" t="s">
        <v>301</v>
      </c>
      <c r="B24" s="224"/>
      <c r="C24" s="224"/>
      <c r="D24" s="217"/>
      <c r="E24" s="236"/>
      <c r="F24" s="220" t="s">
        <v>272</v>
      </c>
      <c r="G24" s="220"/>
      <c r="H24" s="220"/>
    </row>
    <row r="25" spans="1:8">
      <c r="A25" s="224" t="s">
        <v>286</v>
      </c>
      <c r="B25" s="224"/>
      <c r="C25" s="224"/>
      <c r="D25" s="217"/>
      <c r="E25" s="236"/>
      <c r="F25" s="220" t="s">
        <v>272</v>
      </c>
      <c r="G25" s="220"/>
      <c r="H25" s="220"/>
    </row>
    <row r="26" spans="1:8">
      <c r="A26" s="217" t="s">
        <v>287</v>
      </c>
      <c r="B26" s="218"/>
      <c r="C26" s="218"/>
      <c r="D26" s="218"/>
      <c r="E26" s="236"/>
      <c r="F26" s="220" t="s">
        <v>272</v>
      </c>
      <c r="G26" s="220"/>
      <c r="H26" s="220"/>
    </row>
    <row r="27" spans="1:8">
      <c r="A27" s="217"/>
      <c r="B27" s="218"/>
      <c r="C27" s="218"/>
      <c r="D27" s="218"/>
      <c r="E27" s="236"/>
      <c r="F27" s="220"/>
      <c r="G27" s="220"/>
      <c r="H27" s="220"/>
    </row>
    <row r="28" spans="1:8">
      <c r="A28" s="212" t="s">
        <v>302</v>
      </c>
      <c r="B28" s="226"/>
      <c r="C28" s="226"/>
      <c r="D28" s="226"/>
      <c r="E28" s="227"/>
      <c r="F28" s="227"/>
      <c r="G28" s="227"/>
      <c r="H28" s="227"/>
    </row>
    <row r="29" spans="1:8">
      <c r="A29" s="217" t="s">
        <v>332</v>
      </c>
      <c r="B29" s="218"/>
      <c r="C29" s="218"/>
      <c r="D29" s="218"/>
      <c r="E29" s="236"/>
      <c r="F29" s="236"/>
      <c r="G29" s="236" t="s">
        <v>272</v>
      </c>
      <c r="H29" s="236"/>
    </row>
    <row r="30" spans="1:8">
      <c r="A30" s="217" t="s">
        <v>349</v>
      </c>
      <c r="B30" s="218"/>
      <c r="C30" s="218"/>
      <c r="D30" s="218"/>
      <c r="E30" s="236"/>
      <c r="F30" s="236"/>
      <c r="G30" s="236"/>
      <c r="H30" s="236" t="s">
        <v>272</v>
      </c>
    </row>
    <row r="31" spans="1:8">
      <c r="A31" s="217" t="s">
        <v>291</v>
      </c>
      <c r="B31" s="218"/>
      <c r="C31" s="218"/>
      <c r="D31" s="218"/>
      <c r="E31" s="236"/>
      <c r="F31" s="236"/>
      <c r="G31" s="236" t="s">
        <v>272</v>
      </c>
      <c r="H31" s="236"/>
    </row>
    <row r="32" spans="1:8">
      <c r="A32" s="217" t="s">
        <v>305</v>
      </c>
      <c r="B32" s="218"/>
      <c r="C32" s="218"/>
      <c r="D32" s="218"/>
      <c r="E32" s="236"/>
      <c r="F32" s="236"/>
      <c r="G32" s="236"/>
      <c r="H32" s="236" t="s">
        <v>272</v>
      </c>
    </row>
    <row r="33" spans="1:8">
      <c r="A33" s="248" t="s">
        <v>306</v>
      </c>
      <c r="B33" s="218"/>
      <c r="C33" s="218"/>
      <c r="D33" s="218"/>
      <c r="E33" s="236"/>
      <c r="F33" s="236"/>
      <c r="G33" s="236"/>
      <c r="H33" s="236"/>
    </row>
    <row r="34" spans="1:8">
      <c r="A34" s="217" t="s">
        <v>307</v>
      </c>
      <c r="B34" s="218"/>
      <c r="C34" s="218"/>
      <c r="D34" s="218"/>
      <c r="E34" s="236"/>
      <c r="F34" s="236"/>
      <c r="G34" s="236" t="s">
        <v>272</v>
      </c>
      <c r="H34" s="236"/>
    </row>
    <row r="35" spans="1:8">
      <c r="A35" s="217" t="s">
        <v>308</v>
      </c>
      <c r="B35" s="218"/>
      <c r="C35" s="218"/>
      <c r="D35" s="218"/>
      <c r="E35" s="236"/>
      <c r="F35" s="236"/>
      <c r="G35" s="236"/>
      <c r="H35" s="236" t="s">
        <v>272</v>
      </c>
    </row>
    <row r="36" spans="1:8">
      <c r="A36" s="217" t="s">
        <v>350</v>
      </c>
      <c r="B36" s="218"/>
      <c r="C36" s="218"/>
      <c r="D36" s="218"/>
      <c r="E36" s="236"/>
      <c r="F36" s="236"/>
      <c r="G36" s="236" t="s">
        <v>272</v>
      </c>
      <c r="H36" s="236"/>
    </row>
    <row r="37" spans="1:8">
      <c r="A37" s="217" t="s">
        <v>309</v>
      </c>
      <c r="B37" s="218"/>
      <c r="C37" s="218"/>
      <c r="D37" s="218"/>
      <c r="E37" s="236"/>
      <c r="F37" s="236"/>
      <c r="G37" s="236"/>
      <c r="H37" s="236" t="s">
        <v>272</v>
      </c>
    </row>
    <row r="38" spans="1:8">
      <c r="A38" s="217"/>
      <c r="B38" s="218"/>
      <c r="C38" s="218"/>
      <c r="D38" s="218"/>
      <c r="E38" s="236"/>
      <c r="F38" s="236"/>
      <c r="G38" s="236"/>
      <c r="H38" s="236"/>
    </row>
    <row r="39" spans="1:8">
      <c r="A39" s="237" t="s">
        <v>310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94FD-653F-4F1F-A1E1-EBE6C7CB2CB4}">
  <sheetPr codeName="Blad12">
    <tabColor theme="0" tint="-0.14999847407452621"/>
  </sheetPr>
  <dimension ref="A1:Q56"/>
  <sheetViews>
    <sheetView showGridLines="0" view="pageBreakPreview" zoomScale="90" zoomScaleNormal="100" zoomScaleSheetLayoutView="90" workbookViewId="0">
      <selection activeCell="A8" sqref="A8:B8"/>
    </sheetView>
  </sheetViews>
  <sheetFormatPr defaultColWidth="7.85546875" defaultRowHeight="15" customHeight="1"/>
  <cols>
    <col min="1" max="1" width="15.140625" style="3" bestFit="1" customWidth="1"/>
    <col min="2" max="2" width="26" style="3" customWidth="1"/>
    <col min="3" max="3" width="18.28515625" style="3" customWidth="1"/>
    <col min="4" max="4" width="17.7109375" style="3" bestFit="1" customWidth="1"/>
    <col min="5" max="5" width="18.28515625" style="14" customWidth="1"/>
    <col min="6" max="6" width="2.85546875" style="3" customWidth="1"/>
    <col min="7" max="7" width="11" style="3" bestFit="1" customWidth="1"/>
    <col min="8" max="8" width="12" style="3" bestFit="1" customWidth="1"/>
    <col min="9" max="9" width="17.7109375" style="3" bestFit="1" customWidth="1"/>
    <col min="10" max="10" width="12" style="3" bestFit="1" customWidth="1"/>
    <col min="11" max="11" width="17.7109375" style="3" bestFit="1" customWidth="1"/>
    <col min="12" max="12" width="12" style="3" bestFit="1" customWidth="1"/>
    <col min="13" max="13" width="17.7109375" style="3" bestFit="1" customWidth="1"/>
    <col min="14" max="14" width="12" style="3" bestFit="1" customWidth="1"/>
    <col min="15" max="15" width="17.7109375" style="3" bestFit="1" customWidth="1"/>
    <col min="16" max="16" width="12" style="3" bestFit="1" customWidth="1"/>
    <col min="17" max="17" width="15.85546875" style="3" customWidth="1"/>
    <col min="18" max="16384" width="7.85546875" style="3"/>
  </cols>
  <sheetData>
    <row r="1" spans="1:17" s="5" customFormat="1" ht="26.25" customHeight="1">
      <c r="A1" s="253" t="s">
        <v>12</v>
      </c>
      <c r="B1" s="253"/>
      <c r="C1" s="253"/>
      <c r="D1" s="253"/>
      <c r="E1" s="253"/>
    </row>
    <row r="2" spans="1:17" s="5" customFormat="1" ht="15" customHeight="1">
      <c r="A2" s="255" t="s">
        <v>122</v>
      </c>
      <c r="B2" s="255"/>
      <c r="C2" s="255"/>
      <c r="D2" s="255"/>
      <c r="E2" s="255"/>
      <c r="G2" s="270" t="s">
        <v>157</v>
      </c>
      <c r="H2" s="270"/>
      <c r="I2" s="270"/>
      <c r="J2" s="270"/>
      <c r="K2" s="270"/>
      <c r="L2" s="270"/>
      <c r="M2" s="270"/>
      <c r="N2" s="270"/>
      <c r="O2" s="270"/>
      <c r="P2" s="270"/>
      <c r="Q2" s="270"/>
    </row>
    <row r="3" spans="1:17" ht="15" customHeight="1">
      <c r="E3" s="3"/>
      <c r="G3" s="95"/>
      <c r="H3" s="271">
        <v>2024</v>
      </c>
      <c r="I3" s="271"/>
      <c r="J3" s="272">
        <v>2025</v>
      </c>
      <c r="K3" s="273"/>
      <c r="L3" s="272">
        <v>2026</v>
      </c>
      <c r="M3" s="273"/>
      <c r="N3" s="272">
        <v>2027</v>
      </c>
      <c r="O3" s="273"/>
      <c r="P3" s="272">
        <v>2028</v>
      </c>
      <c r="Q3" s="273"/>
    </row>
    <row r="4" spans="1:17" s="4" customFormat="1" ht="26.25" customHeight="1">
      <c r="A4" s="256" t="s">
        <v>40</v>
      </c>
      <c r="B4" s="257"/>
      <c r="C4" s="58" t="s">
        <v>118</v>
      </c>
      <c r="D4" s="58" t="s">
        <v>131</v>
      </c>
      <c r="E4" s="58" t="s">
        <v>47</v>
      </c>
      <c r="G4" s="95" t="s">
        <v>187</v>
      </c>
      <c r="H4" s="95" t="s">
        <v>188</v>
      </c>
      <c r="I4" s="95" t="s">
        <v>189</v>
      </c>
      <c r="J4" s="95" t="s">
        <v>188</v>
      </c>
      <c r="K4" s="95" t="s">
        <v>189</v>
      </c>
      <c r="L4" s="95" t="s">
        <v>188</v>
      </c>
      <c r="M4" s="95" t="s">
        <v>189</v>
      </c>
      <c r="N4" s="95" t="s">
        <v>188</v>
      </c>
      <c r="O4" s="95" t="s">
        <v>189</v>
      </c>
      <c r="P4" s="95" t="s">
        <v>188</v>
      </c>
      <c r="Q4" s="95" t="s">
        <v>189</v>
      </c>
    </row>
    <row r="5" spans="1:17" ht="15" customHeight="1">
      <c r="A5" s="261" t="s">
        <v>61</v>
      </c>
      <c r="B5" s="262"/>
      <c r="C5" s="6">
        <v>0</v>
      </c>
      <c r="D5" s="7">
        <v>0</v>
      </c>
      <c r="E5" s="8">
        <f>C5*D5</f>
        <v>0</v>
      </c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</row>
    <row r="6" spans="1:17" ht="15" customHeight="1">
      <c r="A6" s="261" t="s">
        <v>31</v>
      </c>
      <c r="B6" s="262"/>
      <c r="C6" s="6">
        <v>0</v>
      </c>
      <c r="D6" s="7">
        <v>0</v>
      </c>
      <c r="E6" s="8">
        <f>C6*D6</f>
        <v>0</v>
      </c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</row>
    <row r="7" spans="1:17" ht="15" customHeight="1">
      <c r="A7" s="268"/>
      <c r="B7" s="269"/>
      <c r="C7" s="6">
        <v>0</v>
      </c>
      <c r="D7" s="7">
        <v>0</v>
      </c>
      <c r="E7" s="8">
        <f>C7*D7</f>
        <v>0</v>
      </c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</row>
    <row r="8" spans="1:17" ht="15" customHeight="1">
      <c r="A8" s="266" t="s">
        <v>32</v>
      </c>
      <c r="B8" s="267"/>
      <c r="C8" s="6">
        <v>0</v>
      </c>
      <c r="D8" s="7">
        <v>0</v>
      </c>
      <c r="E8" s="8">
        <f>C8*D8</f>
        <v>0</v>
      </c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</row>
    <row r="9" spans="1:17" ht="15" customHeight="1">
      <c r="A9" s="263" t="s">
        <v>62</v>
      </c>
      <c r="B9" s="264"/>
      <c r="C9" s="265"/>
      <c r="D9" s="9">
        <f>SUM(D5:D8)</f>
        <v>0</v>
      </c>
      <c r="E9" s="8" t="str">
        <f>IF(SUM($D$5:$D$8)=100%,SUM(E5:E8),"    GEEN 100%")</f>
        <v xml:space="preserve">    GEEN 100%</v>
      </c>
      <c r="G9" s="138"/>
      <c r="H9" s="143"/>
      <c r="I9" s="138"/>
      <c r="J9" s="138"/>
      <c r="K9" s="138"/>
      <c r="L9" s="138"/>
      <c r="M9" s="138"/>
      <c r="N9" s="138"/>
      <c r="O9" s="138"/>
      <c r="P9" s="138"/>
      <c r="Q9" s="138"/>
    </row>
    <row r="10" spans="1:17" ht="15" customHeight="1">
      <c r="A10" s="254" t="s">
        <v>33</v>
      </c>
      <c r="B10" s="254"/>
      <c r="C10" s="254"/>
      <c r="D10" s="144" t="s">
        <v>0</v>
      </c>
      <c r="E10" s="145">
        <f>SUM(E9:E9)</f>
        <v>0</v>
      </c>
      <c r="G10" s="138" t="s">
        <v>190</v>
      </c>
      <c r="H10" s="143">
        <v>0</v>
      </c>
      <c r="I10" s="145">
        <f>(E10*H10)+E10</f>
        <v>0</v>
      </c>
      <c r="J10" s="143">
        <v>0</v>
      </c>
      <c r="K10" s="145">
        <f>(I10*J10)+I10</f>
        <v>0</v>
      </c>
      <c r="L10" s="143">
        <v>0</v>
      </c>
      <c r="M10" s="145">
        <f>(K10*L10)+K10</f>
        <v>0</v>
      </c>
      <c r="N10" s="143">
        <v>0</v>
      </c>
      <c r="O10" s="145">
        <f>(M10*N10)+M10</f>
        <v>0</v>
      </c>
      <c r="P10" s="143">
        <v>0</v>
      </c>
      <c r="Q10" s="145">
        <f>(O10*P10)+O10</f>
        <v>0</v>
      </c>
    </row>
    <row r="11" spans="1:17" ht="15" customHeight="1">
      <c r="A11" s="12"/>
      <c r="B11" s="13"/>
      <c r="C11" s="13"/>
      <c r="D11" s="13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</row>
    <row r="12" spans="1:17" s="4" customFormat="1" ht="26.25" customHeight="1">
      <c r="A12" s="256" t="s">
        <v>35</v>
      </c>
      <c r="B12" s="258"/>
      <c r="C12" s="257"/>
      <c r="D12" s="59" t="s">
        <v>44</v>
      </c>
      <c r="E12" s="58" t="s">
        <v>47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17" ht="15" customHeight="1">
      <c r="A13" s="259" t="s">
        <v>1</v>
      </c>
      <c r="B13" s="260"/>
      <c r="C13" s="260"/>
      <c r="D13" s="140">
        <v>0</v>
      </c>
      <c r="E13" s="11">
        <f>SUM($E$10*D13)</f>
        <v>0</v>
      </c>
      <c r="G13" s="138" t="s">
        <v>191</v>
      </c>
      <c r="H13" s="143"/>
      <c r="I13" s="146">
        <f>(E13*H13)+E13</f>
        <v>0</v>
      </c>
      <c r="J13" s="147"/>
      <c r="K13" s="146">
        <f>(I13*J13)+I13</f>
        <v>0</v>
      </c>
      <c r="L13" s="147"/>
      <c r="M13" s="146">
        <f>(K13*L13)+K13</f>
        <v>0</v>
      </c>
      <c r="N13" s="147"/>
      <c r="O13" s="146">
        <f>(M13*N13)+M13</f>
        <v>0</v>
      </c>
      <c r="P13" s="147"/>
      <c r="Q13" s="146">
        <f>(O13*P13)+O13</f>
        <v>0</v>
      </c>
    </row>
    <row r="14" spans="1:17" ht="15" customHeight="1">
      <c r="A14" s="260" t="s">
        <v>49</v>
      </c>
      <c r="B14" s="260"/>
      <c r="C14" s="260"/>
      <c r="D14" s="140">
        <v>0</v>
      </c>
      <c r="E14" s="11">
        <f>SUM($E$10*D14)</f>
        <v>0</v>
      </c>
      <c r="G14" s="138" t="s">
        <v>191</v>
      </c>
      <c r="H14" s="143"/>
      <c r="I14" s="146">
        <f>(E14*H14)+E14</f>
        <v>0</v>
      </c>
      <c r="J14" s="147"/>
      <c r="K14" s="146">
        <f>(I14*J14)+I14</f>
        <v>0</v>
      </c>
      <c r="L14" s="147"/>
      <c r="M14" s="146">
        <f>(K14*L14)+K14</f>
        <v>0</v>
      </c>
      <c r="N14" s="147"/>
      <c r="O14" s="146">
        <f>(M14*N14)+M14</f>
        <v>0</v>
      </c>
      <c r="P14" s="147"/>
      <c r="Q14" s="146">
        <f>(O14*P14)+O14</f>
        <v>0</v>
      </c>
    </row>
    <row r="15" spans="1:17" ht="15" customHeight="1">
      <c r="A15" s="260" t="s">
        <v>2</v>
      </c>
      <c r="B15" s="260"/>
      <c r="C15" s="260"/>
      <c r="D15" s="140">
        <v>0</v>
      </c>
      <c r="E15" s="11">
        <f>SUM($E$10*D15)</f>
        <v>0</v>
      </c>
      <c r="G15" s="138" t="s">
        <v>191</v>
      </c>
      <c r="H15" s="143"/>
      <c r="I15" s="146">
        <f>(E15*H15)+E15</f>
        <v>0</v>
      </c>
      <c r="J15" s="147"/>
      <c r="K15" s="146">
        <f>(I15*J15)+I15</f>
        <v>0</v>
      </c>
      <c r="L15" s="147"/>
      <c r="M15" s="146">
        <f>(K15*L15)+K15</f>
        <v>0</v>
      </c>
      <c r="N15" s="147"/>
      <c r="O15" s="146">
        <f>(M15*N15)+M15</f>
        <v>0</v>
      </c>
      <c r="P15" s="147"/>
      <c r="Q15" s="146">
        <f>(O15*P15)+O15</f>
        <v>0</v>
      </c>
    </row>
    <row r="16" spans="1:17" ht="15" customHeight="1">
      <c r="A16" s="260" t="s">
        <v>3</v>
      </c>
      <c r="B16" s="260"/>
      <c r="C16" s="260"/>
      <c r="D16" s="140">
        <v>0</v>
      </c>
      <c r="E16" s="11">
        <f>SUM($E$10*D16)</f>
        <v>0</v>
      </c>
      <c r="G16" s="138" t="s">
        <v>191</v>
      </c>
      <c r="H16" s="143"/>
      <c r="I16" s="146">
        <f>(E16*H16)+E16</f>
        <v>0</v>
      </c>
      <c r="J16" s="147"/>
      <c r="K16" s="146">
        <f>(I16*J16)+I16</f>
        <v>0</v>
      </c>
      <c r="L16" s="147"/>
      <c r="M16" s="146">
        <f>(K16*L16)+K16</f>
        <v>0</v>
      </c>
      <c r="N16" s="147"/>
      <c r="O16" s="146">
        <f>(M16*N16)+M16</f>
        <v>0</v>
      </c>
      <c r="P16" s="147"/>
      <c r="Q16" s="146">
        <f>(O16*P16)+O16</f>
        <v>0</v>
      </c>
    </row>
    <row r="17" spans="1:17" ht="15" customHeight="1">
      <c r="A17" s="268" t="s">
        <v>52</v>
      </c>
      <c r="B17" s="278"/>
      <c r="C17" s="269"/>
      <c r="D17" s="140">
        <v>0</v>
      </c>
      <c r="E17" s="11">
        <f>SUM($E$10*D17)</f>
        <v>0</v>
      </c>
      <c r="G17" s="138" t="s">
        <v>191</v>
      </c>
      <c r="H17" s="143"/>
      <c r="I17" s="146">
        <f>(E17*H17)+E17</f>
        <v>0</v>
      </c>
      <c r="J17" s="147"/>
      <c r="K17" s="146">
        <f>(I17*J17)+I17</f>
        <v>0</v>
      </c>
      <c r="L17" s="147"/>
      <c r="M17" s="146">
        <f>(K17*L17)+K17</f>
        <v>0</v>
      </c>
      <c r="N17" s="147"/>
      <c r="O17" s="146">
        <f>(M17*N17)+M17</f>
        <v>0</v>
      </c>
      <c r="P17" s="147"/>
      <c r="Q17" s="146">
        <f>(O17*P17)+O17</f>
        <v>0</v>
      </c>
    </row>
    <row r="18" spans="1:17" ht="15" customHeight="1">
      <c r="A18" s="254" t="s">
        <v>41</v>
      </c>
      <c r="B18" s="254"/>
      <c r="C18" s="254"/>
      <c r="D18" s="148"/>
      <c r="E18" s="149">
        <f>SUM(E13:E17)</f>
        <v>0</v>
      </c>
      <c r="G18" s="138"/>
      <c r="H18" s="138"/>
      <c r="I18" s="149">
        <f>SUM(I13:I17)</f>
        <v>0</v>
      </c>
      <c r="J18" s="138"/>
      <c r="K18" s="149">
        <f>SUM(K13:K17)</f>
        <v>0</v>
      </c>
      <c r="L18" s="138"/>
      <c r="M18" s="149">
        <f>SUM(M13:M17)</f>
        <v>0</v>
      </c>
      <c r="N18" s="138"/>
      <c r="O18" s="149">
        <f>SUM(O13:O17)</f>
        <v>0</v>
      </c>
      <c r="P18" s="138"/>
      <c r="Q18" s="149">
        <f>SUM(Q13:Q17)</f>
        <v>0</v>
      </c>
    </row>
    <row r="19" spans="1:17" ht="15" customHeight="1">
      <c r="D19" s="15"/>
      <c r="E19" s="16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</row>
    <row r="20" spans="1:17" s="4" customFormat="1" ht="26.25" customHeight="1">
      <c r="A20" s="256" t="s">
        <v>36</v>
      </c>
      <c r="B20" s="258"/>
      <c r="C20" s="257"/>
      <c r="D20" s="59" t="s">
        <v>45</v>
      </c>
      <c r="E20" s="58" t="s">
        <v>47</v>
      </c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</row>
    <row r="21" spans="1:17" ht="15" customHeight="1">
      <c r="A21" s="260" t="s">
        <v>4</v>
      </c>
      <c r="B21" s="260"/>
      <c r="C21" s="260"/>
      <c r="D21" s="94" t="e">
        <f>E21/$E$35</f>
        <v>#DIV/0!</v>
      </c>
      <c r="E21" s="92">
        <v>0</v>
      </c>
      <c r="G21" s="138" t="s">
        <v>191</v>
      </c>
      <c r="H21" s="143"/>
      <c r="I21" s="146">
        <f>(E21*H21)+E21</f>
        <v>0</v>
      </c>
      <c r="J21" s="147"/>
      <c r="K21" s="146">
        <f>(I21*J21)+I21</f>
        <v>0</v>
      </c>
      <c r="L21" s="147"/>
      <c r="M21" s="146">
        <f>(K21*L21)+K21</f>
        <v>0</v>
      </c>
      <c r="N21" s="147"/>
      <c r="O21" s="146">
        <f>(M21*N21)+M21</f>
        <v>0</v>
      </c>
      <c r="P21" s="147"/>
      <c r="Q21" s="146">
        <f>(O21*P21)+O21</f>
        <v>0</v>
      </c>
    </row>
    <row r="22" spans="1:17" ht="15" customHeight="1">
      <c r="A22" s="259" t="s">
        <v>5</v>
      </c>
      <c r="B22" s="260"/>
      <c r="C22" s="260"/>
      <c r="D22" s="94" t="e">
        <f>E22/$E$35</f>
        <v>#DIV/0!</v>
      </c>
      <c r="E22" s="92">
        <v>0</v>
      </c>
      <c r="G22" s="138" t="s">
        <v>191</v>
      </c>
      <c r="H22" s="143"/>
      <c r="I22" s="146">
        <f>(E22*H22)+E22</f>
        <v>0</v>
      </c>
      <c r="J22" s="147"/>
      <c r="K22" s="146">
        <f>(I22*J22)+I22</f>
        <v>0</v>
      </c>
      <c r="L22" s="147"/>
      <c r="M22" s="146">
        <f>(K22*L22)+K22</f>
        <v>0</v>
      </c>
      <c r="N22" s="147"/>
      <c r="O22" s="146">
        <f>(M22*N22)+M22</f>
        <v>0</v>
      </c>
      <c r="P22" s="147"/>
      <c r="Q22" s="146">
        <f>(O22*P22)+O22</f>
        <v>0</v>
      </c>
    </row>
    <row r="23" spans="1:17" ht="15" customHeight="1">
      <c r="A23" s="260" t="s">
        <v>6</v>
      </c>
      <c r="B23" s="260"/>
      <c r="C23" s="260"/>
      <c r="D23" s="94" t="e">
        <f>E23/$E$35</f>
        <v>#DIV/0!</v>
      </c>
      <c r="E23" s="92">
        <v>0</v>
      </c>
      <c r="G23" s="138" t="s">
        <v>191</v>
      </c>
      <c r="H23" s="143"/>
      <c r="I23" s="150">
        <f>(E23*H23)+E23</f>
        <v>0</v>
      </c>
      <c r="J23" s="147"/>
      <c r="K23" s="146">
        <f>(I23*J23)+I23</f>
        <v>0</v>
      </c>
      <c r="L23" s="147"/>
      <c r="M23" s="146">
        <f>(K23*L23)+K23</f>
        <v>0</v>
      </c>
      <c r="N23" s="147"/>
      <c r="O23" s="146">
        <f>(M23*N23)+M23</f>
        <v>0</v>
      </c>
      <c r="P23" s="147"/>
      <c r="Q23" s="146">
        <f>(O23*P23)+O23</f>
        <v>0</v>
      </c>
    </row>
    <row r="24" spans="1:17" ht="15" customHeight="1">
      <c r="A24" s="266" t="s">
        <v>7</v>
      </c>
      <c r="B24" s="277"/>
      <c r="C24" s="267"/>
      <c r="D24" s="140">
        <v>0</v>
      </c>
      <c r="E24" s="10">
        <f>D24*$E$10</f>
        <v>0</v>
      </c>
      <c r="G24" s="138" t="s">
        <v>190</v>
      </c>
      <c r="H24" s="143"/>
      <c r="I24" s="146">
        <f>(E24*H24)+E24</f>
        <v>0</v>
      </c>
      <c r="J24" s="147"/>
      <c r="K24" s="146">
        <f>(I24*J24)+I24</f>
        <v>0</v>
      </c>
      <c r="L24" s="147"/>
      <c r="M24" s="146">
        <f>(K24*L24)+K24</f>
        <v>0</v>
      </c>
      <c r="N24" s="147"/>
      <c r="O24" s="146">
        <f>(M24*N24)+M24</f>
        <v>0</v>
      </c>
      <c r="P24" s="147"/>
      <c r="Q24" s="146">
        <f>(O24*P24)+O24</f>
        <v>0</v>
      </c>
    </row>
    <row r="25" spans="1:17" ht="15" customHeight="1">
      <c r="A25" s="268" t="s">
        <v>50</v>
      </c>
      <c r="B25" s="278"/>
      <c r="C25" s="269"/>
      <c r="D25" s="94" t="e">
        <f>E25/$E$35</f>
        <v>#DIV/0!</v>
      </c>
      <c r="E25" s="92">
        <v>0</v>
      </c>
      <c r="G25" s="138" t="s">
        <v>191</v>
      </c>
      <c r="H25" s="143"/>
      <c r="I25" s="150">
        <f>(E25*H25)+E25</f>
        <v>0</v>
      </c>
      <c r="J25" s="147"/>
      <c r="K25" s="146">
        <f>(I25*J25)+I25</f>
        <v>0</v>
      </c>
      <c r="L25" s="147"/>
      <c r="M25" s="146">
        <f>(K25*L25)+K25</f>
        <v>0</v>
      </c>
      <c r="N25" s="147"/>
      <c r="O25" s="146">
        <f>(M25*N25)+M25</f>
        <v>0</v>
      </c>
      <c r="P25" s="147"/>
      <c r="Q25" s="146">
        <f>(O25*P25)+O25</f>
        <v>0</v>
      </c>
    </row>
    <row r="26" spans="1:17" ht="15" customHeight="1">
      <c r="A26" s="254" t="s">
        <v>42</v>
      </c>
      <c r="B26" s="254"/>
      <c r="C26" s="254"/>
      <c r="D26" s="144" t="s">
        <v>0</v>
      </c>
      <c r="E26" s="145">
        <f>SUM(E21:E25)</f>
        <v>0</v>
      </c>
      <c r="G26" s="138"/>
      <c r="H26" s="138"/>
      <c r="I26" s="145">
        <f>SUM(I21:I25)</f>
        <v>0</v>
      </c>
      <c r="J26" s="138"/>
      <c r="K26" s="145">
        <f>SUM(K21:K25)</f>
        <v>0</v>
      </c>
      <c r="L26" s="138"/>
      <c r="M26" s="145">
        <f>SUM(M21:M25)</f>
        <v>0</v>
      </c>
      <c r="N26" s="138"/>
      <c r="O26" s="145">
        <f>SUM(O21:O25)</f>
        <v>0</v>
      </c>
      <c r="P26" s="138"/>
      <c r="Q26" s="145">
        <f>SUM(Q21:Q25)</f>
        <v>0</v>
      </c>
    </row>
    <row r="27" spans="1:17" ht="15" customHeight="1">
      <c r="A27" s="17"/>
      <c r="B27" s="17"/>
      <c r="C27" s="17"/>
      <c r="D27" s="18"/>
      <c r="E27" s="19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</row>
    <row r="28" spans="1:17" s="4" customFormat="1" ht="26.25" customHeight="1">
      <c r="A28" s="256" t="s">
        <v>37</v>
      </c>
      <c r="B28" s="258"/>
      <c r="C28" s="257"/>
      <c r="D28" s="59" t="s">
        <v>45</v>
      </c>
      <c r="E28" s="58" t="s">
        <v>47</v>
      </c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1:17" ht="15" customHeight="1">
      <c r="A29" s="259" t="s">
        <v>8</v>
      </c>
      <c r="B29" s="260"/>
      <c r="C29" s="260"/>
      <c r="D29" s="140">
        <v>0</v>
      </c>
      <c r="E29" s="10">
        <f>D29*($E$18+$E$10)</f>
        <v>0</v>
      </c>
      <c r="G29" s="138" t="s">
        <v>191</v>
      </c>
      <c r="H29" s="143"/>
      <c r="I29" s="146">
        <f>(E29*H29)+E29</f>
        <v>0</v>
      </c>
      <c r="J29" s="147"/>
      <c r="K29" s="146">
        <f>(I29*J29)+I29</f>
        <v>0</v>
      </c>
      <c r="L29" s="147"/>
      <c r="M29" s="146">
        <f>(K29*L29)+K29</f>
        <v>0</v>
      </c>
      <c r="N29" s="147"/>
      <c r="O29" s="146">
        <f>(M29*N29)+M29</f>
        <v>0</v>
      </c>
      <c r="P29" s="147"/>
      <c r="Q29" s="146">
        <f>(O29*P29)+O29</f>
        <v>0</v>
      </c>
    </row>
    <row r="30" spans="1:17" ht="15" customHeight="1">
      <c r="A30" s="259" t="s">
        <v>38</v>
      </c>
      <c r="B30" s="260"/>
      <c r="C30" s="260"/>
      <c r="D30" s="93" t="e">
        <f>E30/$E$35</f>
        <v>#DIV/0!</v>
      </c>
      <c r="E30" s="92">
        <v>0</v>
      </c>
      <c r="G30" s="138" t="s">
        <v>191</v>
      </c>
      <c r="H30" s="143"/>
      <c r="I30" s="150">
        <f>(E30*H30)+E30</f>
        <v>0</v>
      </c>
      <c r="J30" s="147"/>
      <c r="K30" s="146">
        <f>(I30*J30)+I30</f>
        <v>0</v>
      </c>
      <c r="L30" s="147"/>
      <c r="M30" s="146">
        <f>(K30*L30)+K30</f>
        <v>0</v>
      </c>
      <c r="N30" s="147"/>
      <c r="O30" s="146">
        <f>(M30*N30)+M30</f>
        <v>0</v>
      </c>
      <c r="P30" s="147"/>
      <c r="Q30" s="146">
        <f>(O30*P30)+O30</f>
        <v>0</v>
      </c>
    </row>
    <row r="31" spans="1:17" ht="15" customHeight="1">
      <c r="A31" s="268" t="s">
        <v>51</v>
      </c>
      <c r="B31" s="278"/>
      <c r="C31" s="269"/>
      <c r="D31" s="94" t="e">
        <f>E31/$E$35</f>
        <v>#DIV/0!</v>
      </c>
      <c r="E31" s="92">
        <v>0</v>
      </c>
      <c r="G31" s="138" t="s">
        <v>191</v>
      </c>
      <c r="H31" s="143"/>
      <c r="I31" s="150">
        <f>(E31*H31)+E31</f>
        <v>0</v>
      </c>
      <c r="J31" s="147"/>
      <c r="K31" s="146">
        <f>(I31*J31)+I31</f>
        <v>0</v>
      </c>
      <c r="L31" s="147"/>
      <c r="M31" s="146">
        <f>(K31*L31)+K31</f>
        <v>0</v>
      </c>
      <c r="N31" s="147"/>
      <c r="O31" s="146">
        <f>(M31*N31)+M31</f>
        <v>0</v>
      </c>
      <c r="P31" s="147"/>
      <c r="Q31" s="146">
        <f>(O31*P31)+O31</f>
        <v>0</v>
      </c>
    </row>
    <row r="32" spans="1:17" ht="15" customHeight="1">
      <c r="A32" s="260" t="s">
        <v>39</v>
      </c>
      <c r="B32" s="260"/>
      <c r="C32" s="260"/>
      <c r="D32" s="93" t="e">
        <f>E32/$E$35</f>
        <v>#DIV/0!</v>
      </c>
      <c r="E32" s="92">
        <v>0</v>
      </c>
      <c r="G32" s="138" t="s">
        <v>191</v>
      </c>
      <c r="H32" s="138"/>
      <c r="I32" s="150">
        <f>(E32*H32)+E32</f>
        <v>0</v>
      </c>
      <c r="J32" s="147"/>
      <c r="K32" s="146">
        <f>(I32*J32)+I32</f>
        <v>0</v>
      </c>
      <c r="L32" s="147"/>
      <c r="M32" s="146">
        <f>(K32*L32)+K32</f>
        <v>0</v>
      </c>
      <c r="N32" s="147"/>
      <c r="O32" s="146">
        <f>(M32*N32)+M32</f>
        <v>0</v>
      </c>
      <c r="P32" s="147"/>
      <c r="Q32" s="146">
        <f>(O32*P32)+O32</f>
        <v>0</v>
      </c>
    </row>
    <row r="33" spans="1:17" ht="15" customHeight="1">
      <c r="A33" s="254" t="s">
        <v>43</v>
      </c>
      <c r="B33" s="254"/>
      <c r="C33" s="254"/>
      <c r="D33" s="144"/>
      <c r="E33" s="151">
        <f>SUM(E29:E32)</f>
        <v>0</v>
      </c>
      <c r="G33" s="138"/>
      <c r="H33" s="138"/>
      <c r="I33" s="151">
        <f>SUM(I29:I32)</f>
        <v>0</v>
      </c>
      <c r="J33" s="138"/>
      <c r="K33" s="151">
        <f>SUM(K29:K32)</f>
        <v>0</v>
      </c>
      <c r="L33" s="138"/>
      <c r="M33" s="151">
        <f>SUM(M29:M32)</f>
        <v>0</v>
      </c>
      <c r="N33" s="138"/>
      <c r="O33" s="151">
        <f>SUM(O29:O32)</f>
        <v>0</v>
      </c>
      <c r="P33" s="138"/>
      <c r="Q33" s="151">
        <f>SUM(Q29:Q32)</f>
        <v>0</v>
      </c>
    </row>
    <row r="34" spans="1:17" ht="15" customHeight="1">
      <c r="A34" s="17"/>
      <c r="B34" s="17"/>
      <c r="C34" s="17"/>
      <c r="D34" s="18"/>
      <c r="E34" s="20"/>
      <c r="H34" s="138"/>
      <c r="I34" s="138"/>
      <c r="J34" s="138"/>
      <c r="K34" s="138"/>
      <c r="L34" s="138"/>
      <c r="M34" s="138"/>
      <c r="N34" s="138"/>
      <c r="O34" s="138"/>
      <c r="P34" s="138"/>
      <c r="Q34" s="138"/>
    </row>
    <row r="35" spans="1:17" ht="26.25" customHeight="1">
      <c r="A35" s="274" t="s">
        <v>60</v>
      </c>
      <c r="B35" s="275"/>
      <c r="C35" s="275"/>
      <c r="D35" s="276"/>
      <c r="E35" s="77">
        <f>E33+E26+E18+E10</f>
        <v>0</v>
      </c>
      <c r="G35" s="24"/>
      <c r="H35" s="138"/>
      <c r="I35" s="77">
        <f>I33+I26+I18+I10</f>
        <v>0</v>
      </c>
      <c r="J35" s="138"/>
      <c r="K35" s="77">
        <f>K33+K26+K18+K10</f>
        <v>0</v>
      </c>
      <c r="L35" s="138"/>
      <c r="M35" s="77">
        <f>M33+M26+M18+M10</f>
        <v>0</v>
      </c>
      <c r="N35" s="138"/>
      <c r="O35" s="77">
        <f>O33+O26+O18+O10</f>
        <v>0</v>
      </c>
      <c r="P35" s="138"/>
      <c r="Q35" s="77">
        <f>Q33+Q26+Q18+Q10</f>
        <v>0</v>
      </c>
    </row>
    <row r="36" spans="1:17" ht="15" customHeight="1">
      <c r="D36" s="15"/>
      <c r="E36" s="16"/>
    </row>
    <row r="37" spans="1:17" ht="26.25" customHeight="1">
      <c r="A37" s="60" t="s">
        <v>46</v>
      </c>
      <c r="B37" s="61"/>
      <c r="C37" s="59" t="s">
        <v>59</v>
      </c>
      <c r="D37" s="59" t="s">
        <v>192</v>
      </c>
      <c r="E37" s="59" t="s">
        <v>193</v>
      </c>
      <c r="H37" s="59" t="s">
        <v>194</v>
      </c>
      <c r="I37" s="91">
        <f>AVERAGE(H10:H32)</f>
        <v>0</v>
      </c>
      <c r="J37" s="59"/>
      <c r="K37" s="91">
        <f>AVERAGE(J10:J33)</f>
        <v>0</v>
      </c>
      <c r="L37" s="59"/>
      <c r="M37" s="91">
        <f>AVERAGE(L10:L35)</f>
        <v>0</v>
      </c>
      <c r="N37" s="59"/>
      <c r="O37" s="91">
        <f>AVERAGE(N10:N35)</f>
        <v>0</v>
      </c>
      <c r="P37" s="59"/>
      <c r="Q37" s="91">
        <f>AVERAGE(P10:P35)</f>
        <v>0</v>
      </c>
    </row>
    <row r="38" spans="1:17" ht="15" customHeight="1">
      <c r="A38" s="138" t="s">
        <v>48</v>
      </c>
      <c r="B38" s="138" t="s">
        <v>54</v>
      </c>
      <c r="C38" s="21">
        <v>0</v>
      </c>
      <c r="D38" s="22">
        <f>+E35</f>
        <v>0</v>
      </c>
      <c r="E38" s="23">
        <f>D38*121%</f>
        <v>0</v>
      </c>
      <c r="F38" s="24"/>
      <c r="H38" s="138"/>
      <c r="I38" s="8">
        <f>(D38*$I$37)+D38</f>
        <v>0</v>
      </c>
      <c r="J38" s="138"/>
      <c r="K38" s="8">
        <f>(I38*$K$37)+I38</f>
        <v>0</v>
      </c>
      <c r="L38" s="138"/>
      <c r="M38" s="8">
        <f>(K38*$M$37)+K38</f>
        <v>0</v>
      </c>
      <c r="N38" s="138"/>
      <c r="O38" s="8">
        <f>(M38*$O$37)+M38</f>
        <v>0</v>
      </c>
      <c r="P38" s="138"/>
      <c r="Q38" s="8">
        <f>(O38*$Q$37)+O38</f>
        <v>0</v>
      </c>
    </row>
    <row r="39" spans="1:17" ht="15" customHeight="1">
      <c r="A39" s="138" t="s">
        <v>53</v>
      </c>
      <c r="B39" s="138" t="s">
        <v>55</v>
      </c>
      <c r="C39" s="21">
        <v>0.3</v>
      </c>
      <c r="D39" s="22">
        <f>SUM($E$10,$E$18,$E$26,$E$33)+(C39*($E$18+$E$10))</f>
        <v>0</v>
      </c>
      <c r="E39" s="23">
        <f>D39*121%</f>
        <v>0</v>
      </c>
      <c r="F39" s="24"/>
      <c r="H39" s="8"/>
      <c r="I39" s="8">
        <f>(D39*$I$37)+D39</f>
        <v>0</v>
      </c>
      <c r="J39" s="138"/>
      <c r="K39" s="8">
        <f>(I39*$K$37)+I39</f>
        <v>0</v>
      </c>
      <c r="L39" s="138"/>
      <c r="M39" s="8">
        <f>(K39*$M$37)+K39</f>
        <v>0</v>
      </c>
      <c r="N39" s="138"/>
      <c r="O39" s="8">
        <f>(M39*$O$37)+M39</f>
        <v>0</v>
      </c>
      <c r="P39" s="138"/>
      <c r="Q39" s="8">
        <f>(O39*$Q$37)+O39</f>
        <v>0</v>
      </c>
    </row>
    <row r="40" spans="1:17" ht="15" customHeight="1">
      <c r="A40" s="138" t="s">
        <v>9</v>
      </c>
      <c r="B40" s="138" t="s">
        <v>56</v>
      </c>
      <c r="C40" s="21">
        <v>0.5</v>
      </c>
      <c r="D40" s="22">
        <f>SUM($E$10,$E$18,$E$26,$E$33)+(C40*($E$18+$E$10))</f>
        <v>0</v>
      </c>
      <c r="E40" s="23">
        <f>D40*121%</f>
        <v>0</v>
      </c>
      <c r="F40" s="24"/>
      <c r="H40" s="138"/>
      <c r="I40" s="8">
        <f>(D40*$I$37)+D40</f>
        <v>0</v>
      </c>
      <c r="J40" s="138"/>
      <c r="K40" s="8">
        <f>(I40*$K$37)+I40</f>
        <v>0</v>
      </c>
      <c r="L40" s="138"/>
      <c r="M40" s="8">
        <f>(K40*$M$37)+K40</f>
        <v>0</v>
      </c>
      <c r="N40" s="138"/>
      <c r="O40" s="8">
        <f>(M40*$O$37)+M40</f>
        <v>0</v>
      </c>
      <c r="P40" s="138"/>
      <c r="Q40" s="8">
        <f>(O40*$Q$37)+O40</f>
        <v>0</v>
      </c>
    </row>
    <row r="41" spans="1:17" ht="15" customHeight="1">
      <c r="A41" s="138" t="s">
        <v>57</v>
      </c>
      <c r="B41" s="139" t="s">
        <v>58</v>
      </c>
      <c r="C41" s="21">
        <v>1.5</v>
      </c>
      <c r="D41" s="22">
        <f>SUM($E$10,$E$18,$E$26,$E$33)+(C41*($E$18+$E$10))</f>
        <v>0</v>
      </c>
      <c r="E41" s="23">
        <f>D41*121%</f>
        <v>0</v>
      </c>
      <c r="F41" s="24"/>
      <c r="H41" s="138"/>
      <c r="I41" s="8">
        <f>(D41*$I$37)+D41</f>
        <v>0</v>
      </c>
      <c r="J41" s="138"/>
      <c r="K41" s="8">
        <f>(I41*$K$37)+I41</f>
        <v>0</v>
      </c>
      <c r="L41" s="138"/>
      <c r="M41" s="8">
        <f>(K41*$M$37)+K41</f>
        <v>0</v>
      </c>
      <c r="N41" s="138"/>
      <c r="O41" s="8">
        <f>(M41*$O$37)+M41</f>
        <v>0</v>
      </c>
      <c r="P41" s="138"/>
      <c r="Q41" s="8">
        <f>(O41*$Q$37)+O41</f>
        <v>0</v>
      </c>
    </row>
    <row r="42" spans="1:17" ht="15" customHeight="1">
      <c r="E42" s="3"/>
    </row>
    <row r="43" spans="1:17" ht="15" customHeight="1">
      <c r="E43" s="3"/>
    </row>
    <row r="44" spans="1:17" ht="15" customHeight="1">
      <c r="E44" s="3"/>
    </row>
    <row r="45" spans="1:17" ht="15" customHeight="1">
      <c r="E45" s="3"/>
    </row>
    <row r="46" spans="1:17" ht="15" customHeight="1">
      <c r="E46" s="3"/>
    </row>
    <row r="47" spans="1:17" ht="15" customHeight="1">
      <c r="E47" s="3"/>
    </row>
    <row r="48" spans="1:17" ht="15" customHeight="1">
      <c r="E48" s="3"/>
    </row>
    <row r="49" spans="5:5" ht="15" customHeight="1">
      <c r="E49" s="3"/>
    </row>
    <row r="50" spans="5:5" ht="15" customHeight="1">
      <c r="E50" s="3"/>
    </row>
    <row r="51" spans="5:5" ht="15" customHeight="1">
      <c r="E51" s="3"/>
    </row>
    <row r="52" spans="5:5" ht="15" customHeight="1">
      <c r="E52" s="3"/>
    </row>
    <row r="53" spans="5:5" ht="15" customHeight="1">
      <c r="E53" s="3"/>
    </row>
    <row r="54" spans="5:5" ht="15" customHeight="1">
      <c r="E54" s="3"/>
    </row>
    <row r="55" spans="5:5" ht="15" customHeight="1">
      <c r="E55" s="3"/>
    </row>
    <row r="56" spans="5:5" ht="15" customHeight="1">
      <c r="E56" s="3"/>
    </row>
  </sheetData>
  <mergeCells count="36">
    <mergeCell ref="A35:D35"/>
    <mergeCell ref="A14:C14"/>
    <mergeCell ref="A24:C24"/>
    <mergeCell ref="A31:C31"/>
    <mergeCell ref="A25:C25"/>
    <mergeCell ref="A28:C28"/>
    <mergeCell ref="A33:C33"/>
    <mergeCell ref="A26:C26"/>
    <mergeCell ref="A29:C29"/>
    <mergeCell ref="A30:C30"/>
    <mergeCell ref="A15:C15"/>
    <mergeCell ref="A16:C16"/>
    <mergeCell ref="A17:C17"/>
    <mergeCell ref="A32:C32"/>
    <mergeCell ref="A21:C21"/>
    <mergeCell ref="A23:C23"/>
    <mergeCell ref="A20:C20"/>
    <mergeCell ref="A7:B7"/>
    <mergeCell ref="A22:C22"/>
    <mergeCell ref="A10:C10"/>
    <mergeCell ref="G2:Q2"/>
    <mergeCell ref="H3:I3"/>
    <mergeCell ref="J3:K3"/>
    <mergeCell ref="L3:M3"/>
    <mergeCell ref="N3:O3"/>
    <mergeCell ref="P3:Q3"/>
    <mergeCell ref="A1:E1"/>
    <mergeCell ref="A18:C18"/>
    <mergeCell ref="A2:E2"/>
    <mergeCell ref="A4:B4"/>
    <mergeCell ref="A12:C12"/>
    <mergeCell ref="A13:C13"/>
    <mergeCell ref="A5:B5"/>
    <mergeCell ref="A9:C9"/>
    <mergeCell ref="A8:B8"/>
    <mergeCell ref="A6:B6"/>
  </mergeCells>
  <phoneticPr fontId="7" type="noConversion"/>
  <conditionalFormatting sqref="E9">
    <cfRule type="containsText" dxfId="0" priority="1" operator="containsText" text="geen">
      <formula>NOT(ISERROR(SEARCH("geen",E9)))</formula>
    </cfRule>
  </conditionalFormatting>
  <pageMargins left="0.27559055118110237" right="0.31496062992125984" top="1.5748031496062993" bottom="0.55118110236220474" header="0.51181102362204722" footer="0.51181102362204722"/>
  <pageSetup paperSize="9" scale="59" orientation="portrait" r:id="rId1"/>
  <headerFooter alignWithMargins="0">
    <oddFooter>&amp;L&amp;F&amp;C&amp;D&amp;R&amp;A</oddFooter>
  </headerFooter>
  <colBreaks count="1" manualBreakCount="1">
    <brk id="6" max="4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9">
    <tabColor theme="0" tint="-0.14999847407452621"/>
  </sheetPr>
  <dimension ref="A1:L50"/>
  <sheetViews>
    <sheetView showGridLines="0" view="pageBreakPreview" zoomScaleNormal="100" zoomScaleSheetLayoutView="100" workbookViewId="0">
      <selection activeCell="B14" sqref="B14"/>
    </sheetView>
  </sheetViews>
  <sheetFormatPr defaultColWidth="12" defaultRowHeight="15" customHeight="1"/>
  <cols>
    <col min="1" max="1" width="12" style="5"/>
    <col min="2" max="2" width="42.28515625" style="5" bestFit="1" customWidth="1"/>
    <col min="3" max="3" width="12" style="5"/>
    <col min="4" max="4" width="42.28515625" style="5" bestFit="1" customWidth="1"/>
    <col min="5" max="6" width="17.7109375" style="5" bestFit="1" customWidth="1"/>
    <col min="7" max="7" width="20.140625" style="5" customWidth="1"/>
    <col min="8" max="8" width="18.85546875" style="5" customWidth="1"/>
    <col min="9" max="9" width="17.7109375" style="5" bestFit="1" customWidth="1"/>
    <col min="10" max="16384" width="12" style="5"/>
  </cols>
  <sheetData>
    <row r="1" spans="1:12" ht="26.25" customHeight="1">
      <c r="A1" s="283" t="s">
        <v>199</v>
      </c>
      <c r="B1" s="283"/>
      <c r="C1" s="283"/>
      <c r="D1" s="283"/>
      <c r="E1" s="283"/>
      <c r="F1" s="283"/>
      <c r="G1" s="283"/>
      <c r="H1" s="283"/>
      <c r="I1" s="283"/>
    </row>
    <row r="2" spans="1:12" ht="15" customHeight="1">
      <c r="A2" s="284" t="s">
        <v>173</v>
      </c>
      <c r="B2" s="285"/>
      <c r="C2" s="285"/>
      <c r="D2" s="285"/>
      <c r="E2" s="285"/>
      <c r="F2" s="285"/>
      <c r="G2" s="285"/>
      <c r="H2" s="285"/>
      <c r="I2" s="286"/>
    </row>
    <row r="3" spans="1:12" s="3" customFormat="1" ht="15" customHeight="1">
      <c r="B3" s="17"/>
      <c r="D3" s="141"/>
      <c r="E3" s="142"/>
      <c r="F3" s="78"/>
    </row>
    <row r="4" spans="1:12" s="3" customFormat="1" ht="15" customHeight="1">
      <c r="A4" s="3" t="s">
        <v>91</v>
      </c>
      <c r="B4" s="28"/>
      <c r="C4" s="28"/>
      <c r="D4" s="28"/>
      <c r="E4" s="28"/>
      <c r="F4" s="79"/>
      <c r="G4" s="29"/>
    </row>
    <row r="5" spans="1:12" s="3" customFormat="1" ht="15" customHeight="1">
      <c r="A5" s="3" t="s">
        <v>142</v>
      </c>
      <c r="B5" s="28"/>
      <c r="C5" s="28"/>
      <c r="D5" s="28"/>
      <c r="E5" s="28"/>
      <c r="F5" s="79"/>
      <c r="G5" s="29"/>
    </row>
    <row r="6" spans="1:12" s="3" customFormat="1" ht="15" customHeight="1">
      <c r="A6" s="3" t="s">
        <v>138</v>
      </c>
      <c r="B6" s="31"/>
      <c r="C6" s="32"/>
      <c r="D6" s="32"/>
      <c r="E6" s="32"/>
      <c r="F6" s="80"/>
    </row>
    <row r="7" spans="1:12" s="3" customFormat="1" ht="15" customHeight="1">
      <c r="B7" s="31"/>
      <c r="C7" s="31"/>
      <c r="D7" s="27"/>
      <c r="E7" s="287" t="s">
        <v>157</v>
      </c>
      <c r="F7" s="287"/>
      <c r="G7" s="287"/>
      <c r="H7" s="287"/>
      <c r="I7" s="287"/>
      <c r="L7" s="105"/>
    </row>
    <row r="8" spans="1:12" s="4" customFormat="1" ht="26.25" customHeight="1">
      <c r="A8" s="46" t="s">
        <v>120</v>
      </c>
      <c r="B8" s="195" t="s">
        <v>78</v>
      </c>
      <c r="C8" s="196" t="s">
        <v>74</v>
      </c>
      <c r="D8" s="46" t="s">
        <v>200</v>
      </c>
      <c r="E8" s="46" t="s">
        <v>174</v>
      </c>
      <c r="F8" s="46" t="s">
        <v>175</v>
      </c>
      <c r="G8" s="46" t="s">
        <v>176</v>
      </c>
      <c r="H8" s="46" t="s">
        <v>178</v>
      </c>
      <c r="I8" s="46" t="s">
        <v>202</v>
      </c>
      <c r="L8" s="107"/>
    </row>
    <row r="9" spans="1:12" s="3" customFormat="1" ht="15" customHeight="1">
      <c r="A9" s="115">
        <v>1</v>
      </c>
      <c r="B9" s="137" t="s">
        <v>256</v>
      </c>
      <c r="C9" s="41">
        <v>0</v>
      </c>
      <c r="D9" s="122" t="s">
        <v>95</v>
      </c>
      <c r="E9" s="124">
        <f>Tabel7[[#This Row],[Prijs]]*Tariefsopbouw!$I$37+Tabel7[[#This Row],[Prijs]]</f>
        <v>0</v>
      </c>
      <c r="F9" s="182">
        <f>Tabel7[[#This Row],[2024]]*Tariefsopbouw!$K$37+Tabel7[[#This Row],[2024]]</f>
        <v>0</v>
      </c>
      <c r="G9" s="182">
        <f>Tabel7[[#This Row],[2025]]*Tariefsopbouw!$M$37+Tabel7[[#This Row],[2025]]</f>
        <v>0</v>
      </c>
      <c r="H9" s="182">
        <f>Tabel7[[#This Row],[2026]]*Tariefsopbouw!$O$37+Tabel7[[#This Row],[2026]]</f>
        <v>0</v>
      </c>
      <c r="I9" s="182">
        <f>Tabel7[[#This Row],[2027]]*Tariefsopbouw!$Q$37+Tabel7[[#This Row],[2027]]</f>
        <v>0</v>
      </c>
      <c r="L9" s="105"/>
    </row>
    <row r="10" spans="1:12" s="3" customFormat="1" ht="15" customHeight="1">
      <c r="A10" s="115">
        <v>2</v>
      </c>
      <c r="B10" s="137" t="s">
        <v>257</v>
      </c>
      <c r="C10" s="41">
        <v>0</v>
      </c>
      <c r="D10" s="122" t="s">
        <v>95</v>
      </c>
      <c r="E10" s="124">
        <f>Tabel7[[#This Row],[Prijs]]*Tariefsopbouw!$I$37+Tabel7[[#This Row],[Prijs]]</f>
        <v>0</v>
      </c>
      <c r="F10" s="182">
        <f>Tabel7[[#This Row],[2024]]*Tariefsopbouw!$K$37+Tabel7[[#This Row],[2024]]</f>
        <v>0</v>
      </c>
      <c r="G10" s="182">
        <f>Tabel7[[#This Row],[2025]]*Tariefsopbouw!$M$37+Tabel7[[#This Row],[2025]]</f>
        <v>0</v>
      </c>
      <c r="H10" s="182">
        <f>Tabel7[[#This Row],[2026]]*Tariefsopbouw!$O$37+Tabel7[[#This Row],[2026]]</f>
        <v>0</v>
      </c>
      <c r="I10" s="182">
        <f>Tabel7[[#This Row],[2027]]*Tariefsopbouw!$Q$37+Tabel7[[#This Row],[2027]]</f>
        <v>0</v>
      </c>
      <c r="L10" s="106"/>
    </row>
    <row r="11" spans="1:12" s="3" customFormat="1" ht="15" customHeight="1">
      <c r="A11" s="115">
        <v>3</v>
      </c>
      <c r="B11" s="137" t="s">
        <v>258</v>
      </c>
      <c r="C11" s="41">
        <v>0</v>
      </c>
      <c r="D11" s="122" t="s">
        <v>95</v>
      </c>
      <c r="E11" s="124">
        <f>Tabel7[[#This Row],[Prijs]]*Tariefsopbouw!$I$37+Tabel7[[#This Row],[Prijs]]</f>
        <v>0</v>
      </c>
      <c r="F11" s="182">
        <f>Tabel7[[#This Row],[2024]]*Tariefsopbouw!$K$37+Tabel7[[#This Row],[2024]]</f>
        <v>0</v>
      </c>
      <c r="G11" s="182">
        <f>Tabel7[[#This Row],[2025]]*Tariefsopbouw!$M$37+Tabel7[[#This Row],[2025]]</f>
        <v>0</v>
      </c>
      <c r="H11" s="182">
        <f>Tabel7[[#This Row],[2026]]*Tariefsopbouw!$O$37+Tabel7[[#This Row],[2026]]</f>
        <v>0</v>
      </c>
      <c r="I11" s="182">
        <f>Tabel7[[#This Row],[2027]]*Tariefsopbouw!$Q$37+Tabel7[[#This Row],[2027]]</f>
        <v>0</v>
      </c>
      <c r="L11" s="105"/>
    </row>
    <row r="12" spans="1:12" s="3" customFormat="1" ht="15" customHeight="1">
      <c r="A12" s="115">
        <v>4</v>
      </c>
      <c r="B12" s="137" t="s">
        <v>259</v>
      </c>
      <c r="C12" s="41">
        <v>0</v>
      </c>
      <c r="D12" s="122" t="s">
        <v>95</v>
      </c>
      <c r="E12" s="124">
        <f>Tabel7[[#This Row],[Prijs]]*Tariefsopbouw!$I$37+Tabel7[[#This Row],[Prijs]]</f>
        <v>0</v>
      </c>
      <c r="F12" s="182">
        <f>Tabel7[[#This Row],[2024]]*Tariefsopbouw!$K$37+Tabel7[[#This Row],[2024]]</f>
        <v>0</v>
      </c>
      <c r="G12" s="182">
        <f>Tabel7[[#This Row],[2025]]*Tariefsopbouw!$M$37+Tabel7[[#This Row],[2025]]</f>
        <v>0</v>
      </c>
      <c r="H12" s="182">
        <f>Tabel7[[#This Row],[2026]]*Tariefsopbouw!$O$37+Tabel7[[#This Row],[2026]]</f>
        <v>0</v>
      </c>
      <c r="I12" s="182">
        <f>Tabel7[[#This Row],[2027]]*Tariefsopbouw!$Q$37+Tabel7[[#This Row],[2027]]</f>
        <v>0</v>
      </c>
      <c r="L12" s="106"/>
    </row>
    <row r="13" spans="1:12" s="3" customFormat="1" ht="15" customHeight="1">
      <c r="A13" s="115">
        <v>5</v>
      </c>
      <c r="B13" s="137" t="s">
        <v>260</v>
      </c>
      <c r="C13" s="41">
        <v>0</v>
      </c>
      <c r="D13" s="122" t="s">
        <v>95</v>
      </c>
      <c r="E13" s="124">
        <f>Tabel7[[#This Row],[Prijs]]*Tariefsopbouw!$I$37+Tabel7[[#This Row],[Prijs]]</f>
        <v>0</v>
      </c>
      <c r="F13" s="182">
        <f>Tabel7[[#This Row],[2024]]*Tariefsopbouw!$K$37+Tabel7[[#This Row],[2024]]</f>
        <v>0</v>
      </c>
      <c r="G13" s="182">
        <f>Tabel7[[#This Row],[2025]]*Tariefsopbouw!$M$37+Tabel7[[#This Row],[2025]]</f>
        <v>0</v>
      </c>
      <c r="H13" s="182">
        <f>Tabel7[[#This Row],[2026]]*Tariefsopbouw!$O$37+Tabel7[[#This Row],[2026]]</f>
        <v>0</v>
      </c>
      <c r="I13" s="182">
        <f>Tabel7[[#This Row],[2027]]*Tariefsopbouw!$Q$37+Tabel7[[#This Row],[2027]]</f>
        <v>0</v>
      </c>
      <c r="L13" s="105"/>
    </row>
    <row r="14" spans="1:12" s="3" customFormat="1" ht="15" customHeight="1">
      <c r="A14" s="115">
        <v>6</v>
      </c>
      <c r="B14" s="137" t="s">
        <v>261</v>
      </c>
      <c r="C14" s="41">
        <v>0</v>
      </c>
      <c r="D14" s="122" t="s">
        <v>95</v>
      </c>
      <c r="E14" s="124">
        <f>Tabel7[[#This Row],[Prijs]]*Tariefsopbouw!$I$37+Tabel7[[#This Row],[Prijs]]</f>
        <v>0</v>
      </c>
      <c r="F14" s="182">
        <f>Tabel7[[#This Row],[2024]]*Tariefsopbouw!$K$37+Tabel7[[#This Row],[2024]]</f>
        <v>0</v>
      </c>
      <c r="G14" s="182">
        <f>Tabel7[[#This Row],[2025]]*Tariefsopbouw!$M$37+Tabel7[[#This Row],[2025]]</f>
        <v>0</v>
      </c>
      <c r="H14" s="182">
        <f>Tabel7[[#This Row],[2026]]*Tariefsopbouw!$O$37+Tabel7[[#This Row],[2026]]</f>
        <v>0</v>
      </c>
      <c r="I14" s="182">
        <f>Tabel7[[#This Row],[2027]]*Tariefsopbouw!$Q$37+Tabel7[[#This Row],[2027]]</f>
        <v>0</v>
      </c>
      <c r="L14" s="106"/>
    </row>
    <row r="15" spans="1:12" s="3" customFormat="1" ht="15" customHeight="1">
      <c r="A15" s="115">
        <v>7</v>
      </c>
      <c r="B15" s="137" t="s">
        <v>262</v>
      </c>
      <c r="C15" s="41">
        <v>0</v>
      </c>
      <c r="D15" s="122" t="s">
        <v>95</v>
      </c>
      <c r="E15" s="124">
        <f>Tabel7[[#This Row],[Prijs]]*Tariefsopbouw!$I$37+Tabel7[[#This Row],[Prijs]]</f>
        <v>0</v>
      </c>
      <c r="F15" s="182">
        <f>Tabel7[[#This Row],[2024]]*Tariefsopbouw!$K$37+Tabel7[[#This Row],[2024]]</f>
        <v>0</v>
      </c>
      <c r="G15" s="182">
        <f>Tabel7[[#This Row],[2025]]*Tariefsopbouw!$M$37+Tabel7[[#This Row],[2025]]</f>
        <v>0</v>
      </c>
      <c r="H15" s="182">
        <f>Tabel7[[#This Row],[2026]]*Tariefsopbouw!$O$37+Tabel7[[#This Row],[2026]]</f>
        <v>0</v>
      </c>
      <c r="I15" s="182">
        <f>Tabel7[[#This Row],[2027]]*Tariefsopbouw!$Q$37+Tabel7[[#This Row],[2027]]</f>
        <v>0</v>
      </c>
      <c r="L15" s="105"/>
    </row>
    <row r="16" spans="1:12" s="3" customFormat="1" ht="15" customHeight="1">
      <c r="A16" s="115">
        <v>8</v>
      </c>
      <c r="B16" s="137" t="s">
        <v>263</v>
      </c>
      <c r="C16" s="41">
        <v>0</v>
      </c>
      <c r="D16" s="122" t="s">
        <v>95</v>
      </c>
      <c r="E16" s="124">
        <f>Tabel7[[#This Row],[Prijs]]*Tariefsopbouw!$I$37+Tabel7[[#This Row],[Prijs]]</f>
        <v>0</v>
      </c>
      <c r="F16" s="182">
        <f>Tabel7[[#This Row],[2024]]*Tariefsopbouw!$K$37+Tabel7[[#This Row],[2024]]</f>
        <v>0</v>
      </c>
      <c r="G16" s="182">
        <f>Tabel7[[#This Row],[2025]]*Tariefsopbouw!$M$37+Tabel7[[#This Row],[2025]]</f>
        <v>0</v>
      </c>
      <c r="H16" s="182">
        <f>Tabel7[[#This Row],[2026]]*Tariefsopbouw!$O$37+Tabel7[[#This Row],[2026]]</f>
        <v>0</v>
      </c>
      <c r="I16" s="182">
        <f>Tabel7[[#This Row],[2027]]*Tariefsopbouw!$Q$37+Tabel7[[#This Row],[2027]]</f>
        <v>0</v>
      </c>
      <c r="L16" s="106"/>
    </row>
    <row r="17" spans="1:12" s="3" customFormat="1" ht="15" customHeight="1">
      <c r="A17" s="115">
        <v>9</v>
      </c>
      <c r="B17" s="137" t="s">
        <v>264</v>
      </c>
      <c r="C17" s="41">
        <v>0</v>
      </c>
      <c r="D17" s="122" t="s">
        <v>95</v>
      </c>
      <c r="E17" s="124">
        <f>Tabel7[[#This Row],[Prijs]]*Tariefsopbouw!$I$37+Tabel7[[#This Row],[Prijs]]</f>
        <v>0</v>
      </c>
      <c r="F17" s="182">
        <f>Tabel7[[#This Row],[2024]]*Tariefsopbouw!$K$37+Tabel7[[#This Row],[2024]]</f>
        <v>0</v>
      </c>
      <c r="G17" s="182">
        <f>Tabel7[[#This Row],[2025]]*Tariefsopbouw!$M$37+Tabel7[[#This Row],[2025]]</f>
        <v>0</v>
      </c>
      <c r="H17" s="182">
        <f>Tabel7[[#This Row],[2026]]*Tariefsopbouw!$O$37+Tabel7[[#This Row],[2026]]</f>
        <v>0</v>
      </c>
      <c r="I17" s="182">
        <f>Tabel7[[#This Row],[2027]]*Tariefsopbouw!$Q$37+Tabel7[[#This Row],[2027]]</f>
        <v>0</v>
      </c>
      <c r="L17" s="106"/>
    </row>
    <row r="19" spans="1:12" ht="22.5">
      <c r="A19" s="37" t="s">
        <v>119</v>
      </c>
      <c r="B19" s="38" t="s">
        <v>68</v>
      </c>
      <c r="C19" s="37" t="s">
        <v>120</v>
      </c>
      <c r="D19" s="43" t="s">
        <v>78</v>
      </c>
      <c r="E19" s="43" t="s">
        <v>255</v>
      </c>
      <c r="F19" s="43" t="s">
        <v>86</v>
      </c>
      <c r="G19" s="44" t="s">
        <v>70</v>
      </c>
      <c r="H19" s="134" t="s">
        <v>181</v>
      </c>
    </row>
    <row r="20" spans="1:12" ht="15" customHeight="1">
      <c r="A20" s="125">
        <v>1</v>
      </c>
      <c r="B20" s="116" t="str">
        <f>VLOOKUP(Overzichtextrawerkz.9[[#This Row],[Code Locatie]],Locatie!$A$1:$E$2,2,FALSE)</f>
        <v>Opvanglocatie</v>
      </c>
      <c r="C20" s="115">
        <v>1</v>
      </c>
      <c r="D20" s="116" t="str">
        <f>IF(Overzichtextrawerkz.9[[#This Row],[Code Taak]]&gt;0,VLOOKUP(Overzichtextrawerkz.9[[#This Row],[Code Taak]],$A$8:$B$19,2,FALSE),"")</f>
        <v>Uitvoeren dieptereiniging bg 39,6 m2 6 units</v>
      </c>
      <c r="E20" s="41"/>
      <c r="F20" s="102">
        <v>4</v>
      </c>
      <c r="G20" s="120">
        <f>VLOOKUP(Overzichtextrawerkz.9[[#This Row],[Code Taak]],Invulextrawerkz[],3,3)*E20*F20</f>
        <v>0</v>
      </c>
      <c r="H20" s="120">
        <f>Overzichtextrawerkz.9[[#This Row],[Kosten/jaar excl. BTW]]*1.21</f>
        <v>0</v>
      </c>
    </row>
    <row r="21" spans="1:12" ht="15" customHeight="1">
      <c r="A21" s="125">
        <v>1</v>
      </c>
      <c r="B21" s="116" t="str">
        <f>VLOOKUP(Overzichtextrawerkz.9[[#This Row],[Code Locatie]],Locatie!$A$1:$E$2,2,FALSE)</f>
        <v>Opvanglocatie</v>
      </c>
      <c r="C21" s="115">
        <v>2</v>
      </c>
      <c r="D21" s="116" t="str">
        <f>IF(Overzichtextrawerkz.9[[#This Row],[Code Taak]]&gt;0,VLOOKUP(Overzichtextrawerkz.9[[#This Row],[Code Taak]],$A$8:$B$19,2,FALSE),"")</f>
        <v>Uitvoeren dieptereiniging 1e 52,5 m2 3 units</v>
      </c>
      <c r="E21" s="41"/>
      <c r="F21" s="102">
        <v>4</v>
      </c>
      <c r="G21" s="120">
        <f>VLOOKUP(Overzichtextrawerkz.9[[#This Row],[Code Taak]],Invulextrawerkz[],3,3)*E21*F21</f>
        <v>0</v>
      </c>
      <c r="H21" s="120">
        <f>Overzichtextrawerkz.9[[#This Row],[Kosten/jaar excl. BTW]]*1.21</f>
        <v>0</v>
      </c>
    </row>
    <row r="22" spans="1:12" ht="15" customHeight="1">
      <c r="A22" s="125">
        <v>1</v>
      </c>
      <c r="B22" s="116" t="str">
        <f>VLOOKUP(Overzichtextrawerkz.9[[#This Row],[Code Locatie]],Locatie!$A$1:$E$2,2,FALSE)</f>
        <v>Opvanglocatie</v>
      </c>
      <c r="C22" s="115">
        <v>3</v>
      </c>
      <c r="D22" s="116" t="str">
        <f>IF(Overzichtextrawerkz.9[[#This Row],[Code Taak]]&gt;0,VLOOKUP(Overzichtextrawerkz.9[[#This Row],[Code Taak]],$A$8:$B$19,2,FALSE),"")</f>
        <v>Uitvoeren dieptereiniging 2e 74 m2 3 units</v>
      </c>
      <c r="E22" s="41"/>
      <c r="F22" s="102">
        <v>4</v>
      </c>
      <c r="G22" s="120">
        <f>VLOOKUP(Overzichtextrawerkz.9[[#This Row],[Code Taak]],Invulextrawerkz[],3,3)*E22*F22</f>
        <v>0</v>
      </c>
      <c r="H22" s="120">
        <f>Overzichtextrawerkz.9[[#This Row],[Kosten/jaar excl. BTW]]*1.21</f>
        <v>0</v>
      </c>
    </row>
    <row r="23" spans="1:12" ht="15" customHeight="1">
      <c r="A23" s="125">
        <v>1</v>
      </c>
      <c r="B23" s="116" t="str">
        <f>VLOOKUP(Overzichtextrawerkz.9[[#This Row],[Code Locatie]],Locatie!$A$1:$E$2,2,FALSE)</f>
        <v>Opvanglocatie</v>
      </c>
      <c r="C23" s="115">
        <v>4</v>
      </c>
      <c r="D23" s="116" t="str">
        <f>IF(Overzichtextrawerkz.9[[#This Row],[Code Taak]]&gt;0,VLOOKUP(Overzichtextrawerkz.9[[#This Row],[Code Taak]],$A$8:$B$19,2,FALSE),"")</f>
        <v>Uitvoeren dieptereiniging 3e 74 m2 3 units</v>
      </c>
      <c r="E23" s="41"/>
      <c r="F23" s="102">
        <v>4</v>
      </c>
      <c r="G23" s="120">
        <f>VLOOKUP(Overzichtextrawerkz.9[[#This Row],[Code Taak]],Invulextrawerkz[],3,3)*E23*F23</f>
        <v>0</v>
      </c>
      <c r="H23" s="120">
        <f>Overzichtextrawerkz.9[[#This Row],[Kosten/jaar excl. BTW]]*1.21</f>
        <v>0</v>
      </c>
    </row>
    <row r="24" spans="1:12" ht="15" customHeight="1">
      <c r="A24" s="125">
        <v>1</v>
      </c>
      <c r="B24" s="116" t="str">
        <f>VLOOKUP(Overzichtextrawerkz.9[[#This Row],[Code Locatie]],Locatie!$A$1:$E$2,2,FALSE)</f>
        <v>Opvanglocatie</v>
      </c>
      <c r="C24" s="115">
        <v>5</v>
      </c>
      <c r="D24" s="116" t="str">
        <f>IF(Overzichtextrawerkz.9[[#This Row],[Code Taak]]&gt;0,VLOOKUP(Overzichtextrawerkz.9[[#This Row],[Code Taak]],$A$8:$B$19,2,FALSE),"")</f>
        <v>Uitvoeren dieptereiniging 4e 48 m2 2 units</v>
      </c>
      <c r="E24" s="41"/>
      <c r="F24" s="102">
        <v>4</v>
      </c>
      <c r="G24" s="120">
        <f>VLOOKUP(Overzichtextrawerkz.9[[#This Row],[Code Taak]],Invulextrawerkz[],3,3)*E24*F24</f>
        <v>0</v>
      </c>
      <c r="H24" s="120">
        <f>Overzichtextrawerkz.9[[#This Row],[Kosten/jaar excl. BTW]]*1.21</f>
        <v>0</v>
      </c>
    </row>
    <row r="25" spans="1:12" ht="15" customHeight="1">
      <c r="A25" s="125">
        <v>1</v>
      </c>
      <c r="B25" s="116" t="str">
        <f>VLOOKUP(Overzichtextrawerkz.9[[#This Row],[Code Locatie]],Locatie!$A$1:$E$2,2,FALSE)</f>
        <v>Opvanglocatie</v>
      </c>
      <c r="C25" s="115">
        <v>6</v>
      </c>
      <c r="D25" s="116" t="str">
        <f>IF(Overzichtextrawerkz.9[[#This Row],[Code Taak]]&gt;0,VLOOKUP(Overzichtextrawerkz.9[[#This Row],[Code Taak]],$A$8:$B$19,2,FALSE),"")</f>
        <v>Uitvoeren dieptereiniging 5e 48 m2 2 units</v>
      </c>
      <c r="E25" s="41"/>
      <c r="F25" s="102">
        <v>4</v>
      </c>
      <c r="G25" s="120">
        <f>VLOOKUP(Overzichtextrawerkz.9[[#This Row],[Code Taak]],Invulextrawerkz[],3,3)*E25*F25</f>
        <v>0</v>
      </c>
      <c r="H25" s="120">
        <f>Overzichtextrawerkz.9[[#This Row],[Kosten/jaar excl. BTW]]*1.21</f>
        <v>0</v>
      </c>
    </row>
    <row r="26" spans="1:12" ht="15" customHeight="1">
      <c r="A26" s="125">
        <v>1</v>
      </c>
      <c r="B26" s="116" t="str">
        <f>VLOOKUP(Overzichtextrawerkz.9[[#This Row],[Code Locatie]],Locatie!$A$1:$E$2,2,FALSE)</f>
        <v>Opvanglocatie</v>
      </c>
      <c r="C26" s="115">
        <v>7</v>
      </c>
      <c r="D26" s="116" t="str">
        <f>IF(Overzichtextrawerkz.9[[#This Row],[Code Taak]]&gt;0,VLOOKUP(Overzichtextrawerkz.9[[#This Row],[Code Taak]],$A$8:$B$19,2,FALSE),"")</f>
        <v>Uitvoeren dieptereiniging 6e 48 m2 2 units</v>
      </c>
      <c r="E26" s="41"/>
      <c r="F26" s="102">
        <v>4</v>
      </c>
      <c r="G26" s="120">
        <f>VLOOKUP(Overzichtextrawerkz.9[[#This Row],[Code Taak]],Invulextrawerkz[],3,3)*E26*F26</f>
        <v>0</v>
      </c>
      <c r="H26" s="120">
        <f>Overzichtextrawerkz.9[[#This Row],[Kosten/jaar excl. BTW]]*1.21</f>
        <v>0</v>
      </c>
    </row>
    <row r="27" spans="1:12" ht="15" customHeight="1">
      <c r="A27" s="125">
        <v>1</v>
      </c>
      <c r="B27" s="116" t="str">
        <f>VLOOKUP(Overzichtextrawerkz.9[[#This Row],[Code Locatie]],Locatie!$A$1:$E$2,2,FALSE)</f>
        <v>Opvanglocatie</v>
      </c>
      <c r="C27" s="115">
        <v>8</v>
      </c>
      <c r="D27" s="116" t="str">
        <f>IF(Overzichtextrawerkz.9[[#This Row],[Code Taak]]&gt;0,VLOOKUP(Overzichtextrawerkz.9[[#This Row],[Code Taak]],$A$8:$B$19,2,FALSE),"")</f>
        <v>Uitvoeren dieptereiniging 7e 48 m2 2 units</v>
      </c>
      <c r="E27" s="41"/>
      <c r="F27" s="102">
        <v>4</v>
      </c>
      <c r="G27" s="120">
        <f>VLOOKUP(Overzichtextrawerkz.9[[#This Row],[Code Taak]],Invulextrawerkz[],3,3)*E27*F27</f>
        <v>0</v>
      </c>
      <c r="H27" s="120">
        <f>Overzichtextrawerkz.9[[#This Row],[Kosten/jaar excl. BTW]]*1.21</f>
        <v>0</v>
      </c>
    </row>
    <row r="28" spans="1:12" ht="15" customHeight="1">
      <c r="A28" s="125">
        <v>1</v>
      </c>
      <c r="B28" s="116" t="str">
        <f>VLOOKUP(Overzichtextrawerkz.9[[#This Row],[Code Locatie]],Locatie!$A$1:$E$2,2,FALSE)</f>
        <v>Opvanglocatie</v>
      </c>
      <c r="C28" s="115">
        <v>9</v>
      </c>
      <c r="D28" s="116" t="str">
        <f>IF(Overzichtextrawerkz.9[[#This Row],[Code Taak]]&gt;0,VLOOKUP(Overzichtextrawerkz.9[[#This Row],[Code Taak]],$A$8:$B$19,2,FALSE),"")</f>
        <v>Uitvoeren dieptereiniging douches 1e</v>
      </c>
      <c r="E28" s="41"/>
      <c r="F28" s="102">
        <v>4</v>
      </c>
      <c r="G28" s="120">
        <f>VLOOKUP(Overzichtextrawerkz.9[[#This Row],[Code Taak]],Invulextrawerkz[],3,3)*E28*F28</f>
        <v>0</v>
      </c>
      <c r="H28" s="120">
        <f>Overzichtextrawerkz.9[[#This Row],[Kosten/jaar excl. BTW]]*1.21</f>
        <v>0</v>
      </c>
    </row>
    <row r="29" spans="1:12" ht="15" customHeight="1">
      <c r="A29" s="109"/>
      <c r="B29" s="110" t="s">
        <v>10</v>
      </c>
      <c r="C29" s="109"/>
      <c r="D29" s="111"/>
      <c r="E29" s="112"/>
      <c r="F29" s="109"/>
      <c r="G29" s="113">
        <f>SUBTOTAL(109,Overzichtextrawerkz.9[Kosten/jaar excl. BTW])</f>
        <v>0</v>
      </c>
      <c r="H29" s="113">
        <f>SUBTOTAL(109,Overzichtextrawerkz.9[Kosten/jaar incl. BTW])</f>
        <v>0</v>
      </c>
    </row>
    <row r="35" spans="1:9" ht="15" customHeight="1">
      <c r="A35" s="288" t="s">
        <v>245</v>
      </c>
      <c r="B35" s="289"/>
      <c r="C35" s="289"/>
      <c r="D35" s="289"/>
      <c r="E35" s="289"/>
      <c r="F35" s="289"/>
      <c r="G35" s="289"/>
      <c r="H35" s="289"/>
      <c r="I35" s="289"/>
    </row>
    <row r="36" spans="1:9" ht="15" customHeight="1">
      <c r="A36" s="288"/>
      <c r="B36" s="289"/>
      <c r="C36" s="289"/>
      <c r="D36" s="289"/>
      <c r="E36" s="289"/>
      <c r="F36" s="289"/>
      <c r="G36" s="289"/>
      <c r="H36" s="289"/>
      <c r="I36" s="289"/>
    </row>
    <row r="37" spans="1:9" ht="15" customHeight="1">
      <c r="A37" s="279" t="s">
        <v>161</v>
      </c>
      <c r="B37" s="280"/>
      <c r="C37" s="280"/>
      <c r="D37" s="280"/>
      <c r="E37" s="280"/>
      <c r="F37" s="280"/>
      <c r="G37" s="280"/>
      <c r="H37" s="280"/>
      <c r="I37" s="280"/>
    </row>
    <row r="38" spans="1:9" ht="15" customHeight="1">
      <c r="A38" s="279" t="s">
        <v>162</v>
      </c>
      <c r="B38" s="280"/>
      <c r="C38" s="280"/>
      <c r="D38" s="280"/>
      <c r="E38" s="280"/>
      <c r="F38" s="280"/>
      <c r="G38" s="280"/>
      <c r="H38" s="280"/>
      <c r="I38" s="280"/>
    </row>
    <row r="39" spans="1:9" ht="15" customHeight="1">
      <c r="A39" s="279" t="s">
        <v>163</v>
      </c>
      <c r="B39" s="280"/>
      <c r="C39" s="280"/>
      <c r="D39" s="280"/>
      <c r="E39" s="280"/>
      <c r="F39" s="280"/>
      <c r="G39" s="280"/>
      <c r="H39" s="280"/>
      <c r="I39" s="280"/>
    </row>
    <row r="40" spans="1:9" ht="15" customHeight="1">
      <c r="A40" s="279" t="s">
        <v>164</v>
      </c>
      <c r="B40" s="280"/>
      <c r="C40" s="280"/>
      <c r="D40" s="280"/>
      <c r="E40" s="280"/>
      <c r="F40" s="280"/>
      <c r="G40" s="280"/>
      <c r="H40" s="280"/>
      <c r="I40" s="280"/>
    </row>
    <row r="41" spans="1:9" ht="15" customHeight="1">
      <c r="A41" s="279" t="s">
        <v>117</v>
      </c>
      <c r="B41" s="280"/>
      <c r="C41" s="280"/>
      <c r="D41" s="280"/>
      <c r="E41" s="280"/>
      <c r="F41" s="280"/>
      <c r="G41" s="280"/>
      <c r="H41" s="280"/>
      <c r="I41" s="280"/>
    </row>
    <row r="42" spans="1:9" ht="15" customHeight="1">
      <c r="A42" s="281" t="s">
        <v>165</v>
      </c>
      <c r="B42" s="282"/>
      <c r="C42" s="282"/>
      <c r="D42" s="282"/>
      <c r="E42" s="282"/>
      <c r="F42" s="282"/>
      <c r="G42" s="282"/>
      <c r="H42" s="282"/>
      <c r="I42" s="282"/>
    </row>
    <row r="43" spans="1:9" ht="15" customHeight="1">
      <c r="A43" s="281" t="s">
        <v>166</v>
      </c>
      <c r="B43" s="282"/>
      <c r="C43" s="282"/>
      <c r="D43" s="282"/>
      <c r="E43" s="282"/>
      <c r="F43" s="282"/>
      <c r="G43" s="282"/>
      <c r="H43" s="282"/>
      <c r="I43" s="282"/>
    </row>
    <row r="44" spans="1:9" ht="15" customHeight="1">
      <c r="A44" s="281" t="s">
        <v>167</v>
      </c>
      <c r="B44" s="282"/>
      <c r="C44" s="282"/>
      <c r="D44" s="282"/>
      <c r="E44" s="282"/>
      <c r="F44" s="282"/>
      <c r="G44" s="282"/>
      <c r="H44" s="282"/>
      <c r="I44" s="282"/>
    </row>
    <row r="45" spans="1:9" ht="15" customHeight="1">
      <c r="A45" s="281" t="s">
        <v>168</v>
      </c>
      <c r="B45" s="282"/>
      <c r="C45" s="282"/>
      <c r="D45" s="282"/>
      <c r="E45" s="282"/>
      <c r="F45" s="282"/>
      <c r="G45" s="282"/>
      <c r="H45" s="282"/>
      <c r="I45" s="282"/>
    </row>
    <row r="46" spans="1:9" ht="15" customHeight="1">
      <c r="A46" s="281" t="s">
        <v>169</v>
      </c>
      <c r="B46" s="282"/>
      <c r="C46" s="282"/>
      <c r="D46" s="282"/>
      <c r="E46" s="282"/>
      <c r="F46" s="282"/>
      <c r="G46" s="282"/>
      <c r="H46" s="282"/>
      <c r="I46" s="282"/>
    </row>
    <row r="47" spans="1:9" ht="15" customHeight="1">
      <c r="A47" s="281" t="s">
        <v>170</v>
      </c>
      <c r="B47" s="282"/>
      <c r="C47" s="282"/>
      <c r="D47" s="282"/>
      <c r="E47" s="282"/>
      <c r="F47" s="282"/>
      <c r="G47" s="282"/>
      <c r="H47" s="282"/>
      <c r="I47" s="282"/>
    </row>
    <row r="48" spans="1:9" ht="15" customHeight="1">
      <c r="A48" s="279" t="s">
        <v>171</v>
      </c>
      <c r="B48" s="280"/>
      <c r="C48" s="280"/>
      <c r="D48" s="280"/>
      <c r="E48" s="280"/>
      <c r="F48" s="280"/>
      <c r="G48" s="280"/>
      <c r="H48" s="280"/>
      <c r="I48" s="280"/>
    </row>
    <row r="49" spans="1:9" ht="15" customHeight="1">
      <c r="A49" s="279" t="s">
        <v>180</v>
      </c>
      <c r="B49" s="280"/>
      <c r="C49" s="280"/>
      <c r="D49" s="280"/>
      <c r="E49" s="280"/>
      <c r="F49" s="280"/>
      <c r="G49" s="280"/>
      <c r="H49" s="280"/>
      <c r="I49" s="280"/>
    </row>
    <row r="50" spans="1:9" ht="15" customHeight="1">
      <c r="A50" s="90"/>
    </row>
  </sheetData>
  <dataConsolidate link="1"/>
  <mergeCells count="17">
    <mergeCell ref="A1:I1"/>
    <mergeCell ref="A2:I2"/>
    <mergeCell ref="E7:I7"/>
    <mergeCell ref="A37:I37"/>
    <mergeCell ref="A38:I38"/>
    <mergeCell ref="A35:I36"/>
    <mergeCell ref="A39:I39"/>
    <mergeCell ref="A40:I40"/>
    <mergeCell ref="A41:I41"/>
    <mergeCell ref="A47:I47"/>
    <mergeCell ref="A48:I48"/>
    <mergeCell ref="A49:I49"/>
    <mergeCell ref="A42:I42"/>
    <mergeCell ref="A43:I43"/>
    <mergeCell ref="A44:I44"/>
    <mergeCell ref="A45:I45"/>
    <mergeCell ref="A46:I46"/>
  </mergeCells>
  <phoneticPr fontId="19" type="noConversion"/>
  <pageMargins left="0.2" right="0.21" top="0.57999999999999996" bottom="0.59" header="0.5" footer="0.5"/>
  <pageSetup paperSize="9" scale="50" fitToHeight="0" orientation="portrait" r:id="rId1"/>
  <headerFooter alignWithMargins="0"/>
  <rowBreaks count="1" manualBreakCount="1">
    <brk id="66" max="16383" man="1"/>
  </rowBreaks>
  <tableParts count="2">
    <tablePart r:id="rId2"/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B3260-B9B4-41CD-9387-4D3F820AEB73}">
  <sheetPr codeName="Blad15">
    <tabColor theme="0" tint="-0.14999847407452621"/>
    <pageSetUpPr fitToPage="1"/>
  </sheetPr>
  <dimension ref="A1:M26"/>
  <sheetViews>
    <sheetView showGridLines="0" view="pageBreakPreview" zoomScale="90" zoomScaleNormal="100" zoomScaleSheetLayoutView="90" workbookViewId="0">
      <selection activeCell="G23" sqref="G23"/>
    </sheetView>
  </sheetViews>
  <sheetFormatPr defaultColWidth="9.140625" defaultRowHeight="15" customHeight="1"/>
  <cols>
    <col min="1" max="1" width="9.7109375" style="3" customWidth="1"/>
    <col min="2" max="2" width="56.28515625" style="3" customWidth="1"/>
    <col min="3" max="3" width="14.85546875" style="17" customWidth="1"/>
    <col min="4" max="4" width="62" style="3" customWidth="1"/>
    <col min="5" max="5" width="17.7109375" style="3" bestFit="1" customWidth="1"/>
    <col min="6" max="6" width="17.7109375" style="78" bestFit="1" customWidth="1"/>
    <col min="7" max="7" width="17.7109375" style="3" bestFit="1" customWidth="1"/>
    <col min="8" max="8" width="18" style="3" bestFit="1" customWidth="1"/>
    <col min="9" max="9" width="19" style="3" customWidth="1"/>
    <col min="10" max="10" width="6.42578125" style="3" customWidth="1"/>
    <col min="11" max="11" width="9.140625" style="3"/>
    <col min="12" max="12" width="35.7109375" style="3" customWidth="1"/>
    <col min="13" max="13" width="15.85546875" style="3" customWidth="1"/>
    <col min="14" max="16384" width="9.140625" style="3"/>
  </cols>
  <sheetData>
    <row r="1" spans="1:13" s="5" customFormat="1" ht="26.25" customHeight="1">
      <c r="A1" s="253" t="s">
        <v>88</v>
      </c>
      <c r="B1" s="253"/>
      <c r="C1" s="253"/>
      <c r="D1" s="253"/>
      <c r="E1" s="253"/>
      <c r="F1" s="253"/>
      <c r="G1" s="253"/>
      <c r="H1" s="253"/>
    </row>
    <row r="2" spans="1:13" s="5" customFormat="1" ht="15" customHeight="1">
      <c r="A2" s="290" t="s">
        <v>173</v>
      </c>
      <c r="B2" s="255"/>
      <c r="C2" s="255"/>
      <c r="D2" s="255"/>
      <c r="E2" s="255"/>
      <c r="F2" s="255"/>
      <c r="G2" s="255"/>
      <c r="H2" s="255"/>
    </row>
    <row r="3" spans="1:13" ht="15" customHeight="1">
      <c r="B3" s="17"/>
      <c r="C3" s="3"/>
      <c r="D3" s="141"/>
      <c r="E3" s="142"/>
    </row>
    <row r="4" spans="1:13" ht="15" customHeight="1">
      <c r="A4" s="3" t="s">
        <v>91</v>
      </c>
      <c r="B4" s="28"/>
      <c r="C4" s="28"/>
      <c r="D4" s="28"/>
      <c r="E4" s="28"/>
      <c r="F4" s="79"/>
      <c r="G4" s="29"/>
    </row>
    <row r="5" spans="1:13" ht="15" customHeight="1">
      <c r="A5" s="3" t="s">
        <v>142</v>
      </c>
      <c r="B5" s="28"/>
      <c r="C5" s="28"/>
      <c r="D5" s="28"/>
      <c r="E5" s="28"/>
      <c r="F5" s="79"/>
      <c r="G5" s="29"/>
    </row>
    <row r="6" spans="1:13" ht="15" customHeight="1">
      <c r="A6" s="3" t="s">
        <v>138</v>
      </c>
      <c r="B6" s="31"/>
      <c r="C6" s="32"/>
      <c r="D6" s="32"/>
      <c r="E6" s="32"/>
      <c r="F6" s="80"/>
    </row>
    <row r="7" spans="1:13" ht="15" customHeight="1">
      <c r="B7" s="31"/>
      <c r="C7" s="31"/>
      <c r="D7" s="27"/>
      <c r="E7" s="287" t="s">
        <v>157</v>
      </c>
      <c r="F7" s="287"/>
      <c r="G7" s="287"/>
      <c r="H7" s="287"/>
      <c r="I7" s="287"/>
      <c r="M7" s="105"/>
    </row>
    <row r="8" spans="1:13" s="4" customFormat="1" ht="26.25" customHeight="1">
      <c r="A8" s="37" t="s">
        <v>120</v>
      </c>
      <c r="B8" s="38" t="s">
        <v>78</v>
      </c>
      <c r="C8" s="39" t="s">
        <v>74</v>
      </c>
      <c r="D8" s="37" t="s">
        <v>200</v>
      </c>
      <c r="E8" s="37" t="s">
        <v>174</v>
      </c>
      <c r="F8" s="37" t="s">
        <v>175</v>
      </c>
      <c r="G8" s="37" t="s">
        <v>176</v>
      </c>
      <c r="H8" s="37" t="s">
        <v>178</v>
      </c>
      <c r="I8" s="37" t="s">
        <v>202</v>
      </c>
      <c r="M8" s="107"/>
    </row>
    <row r="9" spans="1:13" ht="15" customHeight="1">
      <c r="A9" s="115">
        <v>1</v>
      </c>
      <c r="B9" s="136" t="s">
        <v>83</v>
      </c>
      <c r="C9" s="41">
        <v>0</v>
      </c>
      <c r="D9" s="116" t="s">
        <v>79</v>
      </c>
      <c r="E9" s="124">
        <f>InvulVloer19[[#This Row],[Prijs]]*Tariefsopbouw!$I$37+InvulVloer19[[#This Row],[Prijs]]</f>
        <v>0</v>
      </c>
      <c r="F9" s="182">
        <f>InvulVloer19[[#This Row],[2024]]*Tariefsopbouw!$K$37+InvulVloer19[[#This Row],[2024]]</f>
        <v>0</v>
      </c>
      <c r="G9" s="182">
        <f>InvulVloer19[[#This Row],[2025]]*Tariefsopbouw!$M$37+InvulVloer19[[#This Row],[2025]]</f>
        <v>0</v>
      </c>
      <c r="H9" s="182">
        <f>InvulVloer19[[#This Row],[2026]]*Tariefsopbouw!$O$37+InvulVloer19[[#This Row],[2026]]</f>
        <v>0</v>
      </c>
      <c r="I9" s="182">
        <f>InvulVloer19[[#This Row],[2027]]*Tariefsopbouw!$Q$37+InvulVloer19[[#This Row],[2027]]</f>
        <v>0</v>
      </c>
      <c r="M9" s="105"/>
    </row>
    <row r="10" spans="1:13" ht="15" customHeight="1">
      <c r="A10" s="115">
        <v>2</v>
      </c>
      <c r="B10" s="136" t="s">
        <v>158</v>
      </c>
      <c r="C10" s="41">
        <v>0</v>
      </c>
      <c r="D10" s="116" t="s">
        <v>79</v>
      </c>
      <c r="E10" s="124">
        <f>InvulVloer19[[#This Row],[Prijs]]*Tariefsopbouw!$I$37+InvulVloer19[[#This Row],[Prijs]]</f>
        <v>0</v>
      </c>
      <c r="F10" s="124">
        <f>InvulVloer19[[#This Row],[2024]]*Tariefsopbouw!$K$37+InvulVloer19[[#This Row],[2024]]</f>
        <v>0</v>
      </c>
      <c r="G10" s="124">
        <f>InvulVloer19[[#This Row],[2025]]*Tariefsopbouw!$M$37+InvulVloer19[[#This Row],[2025]]</f>
        <v>0</v>
      </c>
      <c r="H10" s="124">
        <f>InvulVloer19[[#This Row],[2026]]*Tariefsopbouw!$O$37+InvulVloer19[[#This Row],[2026]]</f>
        <v>0</v>
      </c>
      <c r="I10" s="124">
        <f>InvulVloer19[[#This Row],[2027]]*Tariefsopbouw!$Q$37+InvulVloer19[[#This Row],[2027]]</f>
        <v>0</v>
      </c>
      <c r="M10" s="106"/>
    </row>
    <row r="11" spans="1:13" ht="15" customHeight="1">
      <c r="A11" s="115">
        <v>3</v>
      </c>
      <c r="B11" s="136" t="s">
        <v>84</v>
      </c>
      <c r="C11" s="41">
        <v>0</v>
      </c>
      <c r="D11" s="116" t="s">
        <v>80</v>
      </c>
      <c r="E11" s="124">
        <f>InvulVloer19[[#This Row],[Prijs]]*Tariefsopbouw!$I$37+InvulVloer19[[#This Row],[Prijs]]</f>
        <v>0</v>
      </c>
      <c r="F11" s="124">
        <f>InvulVloer19[[#This Row],[2024]]*Tariefsopbouw!$K$37+InvulVloer19[[#This Row],[2024]]</f>
        <v>0</v>
      </c>
      <c r="G11" s="124">
        <f>InvulVloer19[[#This Row],[2025]]*Tariefsopbouw!$M$37+InvulVloer19[[#This Row],[2025]]</f>
        <v>0</v>
      </c>
      <c r="H11" s="124">
        <f>InvulVloer19[[#This Row],[2026]]*Tariefsopbouw!$O$37+InvulVloer19[[#This Row],[2026]]</f>
        <v>0</v>
      </c>
      <c r="I11" s="124">
        <f>InvulVloer19[[#This Row],[2027]]*Tariefsopbouw!$Q$37+InvulVloer19[[#This Row],[2027]]</f>
        <v>0</v>
      </c>
      <c r="M11" s="108"/>
    </row>
    <row r="12" spans="1:13" ht="15" customHeight="1">
      <c r="A12" s="115">
        <v>4</v>
      </c>
      <c r="B12" s="136" t="s">
        <v>159</v>
      </c>
      <c r="C12" s="41">
        <v>0</v>
      </c>
      <c r="D12" s="116" t="s">
        <v>79</v>
      </c>
      <c r="E12" s="124">
        <f>InvulVloer19[[#This Row],[Prijs]]*Tariefsopbouw!$I$37+InvulVloer19[[#This Row],[Prijs]]</f>
        <v>0</v>
      </c>
      <c r="F12" s="124">
        <f>InvulVloer19[[#This Row],[2024]]*Tariefsopbouw!$K$37+InvulVloer19[[#This Row],[2024]]</f>
        <v>0</v>
      </c>
      <c r="G12" s="124">
        <f>InvulVloer19[[#This Row],[2025]]*Tariefsopbouw!$M$37+InvulVloer19[[#This Row],[2025]]</f>
        <v>0</v>
      </c>
      <c r="H12" s="124">
        <f>InvulVloer19[[#This Row],[2026]]*Tariefsopbouw!$O$37+InvulVloer19[[#This Row],[2026]]</f>
        <v>0</v>
      </c>
      <c r="I12" s="124">
        <f>InvulVloer19[[#This Row],[2027]]*Tariefsopbouw!$Q$37+InvulVloer19[[#This Row],[2027]]</f>
        <v>0</v>
      </c>
    </row>
    <row r="13" spans="1:13" ht="15" customHeight="1">
      <c r="A13" s="115">
        <v>5</v>
      </c>
      <c r="B13" s="136" t="s">
        <v>160</v>
      </c>
      <c r="C13" s="41">
        <v>0</v>
      </c>
      <c r="D13" s="116" t="s">
        <v>79</v>
      </c>
      <c r="E13" s="124">
        <f>InvulVloer19[[#This Row],[Prijs]]*Tariefsopbouw!$I$37+InvulVloer19[[#This Row],[Prijs]]</f>
        <v>0</v>
      </c>
      <c r="F13" s="124">
        <f>InvulVloer19[[#This Row],[2024]]*Tariefsopbouw!$K$37+InvulVloer19[[#This Row],[2024]]</f>
        <v>0</v>
      </c>
      <c r="G13" s="124">
        <f>InvulVloer19[[#This Row],[2025]]*Tariefsopbouw!$M$37+InvulVloer19[[#This Row],[2025]]</f>
        <v>0</v>
      </c>
      <c r="H13" s="124">
        <f>InvulVloer19[[#This Row],[2026]]*Tariefsopbouw!$O$37+InvulVloer19[[#This Row],[2026]]</f>
        <v>0</v>
      </c>
      <c r="I13" s="124">
        <f>InvulVloer19[[#This Row],[2027]]*Tariefsopbouw!$Q$37+InvulVloer19[[#This Row],[2027]]</f>
        <v>0</v>
      </c>
    </row>
    <row r="14" spans="1:13" ht="15" customHeight="1">
      <c r="A14" s="115">
        <v>6</v>
      </c>
      <c r="B14" s="137" t="s">
        <v>240</v>
      </c>
      <c r="C14" s="41">
        <v>0</v>
      </c>
      <c r="D14" s="116" t="s">
        <v>79</v>
      </c>
      <c r="E14" s="124">
        <f>InvulVloer19[[#This Row],[Prijs]]*Tariefsopbouw!$I$37+InvulVloer19[[#This Row],[Prijs]]</f>
        <v>0</v>
      </c>
      <c r="F14" s="124">
        <f>InvulVloer19[[#This Row],[2024]]*Tariefsopbouw!$K$37+InvulVloer19[[#This Row],[2024]]</f>
        <v>0</v>
      </c>
      <c r="G14" s="124">
        <f>InvulVloer19[[#This Row],[2025]]*Tariefsopbouw!$M$37+InvulVloer19[[#This Row],[2025]]</f>
        <v>0</v>
      </c>
      <c r="H14" s="124">
        <f>InvulVloer19[[#This Row],[2026]]*Tariefsopbouw!$O$37+InvulVloer19[[#This Row],[2026]]</f>
        <v>0</v>
      </c>
      <c r="I14" s="124">
        <f>InvulVloer19[[#This Row],[2027]]*Tariefsopbouw!$Q$37+InvulVloer19[[#This Row],[2027]]</f>
        <v>0</v>
      </c>
    </row>
    <row r="15" spans="1:13" ht="15" customHeight="1">
      <c r="A15" s="115">
        <v>7</v>
      </c>
      <c r="B15" s="136" t="s">
        <v>85</v>
      </c>
      <c r="C15" s="41">
        <v>0</v>
      </c>
      <c r="D15" s="116" t="s">
        <v>79</v>
      </c>
      <c r="E15" s="124">
        <f>InvulVloer19[[#This Row],[Prijs]]*Tariefsopbouw!$I$37+InvulVloer19[[#This Row],[Prijs]]</f>
        <v>0</v>
      </c>
      <c r="F15" s="124">
        <f>InvulVloer19[[#This Row],[2024]]*Tariefsopbouw!$K$37+InvulVloer19[[#This Row],[2024]]</f>
        <v>0</v>
      </c>
      <c r="G15" s="124">
        <f>InvulVloer19[[#This Row],[2025]]*Tariefsopbouw!$M$37+InvulVloer19[[#This Row],[2025]]</f>
        <v>0</v>
      </c>
      <c r="H15" s="124">
        <f>InvulVloer19[[#This Row],[2026]]*Tariefsopbouw!$O$37+InvulVloer19[[#This Row],[2026]]</f>
        <v>0</v>
      </c>
      <c r="I15" s="124">
        <f>InvulVloer19[[#This Row],[2027]]*Tariefsopbouw!$Q$37+InvulVloer19[[#This Row],[2027]]</f>
        <v>0</v>
      </c>
    </row>
    <row r="16" spans="1:13" ht="15" customHeight="1">
      <c r="A16" s="115">
        <v>8</v>
      </c>
      <c r="B16" s="116" t="s">
        <v>87</v>
      </c>
      <c r="C16" s="41">
        <v>0</v>
      </c>
      <c r="D16" s="116" t="s">
        <v>79</v>
      </c>
      <c r="E16" s="124">
        <f>InvulVloer19[[#This Row],[Prijs]]*Tariefsopbouw!$I$37+InvulVloer19[[#This Row],[Prijs]]</f>
        <v>0</v>
      </c>
      <c r="F16" s="124">
        <f>InvulVloer19[[#This Row],[2024]]*Tariefsopbouw!$K$37+InvulVloer19[[#This Row],[2024]]</f>
        <v>0</v>
      </c>
      <c r="G16" s="124">
        <f>InvulVloer19[[#This Row],[2025]]*Tariefsopbouw!$M$37+InvulVloer19[[#This Row],[2025]]</f>
        <v>0</v>
      </c>
      <c r="H16" s="124">
        <f>InvulVloer19[[#This Row],[2026]]*Tariefsopbouw!$O$37+InvulVloer19[[#This Row],[2026]]</f>
        <v>0</v>
      </c>
      <c r="I16" s="124">
        <f>InvulVloer19[[#This Row],[2027]]*Tariefsopbouw!$Q$37+InvulVloer19[[#This Row],[2027]]</f>
        <v>0</v>
      </c>
    </row>
    <row r="17" spans="1:13" ht="15" customHeight="1">
      <c r="A17" s="115">
        <v>9</v>
      </c>
      <c r="B17" s="181" t="s">
        <v>110</v>
      </c>
      <c r="C17" s="41">
        <v>0</v>
      </c>
      <c r="D17" s="116" t="s">
        <v>79</v>
      </c>
      <c r="E17" s="124">
        <f>InvulVloer19[[#This Row],[Prijs]]*Tariefsopbouw!$I$37+InvulVloer19[[#This Row],[Prijs]]</f>
        <v>0</v>
      </c>
      <c r="F17" s="124">
        <f>InvulVloer19[[#This Row],[2024]]*Tariefsopbouw!$K$37+InvulVloer19[[#This Row],[2024]]</f>
        <v>0</v>
      </c>
      <c r="G17" s="124">
        <f>InvulVloer19[[#This Row],[2025]]*Tariefsopbouw!$M$37+InvulVloer19[[#This Row],[2025]]</f>
        <v>0</v>
      </c>
      <c r="H17" s="124">
        <f>InvulVloer19[[#This Row],[2026]]*Tariefsopbouw!$O$37+InvulVloer19[[#This Row],[2026]]</f>
        <v>0</v>
      </c>
      <c r="I17" s="124">
        <f>InvulVloer19[[#This Row],[2027]]*Tariefsopbouw!$Q$37+InvulVloer19[[#This Row],[2027]]</f>
        <v>0</v>
      </c>
    </row>
    <row r="18" spans="1:13" ht="15" customHeight="1">
      <c r="B18" s="17"/>
      <c r="E18" s="33"/>
      <c r="F18" s="81"/>
      <c r="G18" s="33"/>
      <c r="H18" s="33"/>
    </row>
    <row r="19" spans="1:13" s="26" customFormat="1" ht="26.25" customHeight="1">
      <c r="A19" s="37" t="s">
        <v>119</v>
      </c>
      <c r="B19" s="38" t="s">
        <v>68</v>
      </c>
      <c r="C19" s="37" t="s">
        <v>120</v>
      </c>
      <c r="D19" s="43" t="s">
        <v>144</v>
      </c>
      <c r="E19" s="43" t="s">
        <v>81</v>
      </c>
      <c r="F19" s="82" t="s">
        <v>82</v>
      </c>
      <c r="G19" s="43" t="s">
        <v>86</v>
      </c>
      <c r="H19" s="44" t="s">
        <v>70</v>
      </c>
      <c r="I19" s="44" t="s">
        <v>183</v>
      </c>
    </row>
    <row r="20" spans="1:13" ht="15" customHeight="1">
      <c r="A20" s="115">
        <v>1</v>
      </c>
      <c r="B20" s="116" t="str">
        <f>VLOOKUP(OverzichtVloer20[[#This Row],[Code Locatie]],Tabel6[[#All],[Code]:[Locatie]],2,0)</f>
        <v>Opvanglocatie</v>
      </c>
      <c r="C20" s="115">
        <v>1</v>
      </c>
      <c r="D20" s="117" t="str">
        <f>IF(Vloeronderhoud!$C20&gt;0,VLOOKUP(Vloeronderhoud!$C20,$A$8:$B$17,2,FALSE),"")</f>
        <v>Sprayen/opblokken</v>
      </c>
      <c r="E20" s="118" t="s">
        <v>64</v>
      </c>
      <c r="F20" s="119">
        <v>279.2</v>
      </c>
      <c r="G20" s="28">
        <v>1</v>
      </c>
      <c r="H20" s="120">
        <f>VLOOKUP(OverzichtVloer20[[#This Row],[Code Taak]],InvulVloer19[],3,3)*F20*G20</f>
        <v>0</v>
      </c>
      <c r="I20" s="133">
        <f>OverzichtVloer20[[#This Row],[Kosten/jaar excl. BTW]]*1.21</f>
        <v>0</v>
      </c>
      <c r="M20" s="105"/>
    </row>
    <row r="21" spans="1:13" ht="15" customHeight="1">
      <c r="A21" s="115">
        <v>1</v>
      </c>
      <c r="B21" s="116" t="str">
        <f>VLOOKUP(OverzichtVloer20[[#This Row],[Code Locatie]],Tabel6[[#All],[Code]:[Locatie]],2,0)</f>
        <v>Opvanglocatie</v>
      </c>
      <c r="C21" s="115">
        <v>2</v>
      </c>
      <c r="D21" s="117" t="str">
        <f>IF(Vloeronderhoud!$C21&gt;0,VLOOKUP(Vloeronderhoud!$C21,$A$8:$B$17,2,FALSE),"")</f>
        <v>Topstrippen en conserveren</v>
      </c>
      <c r="E21" s="118" t="s">
        <v>64</v>
      </c>
      <c r="F21" s="119">
        <v>279.2</v>
      </c>
      <c r="G21" s="28">
        <v>1</v>
      </c>
      <c r="H21" s="120">
        <f>VLOOKUP(OverzichtVloer20[[#This Row],[Code Taak]],InvulVloer19[],3,3)*F21*G21</f>
        <v>0</v>
      </c>
      <c r="I21" s="133">
        <f>OverzichtVloer20[[#This Row],[Kosten/jaar excl. BTW]]*1.21</f>
        <v>0</v>
      </c>
      <c r="M21" s="105"/>
    </row>
    <row r="22" spans="1:13" ht="15" customHeight="1">
      <c r="A22" s="115">
        <v>1</v>
      </c>
      <c r="B22" s="116" t="str">
        <f>VLOOKUP(OverzichtVloer20[[#This Row],[Code Locatie]],Tabel6[[#All],[Code]:[Locatie]],2,0)</f>
        <v>Opvanglocatie</v>
      </c>
      <c r="C22" s="115">
        <v>3</v>
      </c>
      <c r="D22" s="117" t="str">
        <f>IF(Vloeronderhoud!$C22&gt;0,VLOOKUP(Vloeronderhoud!$C22,$A$8:$B$17,2,FALSE),"")</f>
        <v>Diepstrippen, sealen en conserveren</v>
      </c>
      <c r="E22" s="135" t="s">
        <v>64</v>
      </c>
      <c r="F22" s="119">
        <v>279.2</v>
      </c>
      <c r="G22" s="28">
        <v>0.25</v>
      </c>
      <c r="H22" s="120">
        <f>VLOOKUP(OverzichtVloer20[[#This Row],[Code Taak]],InvulVloer19[],3,3)*F22*G22</f>
        <v>0</v>
      </c>
      <c r="I22" s="133">
        <f>OverzichtVloer20[[#This Row],[Kosten/jaar excl. BTW]]*1.21</f>
        <v>0</v>
      </c>
      <c r="M22" s="105"/>
    </row>
    <row r="23" spans="1:13" ht="14.25" customHeight="1">
      <c r="A23" s="115">
        <v>1</v>
      </c>
      <c r="B23" s="116" t="str">
        <f>VLOOKUP(OverzichtVloer20[[#This Row],[Code Locatie]],Tabel6[[#All],[Code]:[Locatie]],2,0)</f>
        <v>Opvanglocatie</v>
      </c>
      <c r="C23" s="115">
        <v>4</v>
      </c>
      <c r="D23" s="117" t="str">
        <f>IF(Vloeronderhoud!$C23&gt;0,VLOOKUP(Vloeronderhoud!$C23,$A$8:$B$17,2,FALSE),"")</f>
        <v>Tapijtreinigen, sproei-extractiemethode</v>
      </c>
      <c r="E23" s="118" t="s">
        <v>63</v>
      </c>
      <c r="F23" s="119">
        <v>3095</v>
      </c>
      <c r="G23" s="28">
        <v>1</v>
      </c>
      <c r="H23" s="120">
        <f>VLOOKUP(OverzichtVloer20[[#This Row],[Code Taak]],InvulVloer19[],3,3)*F23*G23</f>
        <v>0</v>
      </c>
      <c r="I23" s="133">
        <f>OverzichtVloer20[[#This Row],[Kosten/jaar excl. BTW]]*1.21</f>
        <v>0</v>
      </c>
      <c r="M23" s="105"/>
    </row>
    <row r="24" spans="1:13" ht="14.25" customHeight="1">
      <c r="A24" s="115">
        <v>1</v>
      </c>
      <c r="B24" s="116" t="str">
        <f>VLOOKUP(OverzichtVloer20[[#This Row],[Code Locatie]],Tabel6[[#All],[Code]:[Locatie]],2,0)</f>
        <v>Opvanglocatie</v>
      </c>
      <c r="C24" s="126">
        <v>6</v>
      </c>
      <c r="D24" s="165" t="str">
        <f>IF(Vloeronderhoud!$C24&gt;0,VLOOKUP(Vloeronderhoud!$C24,$A$8:$B$17,2,FALSE),"")</f>
        <v>Olieen houten vloer</v>
      </c>
      <c r="E24" s="135" t="s">
        <v>204</v>
      </c>
      <c r="F24" s="166">
        <v>335</v>
      </c>
      <c r="G24" s="28">
        <v>1</v>
      </c>
      <c r="H24" s="127">
        <f>VLOOKUP(OverzichtVloer20[[#This Row],[Code Taak]],InvulVloer19[],3,3)*F24*G24</f>
        <v>0</v>
      </c>
      <c r="I24" s="167">
        <f>OverzichtVloer20[[#This Row],[Kosten/jaar excl. BTW]]*1.21</f>
        <v>0</v>
      </c>
      <c r="M24" s="105"/>
    </row>
    <row r="25" spans="1:13" ht="15" customHeight="1">
      <c r="A25" s="109"/>
      <c r="B25" s="110" t="s">
        <v>10</v>
      </c>
      <c r="C25" s="109"/>
      <c r="D25" s="111"/>
      <c r="E25" s="109"/>
      <c r="F25" s="112"/>
      <c r="G25" s="109"/>
      <c r="H25" s="113">
        <f>SUBTOTAL(109,OverzichtVloer20[Kosten/jaar excl. BTW])</f>
        <v>0</v>
      </c>
      <c r="I25" s="113">
        <f>SUBTOTAL(109,OverzichtVloer20[Kosten/jaar incl BTW])</f>
        <v>0</v>
      </c>
    </row>
    <row r="26" spans="1:13" ht="15" customHeight="1">
      <c r="A26" s="30"/>
      <c r="C26" s="28"/>
      <c r="D26" s="28"/>
      <c r="E26" s="28"/>
      <c r="F26" s="81"/>
      <c r="G26" s="34"/>
      <c r="H26" s="29"/>
    </row>
  </sheetData>
  <mergeCells count="3">
    <mergeCell ref="A1:H1"/>
    <mergeCell ref="A2:H2"/>
    <mergeCell ref="E7:I7"/>
  </mergeCells>
  <pageMargins left="0.70866141732283472" right="0.70866141732283472" top="0.35433070866141736" bottom="0.47244094488188981" header="0.31496062992125984" footer="0.31496062992125984"/>
  <pageSetup paperSize="9" scale="55" fitToHeight="0" orientation="landscape" r:id="rId1"/>
  <headerFooter alignWithMargins="0">
    <oddFooter>&amp;L&amp;F&amp;C&amp;D&amp;R&amp;A</oddFooter>
  </headerFooter>
  <tableParts count="2">
    <tablePart r:id="rId2"/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DF0DE-C800-4F2F-A8AE-571612A8957C}">
  <sheetPr codeName="Blad14">
    <tabColor theme="0" tint="-0.14999847407452621"/>
  </sheetPr>
  <dimension ref="A1:I19"/>
  <sheetViews>
    <sheetView view="pageBreakPreview" zoomScaleNormal="100" zoomScaleSheetLayoutView="100" workbookViewId="0">
      <selection activeCell="A2" sqref="A2"/>
    </sheetView>
  </sheetViews>
  <sheetFormatPr defaultColWidth="9.140625" defaultRowHeight="11.25"/>
  <cols>
    <col min="1" max="1" width="15.42578125" style="3" customWidth="1"/>
    <col min="2" max="2" width="53" style="3" bestFit="1" customWidth="1"/>
    <col min="3" max="3" width="13.28515625" style="17" customWidth="1"/>
    <col min="4" max="4" width="53" style="3" bestFit="1" customWidth="1"/>
    <col min="5" max="5" width="15" style="3" customWidth="1"/>
    <col min="6" max="6" width="15" style="78" customWidth="1"/>
    <col min="7" max="8" width="18" style="3" bestFit="1" customWidth="1"/>
    <col min="9" max="9" width="15" style="3" customWidth="1"/>
    <col min="10" max="10" width="9.140625" style="3"/>
    <col min="11" max="11" width="18" style="3" bestFit="1" customWidth="1"/>
    <col min="12" max="16384" width="9.140625" style="3"/>
  </cols>
  <sheetData>
    <row r="1" spans="1:9" s="5" customFormat="1" ht="26.25" customHeight="1">
      <c r="A1" s="283" t="s">
        <v>377</v>
      </c>
      <c r="B1" s="283"/>
      <c r="C1" s="283"/>
      <c r="D1" s="283"/>
      <c r="E1" s="283"/>
      <c r="F1" s="283"/>
      <c r="G1" s="283"/>
      <c r="H1" s="283"/>
      <c r="I1" s="283"/>
    </row>
    <row r="2" spans="1:9" ht="15" customHeight="1">
      <c r="B2" s="17"/>
      <c r="C2" s="3"/>
      <c r="F2" s="3"/>
    </row>
    <row r="3" spans="1:9" ht="15" customHeight="1">
      <c r="A3" s="3" t="s">
        <v>91</v>
      </c>
      <c r="B3" s="28"/>
      <c r="C3" s="28"/>
      <c r="D3" s="28"/>
      <c r="E3" s="28"/>
      <c r="F3" s="79"/>
      <c r="G3" s="29"/>
    </row>
    <row r="4" spans="1:9" ht="15" customHeight="1">
      <c r="A4" s="3" t="s">
        <v>142</v>
      </c>
      <c r="B4" s="28"/>
      <c r="C4" s="28"/>
      <c r="D4" s="28"/>
      <c r="E4" s="28"/>
      <c r="F4" s="79"/>
      <c r="G4" s="29"/>
    </row>
    <row r="5" spans="1:9" ht="15" customHeight="1">
      <c r="A5" s="3" t="s">
        <v>138</v>
      </c>
      <c r="B5" s="31"/>
      <c r="C5" s="32"/>
      <c r="D5" s="32"/>
      <c r="E5" s="32"/>
      <c r="F5" s="80"/>
    </row>
    <row r="6" spans="1:9" ht="15" customHeight="1">
      <c r="B6" s="31"/>
      <c r="C6" s="31"/>
      <c r="D6" s="27"/>
      <c r="E6" s="287" t="s">
        <v>157</v>
      </c>
      <c r="F6" s="287"/>
      <c r="G6" s="287"/>
      <c r="H6" s="287"/>
      <c r="I6" s="287"/>
    </row>
    <row r="7" spans="1:9" s="4" customFormat="1" ht="26.25" customHeight="1">
      <c r="A7" s="37" t="s">
        <v>120</v>
      </c>
      <c r="B7" s="38" t="s">
        <v>78</v>
      </c>
      <c r="C7" s="39" t="s">
        <v>74</v>
      </c>
      <c r="D7" s="37" t="s">
        <v>200</v>
      </c>
      <c r="E7" s="37" t="s">
        <v>174</v>
      </c>
      <c r="F7" s="37" t="s">
        <v>175</v>
      </c>
      <c r="G7" s="37" t="s">
        <v>176</v>
      </c>
      <c r="H7" s="37" t="s">
        <v>178</v>
      </c>
      <c r="I7" s="37" t="s">
        <v>202</v>
      </c>
    </row>
    <row r="8" spans="1:9" s="4" customFormat="1">
      <c r="A8" s="115">
        <v>1</v>
      </c>
      <c r="B8" s="122" t="s">
        <v>241</v>
      </c>
      <c r="C8" s="160">
        <f>Tariefsopbouw!$D$38</f>
        <v>0</v>
      </c>
      <c r="D8" s="122" t="s">
        <v>198</v>
      </c>
      <c r="E8" s="121">
        <f>(Invulextrawerkz[[#This Row],[Prijs]]*Tariefsopbouw!$I$37)+Invulextrawerkz[[#This Row],[Prijs]]</f>
        <v>0</v>
      </c>
      <c r="F8" s="123">
        <f>Invulextrawerkz[[#This Row],[2024]]*Tariefsopbouw!$K$37+Invulextrawerkz[[#This Row],[2024]]</f>
        <v>0</v>
      </c>
      <c r="G8" s="123">
        <f>Invulextrawerkz[[#This Row],[2025]]*Tariefsopbouw!$M$37+Invulextrawerkz[[#This Row],[2025]]</f>
        <v>0</v>
      </c>
      <c r="H8" s="123">
        <f>Invulextrawerkz[[#This Row],[2026]]*Tariefsopbouw!$O$37+Invulextrawerkz[[#This Row],[2026]]</f>
        <v>0</v>
      </c>
      <c r="I8" s="123">
        <f>Invulextrawerkz[[#This Row],[2027]]*Tariefsopbouw!$Q$37+Invulextrawerkz[[#This Row],[2027]]</f>
        <v>0</v>
      </c>
    </row>
    <row r="9" spans="1:9" s="4" customFormat="1">
      <c r="A9" s="115">
        <v>2</v>
      </c>
      <c r="B9" s="122" t="s">
        <v>242</v>
      </c>
      <c r="C9" s="160">
        <f>Tariefsopbouw!$D$40</f>
        <v>0</v>
      </c>
      <c r="D9" s="122" t="s">
        <v>198</v>
      </c>
      <c r="E9" s="121">
        <f>(Invulextrawerkz[[#This Row],[Prijs]]*Tariefsopbouw!$I$37)+Invulextrawerkz[[#This Row],[Prijs]]</f>
        <v>0</v>
      </c>
      <c r="F9" s="123">
        <f>Invulextrawerkz[[#This Row],[2024]]*Tariefsopbouw!$K$37+Invulextrawerkz[[#This Row],[2024]]</f>
        <v>0</v>
      </c>
      <c r="G9" s="123">
        <f>Invulextrawerkz[[#This Row],[2025]]*Tariefsopbouw!$M$37+Invulextrawerkz[[#This Row],[2025]]</f>
        <v>0</v>
      </c>
      <c r="H9" s="123">
        <f>Invulextrawerkz[[#This Row],[2026]]*Tariefsopbouw!$O$37+Invulextrawerkz[[#This Row],[2026]]</f>
        <v>0</v>
      </c>
      <c r="I9" s="123">
        <f>Invulextrawerkz[[#This Row],[2027]]*Tariefsopbouw!$Q$37+Invulextrawerkz[[#This Row],[2027]]</f>
        <v>0</v>
      </c>
    </row>
    <row r="10" spans="1:9" s="4" customFormat="1">
      <c r="A10" s="115">
        <v>3</v>
      </c>
      <c r="B10" s="122" t="s">
        <v>243</v>
      </c>
      <c r="C10" s="160">
        <f>Tariefsopbouw!$D$41</f>
        <v>0</v>
      </c>
      <c r="D10" s="122" t="s">
        <v>198</v>
      </c>
      <c r="E10" s="121">
        <f>(Invulextrawerkz[[#This Row],[Prijs]]*Tariefsopbouw!$I$37)+Invulextrawerkz[[#This Row],[Prijs]]</f>
        <v>0</v>
      </c>
      <c r="F10" s="123">
        <f>Invulextrawerkz[[#This Row],[2024]]*Tariefsopbouw!$K$37+Invulextrawerkz[[#This Row],[2024]]</f>
        <v>0</v>
      </c>
      <c r="G10" s="123">
        <f>Invulextrawerkz[[#This Row],[2025]]*Tariefsopbouw!$M$37+Invulextrawerkz[[#This Row],[2025]]</f>
        <v>0</v>
      </c>
      <c r="H10" s="123">
        <f>Invulextrawerkz[[#This Row],[2026]]*Tariefsopbouw!$O$37+Invulextrawerkz[[#This Row],[2026]]</f>
        <v>0</v>
      </c>
      <c r="I10" s="123">
        <f>Invulextrawerkz[[#This Row],[2027]]*Tariefsopbouw!$Q$37+Invulextrawerkz[[#This Row],[2027]]</f>
        <v>0</v>
      </c>
    </row>
    <row r="11" spans="1:9" ht="15" customHeight="1">
      <c r="B11" s="17"/>
      <c r="E11" s="33"/>
      <c r="F11" s="81"/>
      <c r="G11" s="33"/>
      <c r="H11" s="33"/>
    </row>
    <row r="12" spans="1:9" ht="15" customHeight="1">
      <c r="B12" s="17"/>
      <c r="E12" s="33"/>
      <c r="F12" s="81"/>
      <c r="G12" s="33"/>
      <c r="H12" s="33"/>
    </row>
    <row r="13" spans="1:9" s="26" customFormat="1" ht="28.5" customHeight="1">
      <c r="A13" s="37" t="s">
        <v>119</v>
      </c>
      <c r="B13" s="38" t="s">
        <v>68</v>
      </c>
      <c r="C13" s="37" t="s">
        <v>120</v>
      </c>
      <c r="D13" s="43" t="s">
        <v>78</v>
      </c>
      <c r="E13" s="43" t="s">
        <v>179</v>
      </c>
      <c r="F13" s="43" t="s">
        <v>86</v>
      </c>
      <c r="G13" s="44" t="s">
        <v>70</v>
      </c>
      <c r="H13" s="134" t="s">
        <v>181</v>
      </c>
    </row>
    <row r="14" spans="1:9" ht="15" customHeight="1">
      <c r="A14" s="125">
        <v>1</v>
      </c>
      <c r="B14" s="116" t="str">
        <f>VLOOKUP(Overzichtextrawerkz.[[#This Row],[Code Locatie]],Locatie!$A$1:$E$2,2,FALSE)</f>
        <v>Opvanglocatie</v>
      </c>
      <c r="C14" s="115">
        <v>1</v>
      </c>
      <c r="D14" s="116" t="str">
        <f>IF(Overzichtextrawerkz.[[#This Row],[Code Taak]]&gt;0,VLOOKUP(Overzichtextrawerkz.[[#This Row],[Code Taak]],$A$7:$B$10,2,FALSE),"")</f>
        <v>Werkzaamheden van 9.00 uur tot 21.00 uur ma tm vr</v>
      </c>
      <c r="E14" s="17">
        <v>24</v>
      </c>
      <c r="F14" s="102">
        <v>255</v>
      </c>
      <c r="G14" s="120">
        <f>VLOOKUP(Overzichtextrawerkz.[[#This Row],[Code Taak]],Invulextrawerkz[],3,3)*E14*F14</f>
        <v>0</v>
      </c>
      <c r="H14" s="120">
        <f>Overzichtextrawerkz.[[#This Row],[Kosten/jaar excl. BTW]]*1.21</f>
        <v>0</v>
      </c>
    </row>
    <row r="15" spans="1:9" ht="15" customHeight="1">
      <c r="A15" s="125">
        <v>1</v>
      </c>
      <c r="B15" s="116" t="str">
        <f>VLOOKUP(Overzichtextrawerkz.[[#This Row],[Code Locatie]],Locatie!$A$1:$E$2,2,FALSE)</f>
        <v>Opvanglocatie</v>
      </c>
      <c r="C15" s="115">
        <v>2</v>
      </c>
      <c r="D15" s="116" t="str">
        <f>IF(Overzichtextrawerkz.[[#This Row],[Code Taak]]&gt;0,VLOOKUP(Overzichtextrawerkz.[[#This Row],[Code Taak]],$A$7:$B$10,2,FALSE),"")</f>
        <v>Werkzaamheden van 9.00 uur tot 21.00 uur weekend</v>
      </c>
      <c r="E15" s="17">
        <v>24</v>
      </c>
      <c r="F15" s="102">
        <v>101</v>
      </c>
      <c r="G15" s="120">
        <f>VLOOKUP(Overzichtextrawerkz.[[#This Row],[Code Taak]],Invulextrawerkz[],3,3)*E15*F15</f>
        <v>0</v>
      </c>
      <c r="H15" s="120">
        <f>Overzichtextrawerkz.[[#This Row],[Kosten/jaar excl. BTW]]*1.21</f>
        <v>0</v>
      </c>
    </row>
    <row r="16" spans="1:9" ht="15" customHeight="1">
      <c r="A16" s="125">
        <v>1</v>
      </c>
      <c r="B16" s="116" t="str">
        <f>VLOOKUP(Overzichtextrawerkz.[[#This Row],[Code Locatie]],Locatie!$A$1:$E$2,2,FALSE)</f>
        <v>Opvanglocatie</v>
      </c>
      <c r="C16" s="115">
        <v>3</v>
      </c>
      <c r="D16" s="116" t="str">
        <f>IF(Overzichtextrawerkz.[[#This Row],[Code Taak]]&gt;0,VLOOKUP(Overzichtextrawerkz.[[#This Row],[Code Taak]],$A$7:$B$10,2,FALSE),"")</f>
        <v>Werkzaamheden van 9.00 uur tot 21.00 uur feestdagen</v>
      </c>
      <c r="E16" s="17">
        <v>24</v>
      </c>
      <c r="F16" s="102">
        <v>9</v>
      </c>
      <c r="G16" s="120">
        <f>VLOOKUP(Overzichtextrawerkz.[[#This Row],[Code Taak]],Invulextrawerkz[],3,3)*E16*F16</f>
        <v>0</v>
      </c>
      <c r="H16" s="120">
        <f>Overzichtextrawerkz.[[#This Row],[Kosten/jaar excl. BTW]]*1.21</f>
        <v>0</v>
      </c>
    </row>
    <row r="17" spans="1:8" ht="15" customHeight="1">
      <c r="A17" s="109"/>
      <c r="B17" s="110" t="s">
        <v>10</v>
      </c>
      <c r="C17" s="109"/>
      <c r="D17" s="111"/>
      <c r="E17" s="112"/>
      <c r="F17" s="109"/>
      <c r="G17" s="113">
        <f>SUBTOTAL(109,Overzichtextrawerkz.[Kosten/jaar excl. BTW])</f>
        <v>0</v>
      </c>
      <c r="H17" s="113">
        <f>SUBTOTAL(109,Overzichtextrawerkz.[Kosten/jaar incl. BTW])</f>
        <v>0</v>
      </c>
    </row>
    <row r="18" spans="1:8" ht="15" customHeight="1">
      <c r="A18" s="30"/>
      <c r="C18" s="28"/>
      <c r="D18" s="28"/>
      <c r="E18" s="28"/>
      <c r="F18" s="81"/>
      <c r="G18" s="34"/>
      <c r="H18" s="29"/>
    </row>
    <row r="19" spans="1:8">
      <c r="A19" s="3" t="s">
        <v>244</v>
      </c>
      <c r="B19" s="3" t="s">
        <v>378</v>
      </c>
    </row>
  </sheetData>
  <mergeCells count="2">
    <mergeCell ref="E6:I6"/>
    <mergeCell ref="A1:I1"/>
  </mergeCells>
  <phoneticPr fontId="7" type="noConversion"/>
  <pageMargins left="0.7" right="0.7" top="0.75" bottom="0.75" header="0.3" footer="0.3"/>
  <pageSetup paperSize="9" scale="40" orientation="portrait" horizontalDpi="1200" verticalDpi="1200" r:id="rId1"/>
  <tableParts count="2">
    <tablePart r:id="rId2"/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148B2-9B65-43B6-ADF0-493404763506}">
  <sheetPr>
    <tabColor theme="0" tint="-0.14999847407452621"/>
  </sheetPr>
  <dimension ref="A1:M54"/>
  <sheetViews>
    <sheetView workbookViewId="0">
      <selection activeCell="C14" sqref="C14"/>
    </sheetView>
  </sheetViews>
  <sheetFormatPr defaultColWidth="9.140625" defaultRowHeight="11.25"/>
  <cols>
    <col min="1" max="1" width="9.7109375" style="3" customWidth="1"/>
    <col min="2" max="2" width="36.7109375" style="3" bestFit="1" customWidth="1"/>
    <col min="3" max="3" width="14.85546875" style="17" customWidth="1"/>
    <col min="4" max="4" width="36.7109375" style="3" bestFit="1" customWidth="1"/>
    <col min="5" max="5" width="17.7109375" style="3" bestFit="1" customWidth="1"/>
    <col min="6" max="6" width="17.7109375" style="78" bestFit="1" customWidth="1"/>
    <col min="7" max="7" width="17.7109375" style="3" bestFit="1" customWidth="1"/>
    <col min="8" max="8" width="18" style="3" bestFit="1" customWidth="1"/>
    <col min="9" max="9" width="19" style="3" customWidth="1"/>
    <col min="10" max="10" width="19.28515625" style="3" bestFit="1" customWidth="1"/>
    <col min="11" max="11" width="9.140625" style="3"/>
    <col min="12" max="12" width="35.7109375" style="3" customWidth="1"/>
    <col min="13" max="13" width="15.85546875" style="3" customWidth="1"/>
    <col min="14" max="16384" width="9.140625" style="3"/>
  </cols>
  <sheetData>
    <row r="1" spans="1:13" s="5" customFormat="1" ht="26.25" customHeight="1">
      <c r="A1" s="283" t="s">
        <v>199</v>
      </c>
      <c r="B1" s="283"/>
      <c r="C1" s="283"/>
      <c r="D1" s="283"/>
      <c r="E1" s="283"/>
      <c r="F1" s="283"/>
      <c r="G1" s="283"/>
      <c r="H1" s="283"/>
      <c r="I1" s="283"/>
    </row>
    <row r="2" spans="1:13" s="5" customFormat="1" ht="15" customHeight="1">
      <c r="A2" s="284" t="s">
        <v>173</v>
      </c>
      <c r="B2" s="285"/>
      <c r="C2" s="285"/>
      <c r="D2" s="285"/>
      <c r="E2" s="285"/>
      <c r="F2" s="285"/>
      <c r="G2" s="285"/>
      <c r="H2" s="285"/>
      <c r="I2" s="286"/>
    </row>
    <row r="3" spans="1:13" ht="15" customHeight="1">
      <c r="B3" s="17"/>
      <c r="C3" s="3"/>
      <c r="D3" s="141"/>
      <c r="E3" s="142"/>
    </row>
    <row r="4" spans="1:13" ht="15" customHeight="1">
      <c r="A4" s="3" t="s">
        <v>91</v>
      </c>
      <c r="B4" s="28"/>
      <c r="C4" s="28"/>
      <c r="D4" s="28"/>
      <c r="E4" s="28"/>
      <c r="F4" s="79"/>
      <c r="G4" s="29"/>
    </row>
    <row r="5" spans="1:13" ht="15" customHeight="1">
      <c r="A5" s="3" t="s">
        <v>142</v>
      </c>
      <c r="B5" s="28"/>
      <c r="C5" s="28"/>
      <c r="D5" s="28"/>
      <c r="E5" s="28"/>
      <c r="F5" s="79"/>
      <c r="G5" s="29"/>
    </row>
    <row r="6" spans="1:13" ht="15" customHeight="1">
      <c r="A6" s="3" t="s">
        <v>138</v>
      </c>
      <c r="B6" s="31"/>
      <c r="C6" s="32"/>
      <c r="D6" s="32"/>
      <c r="E6" s="32"/>
      <c r="F6" s="80"/>
    </row>
    <row r="7" spans="1:13" ht="15" customHeight="1">
      <c r="B7" s="31"/>
      <c r="C7" s="31"/>
      <c r="D7" s="27"/>
      <c r="E7" s="287" t="s">
        <v>157</v>
      </c>
      <c r="F7" s="287"/>
      <c r="G7" s="287"/>
      <c r="H7" s="287"/>
      <c r="I7" s="287"/>
      <c r="M7" s="105"/>
    </row>
    <row r="8" spans="1:13" s="4" customFormat="1" ht="26.25" customHeight="1">
      <c r="A8" s="37" t="s">
        <v>120</v>
      </c>
      <c r="B8" s="38" t="s">
        <v>265</v>
      </c>
      <c r="C8" s="39" t="s">
        <v>74</v>
      </c>
      <c r="D8" s="37" t="s">
        <v>200</v>
      </c>
      <c r="E8" s="37" t="s">
        <v>174</v>
      </c>
      <c r="F8" s="37" t="s">
        <v>175</v>
      </c>
      <c r="G8" s="37" t="s">
        <v>176</v>
      </c>
      <c r="H8" s="37" t="s">
        <v>178</v>
      </c>
      <c r="I8" s="37" t="s">
        <v>202</v>
      </c>
      <c r="M8" s="107"/>
    </row>
    <row r="9" spans="1:13" ht="15" customHeight="1">
      <c r="A9" s="40">
        <v>1</v>
      </c>
      <c r="B9" s="161" t="s">
        <v>386</v>
      </c>
      <c r="C9" s="41">
        <v>0</v>
      </c>
      <c r="D9" s="249" t="s">
        <v>391</v>
      </c>
      <c r="E9" s="124">
        <f>Sanitair[[#This Row],[Prijs]]*Tariefsopbouw!$I$37+Sanitair[[#This Row],[Prijs]]</f>
        <v>0</v>
      </c>
      <c r="F9" s="250">
        <f>Sanitair[[#This Row],[2024]]*Tariefsopbouw!$K$37+Sanitair[[#This Row],[2024]]</f>
        <v>0</v>
      </c>
      <c r="G9" s="250">
        <f>Sanitair[[#This Row],[2025]]*Tariefsopbouw!$M$37+Sanitair[[#This Row],[2025]]</f>
        <v>0</v>
      </c>
      <c r="H9" s="250">
        <f>Sanitair[[#This Row],[2026]]*Tariefsopbouw!$O$37+Sanitair[[#This Row],[2026]]</f>
        <v>0</v>
      </c>
      <c r="I9" s="250">
        <f>Sanitair[[#This Row],[2027]]*Tariefsopbouw!$Q$37+Sanitair[[#This Row],[2027]]</f>
        <v>0</v>
      </c>
      <c r="M9" s="105"/>
    </row>
    <row r="10" spans="1:13" ht="15" customHeight="1">
      <c r="A10" s="42">
        <v>2</v>
      </c>
      <c r="B10" s="168" t="s">
        <v>382</v>
      </c>
      <c r="C10" s="41">
        <v>0</v>
      </c>
      <c r="D10" s="249" t="s">
        <v>392</v>
      </c>
      <c r="E10" s="124">
        <f>Sanitair[[#This Row],[Prijs]]*Tariefsopbouw!$I$37+Sanitair[[#This Row],[Prijs]]</f>
        <v>0</v>
      </c>
      <c r="F10" s="124">
        <f>Sanitair[[#This Row],[2024]]*Tariefsopbouw!$K$37+Sanitair[[#This Row],[2024]]</f>
        <v>0</v>
      </c>
      <c r="G10" s="124">
        <f>Sanitair[[#This Row],[2025]]*Tariefsopbouw!$M$37+Sanitair[[#This Row],[2025]]</f>
        <v>0</v>
      </c>
      <c r="H10" s="124">
        <f>Sanitair[[#This Row],[2026]]*Tariefsopbouw!$O$37+Sanitair[[#This Row],[2026]]</f>
        <v>0</v>
      </c>
      <c r="I10" s="124">
        <f>Sanitair[[#This Row],[2027]]*Tariefsopbouw!$Q$37+Sanitair[[#This Row],[2027]]</f>
        <v>0</v>
      </c>
      <c r="M10" s="106"/>
    </row>
    <row r="11" spans="1:13" ht="15" customHeight="1">
      <c r="A11" s="40">
        <v>3</v>
      </c>
      <c r="B11" s="161" t="s">
        <v>383</v>
      </c>
      <c r="C11" s="41">
        <v>0</v>
      </c>
      <c r="D11" s="249" t="s">
        <v>394</v>
      </c>
      <c r="E11" s="124">
        <f>Sanitair[[#This Row],[Prijs]]*Tariefsopbouw!$I$37+Sanitair[[#This Row],[Prijs]]</f>
        <v>0</v>
      </c>
      <c r="F11" s="124">
        <f>Sanitair[[#This Row],[2024]]*Tariefsopbouw!$K$37+Sanitair[[#This Row],[2024]]</f>
        <v>0</v>
      </c>
      <c r="G11" s="124">
        <f>Sanitair[[#This Row],[2025]]*Tariefsopbouw!$M$37+Sanitair[[#This Row],[2025]]</f>
        <v>0</v>
      </c>
      <c r="H11" s="124">
        <f>Sanitair[[#This Row],[2026]]*Tariefsopbouw!$O$37+Sanitair[[#This Row],[2026]]</f>
        <v>0</v>
      </c>
      <c r="I11" s="124">
        <f>Sanitair[[#This Row],[2027]]*Tariefsopbouw!$Q$37+Sanitair[[#This Row],[2027]]</f>
        <v>0</v>
      </c>
      <c r="M11" s="108"/>
    </row>
    <row r="12" spans="1:13" ht="15" customHeight="1">
      <c r="A12" s="42">
        <v>4</v>
      </c>
      <c r="B12" s="168" t="s">
        <v>396</v>
      </c>
      <c r="C12" s="41">
        <v>0</v>
      </c>
      <c r="D12" s="249" t="s">
        <v>397</v>
      </c>
      <c r="E12" s="124">
        <f>Sanitair[[#This Row],[Prijs]]*Tariefsopbouw!$I$37+Sanitair[[#This Row],[Prijs]]</f>
        <v>0</v>
      </c>
      <c r="F12" s="124">
        <f>Sanitair[[#This Row],[2024]]*Tariefsopbouw!$K$37+Sanitair[[#This Row],[2024]]</f>
        <v>0</v>
      </c>
      <c r="G12" s="124">
        <f>Sanitair[[#This Row],[2025]]*Tariefsopbouw!$M$37+Sanitair[[#This Row],[2025]]</f>
        <v>0</v>
      </c>
      <c r="H12" s="124">
        <f>Sanitair[[#This Row],[2026]]*Tariefsopbouw!$O$37+Sanitair[[#This Row],[2026]]</f>
        <v>0</v>
      </c>
      <c r="I12" s="124">
        <f>Sanitair[[#This Row],[2027]]*Tariefsopbouw!$Q$37+Sanitair[[#This Row],[2027]]</f>
        <v>0</v>
      </c>
    </row>
    <row r="13" spans="1:13" ht="15" customHeight="1">
      <c r="A13" s="40">
        <v>5</v>
      </c>
      <c r="B13" s="161" t="s">
        <v>380</v>
      </c>
      <c r="C13" s="41">
        <v>0</v>
      </c>
      <c r="D13" s="249" t="s">
        <v>381</v>
      </c>
      <c r="E13" s="124">
        <f>Sanitair[[#This Row],[Prijs]]*Tariefsopbouw!$I$37+Sanitair[[#This Row],[Prijs]]</f>
        <v>0</v>
      </c>
      <c r="F13" s="124">
        <f>Sanitair[[#This Row],[2024]]*Tariefsopbouw!$K$37+Sanitair[[#This Row],[2024]]</f>
        <v>0</v>
      </c>
      <c r="G13" s="124">
        <f>Sanitair[[#This Row],[2025]]*Tariefsopbouw!$M$37+Sanitair[[#This Row],[2025]]</f>
        <v>0</v>
      </c>
      <c r="H13" s="124">
        <f>Sanitair[[#This Row],[2026]]*Tariefsopbouw!$O$37+Sanitair[[#This Row],[2026]]</f>
        <v>0</v>
      </c>
      <c r="I13" s="124">
        <f>Sanitair[[#This Row],[2027]]*Tariefsopbouw!$Q$37+Sanitair[[#This Row],[2027]]</f>
        <v>0</v>
      </c>
    </row>
    <row r="14" spans="1:13" ht="15" customHeight="1">
      <c r="A14" s="42">
        <v>6</v>
      </c>
      <c r="B14" s="168" t="s">
        <v>388</v>
      </c>
      <c r="C14" s="41">
        <v>0</v>
      </c>
      <c r="D14" s="249" t="s">
        <v>389</v>
      </c>
      <c r="E14" s="124">
        <f>Sanitair[[#This Row],[Prijs]]*Tariefsopbouw!$I$37+Sanitair[[#This Row],[Prijs]]</f>
        <v>0</v>
      </c>
      <c r="F14" s="124">
        <f>Sanitair[[#This Row],[2024]]*Tariefsopbouw!$K$37+Sanitair[[#This Row],[2024]]</f>
        <v>0</v>
      </c>
      <c r="G14" s="124">
        <f>Sanitair[[#This Row],[2025]]*Tariefsopbouw!$M$37+Sanitair[[#This Row],[2025]]</f>
        <v>0</v>
      </c>
      <c r="H14" s="124">
        <f>Sanitair[[#This Row],[2026]]*Tariefsopbouw!$O$37+Sanitair[[#This Row],[2026]]</f>
        <v>0</v>
      </c>
      <c r="I14" s="124">
        <f>Sanitair[[#This Row],[2027]]*Tariefsopbouw!$Q$37+Sanitair[[#This Row],[2027]]</f>
        <v>0</v>
      </c>
    </row>
    <row r="15" spans="1:13" ht="15" customHeight="1">
      <c r="A15" s="42">
        <v>7</v>
      </c>
      <c r="B15" s="168" t="s">
        <v>385</v>
      </c>
      <c r="C15" s="41">
        <v>0</v>
      </c>
      <c r="D15" s="251" t="s">
        <v>384</v>
      </c>
      <c r="E15" s="124">
        <f>Sanitair[[#This Row],[Prijs]]*Tariefsopbouw!$I$37+Sanitair[[#This Row],[Prijs]]</f>
        <v>0</v>
      </c>
      <c r="F15" s="124">
        <f>Sanitair[[#This Row],[2024]]*Tariefsopbouw!$K$37+Sanitair[[#This Row],[2024]]</f>
        <v>0</v>
      </c>
      <c r="G15" s="124">
        <f>Sanitair[[#This Row],[2025]]*Tariefsopbouw!$M$37+Sanitair[[#This Row],[2025]]</f>
        <v>0</v>
      </c>
      <c r="H15" s="124">
        <f>Sanitair[[#This Row],[2026]]*Tariefsopbouw!$O$37+Sanitair[[#This Row],[2026]]</f>
        <v>0</v>
      </c>
      <c r="I15" s="124">
        <f>Sanitair[[#This Row],[2027]]*Tariefsopbouw!$Q$37+Sanitair[[#This Row],[2027]]</f>
        <v>0</v>
      </c>
    </row>
    <row r="16" spans="1:13" ht="15" customHeight="1">
      <c r="B16" s="17"/>
      <c r="E16" s="33"/>
      <c r="F16" s="81"/>
      <c r="G16" s="33"/>
      <c r="H16" s="33"/>
    </row>
    <row r="17" spans="1:13" s="26" customFormat="1" ht="26.25" customHeight="1">
      <c r="A17" s="37" t="s">
        <v>119</v>
      </c>
      <c r="B17" s="38" t="s">
        <v>68</v>
      </c>
      <c r="C17" s="37" t="s">
        <v>120</v>
      </c>
      <c r="D17" s="43" t="s">
        <v>205</v>
      </c>
      <c r="E17" s="82" t="s">
        <v>387</v>
      </c>
      <c r="F17" s="82" t="s">
        <v>73</v>
      </c>
      <c r="G17" s="82" t="s">
        <v>399</v>
      </c>
      <c r="H17" s="44" t="s">
        <v>70</v>
      </c>
      <c r="I17" s="44" t="s">
        <v>183</v>
      </c>
    </row>
    <row r="18" spans="1:13" ht="15" customHeight="1">
      <c r="A18" s="115">
        <v>1</v>
      </c>
      <c r="B18" s="116" t="str">
        <f>VLOOKUP(Sanitair2[[#This Row],[Code Locatie]],Locatie!$A$1:$B$2,2,0)</f>
        <v>Opvanglocatie</v>
      </c>
      <c r="C18" s="115">
        <v>1</v>
      </c>
      <c r="D18" s="117" t="str">
        <f t="shared" ref="D18:D24" si="0">IF($C18&gt;0,VLOOKUP($C18,$A$8:$B$15,2,FALSE),"")</f>
        <v>Toilet papier (2 laags)</v>
      </c>
      <c r="E18" s="119">
        <v>20000</v>
      </c>
      <c r="F18" s="166" t="s">
        <v>390</v>
      </c>
      <c r="G18" s="166"/>
      <c r="H18" s="120">
        <f>VLOOKUP(Sanitair2[[#This Row],[Code Taak]],Sanitair[],3,3)*E18</f>
        <v>0</v>
      </c>
      <c r="I18" s="133">
        <f>Sanitair2[[#This Row],[Kosten/jaar excl. BTW]]*1.21</f>
        <v>0</v>
      </c>
      <c r="M18" s="105"/>
    </row>
    <row r="19" spans="1:13" ht="15" customHeight="1">
      <c r="A19" s="115">
        <v>1</v>
      </c>
      <c r="B19" s="116" t="str">
        <f>VLOOKUP(Sanitair2[[#This Row],[Code Locatie]],Locatie!$A$1:$B$2,2,0)</f>
        <v>Opvanglocatie</v>
      </c>
      <c r="C19" s="115">
        <v>2</v>
      </c>
      <c r="D19" s="117" t="str">
        <f t="shared" si="0"/>
        <v>Navulling voor zeeddispenser</v>
      </c>
      <c r="E19" s="119">
        <v>500</v>
      </c>
      <c r="F19" s="166" t="s">
        <v>393</v>
      </c>
      <c r="G19" s="166"/>
      <c r="H19" s="120">
        <f>VLOOKUP(Sanitair2[[#This Row],[Code Taak]],Sanitair[],3,3)*E19</f>
        <v>0</v>
      </c>
      <c r="I19" s="133">
        <f>Sanitair2[[#This Row],[Kosten/jaar excl. BTW]]*1.21</f>
        <v>0</v>
      </c>
      <c r="M19" s="105"/>
    </row>
    <row r="20" spans="1:13" ht="15" customHeight="1">
      <c r="A20" s="115">
        <v>1</v>
      </c>
      <c r="B20" s="116" t="str">
        <f>VLOOKUP(Sanitair2[[#This Row],[Code Locatie]],Locatie!$A$1:$B$2,2,0)</f>
        <v>Opvanglocatie</v>
      </c>
      <c r="C20" s="115">
        <v>3</v>
      </c>
      <c r="D20" s="117" t="str">
        <f t="shared" si="0"/>
        <v>Navulling voor Tork</v>
      </c>
      <c r="E20" s="119">
        <v>2500</v>
      </c>
      <c r="F20" s="166" t="s">
        <v>395</v>
      </c>
      <c r="G20" s="166"/>
      <c r="H20" s="120">
        <f>VLOOKUP(Sanitair2[[#This Row],[Code Taak]],Sanitair[],3,3)*E20</f>
        <v>0</v>
      </c>
      <c r="I20" s="133">
        <f>Sanitair2[[#This Row],[Kosten/jaar excl. BTW]]*1.21</f>
        <v>0</v>
      </c>
      <c r="M20" s="105"/>
    </row>
    <row r="21" spans="1:13" ht="15" customHeight="1">
      <c r="A21" s="115">
        <v>1</v>
      </c>
      <c r="B21" s="116" t="str">
        <f>VLOOKUP(Sanitair2[[#This Row],[Code Locatie]],Locatie!$A$1:$B$2,2,0)</f>
        <v>Opvanglocatie</v>
      </c>
      <c r="C21" s="115">
        <v>4</v>
      </c>
      <c r="D21" s="117" t="str">
        <f t="shared" si="0"/>
        <v>Papieren handdoekjes</v>
      </c>
      <c r="E21" s="119">
        <v>5000</v>
      </c>
      <c r="F21" s="166" t="s">
        <v>398</v>
      </c>
      <c r="G21" s="166"/>
      <c r="H21" s="120">
        <f>VLOOKUP(Sanitair2[[#This Row],[Code Taak]],Sanitair[],3,3)*E21</f>
        <v>0</v>
      </c>
      <c r="I21" s="133">
        <f>Sanitair2[[#This Row],[Kosten/jaar excl. BTW]]*1.21</f>
        <v>0</v>
      </c>
      <c r="M21" s="105"/>
    </row>
    <row r="22" spans="1:13" ht="15" customHeight="1">
      <c r="A22" s="115">
        <v>1</v>
      </c>
      <c r="B22" s="116" t="str">
        <f>VLOOKUP(Sanitair2[[#This Row],[Code Locatie]],Locatie!$A$1:$B$2,2,0)</f>
        <v>Opvanglocatie</v>
      </c>
      <c r="C22" s="115">
        <v>5</v>
      </c>
      <c r="D22" s="117" t="str">
        <f t="shared" si="0"/>
        <v>Hygiënebox - 1x per 2 weken wisselen</v>
      </c>
      <c r="E22" s="119">
        <v>30</v>
      </c>
      <c r="F22" s="166" t="s">
        <v>400</v>
      </c>
      <c r="G22" s="119">
        <v>20</v>
      </c>
      <c r="H22" s="120">
        <f>VLOOKUP(Sanitair2[[#This Row],[Code Taak]],Sanitair[],3,3)*E22*Sanitair2[[#This Row],[aantal ledigingen]]</f>
        <v>0</v>
      </c>
      <c r="I22" s="133">
        <f>Sanitair2[[#This Row],[Kosten/jaar excl. BTW]]*1.21</f>
        <v>0</v>
      </c>
      <c r="M22" s="105"/>
    </row>
    <row r="23" spans="1:13" ht="15" customHeight="1">
      <c r="A23" s="115">
        <v>1</v>
      </c>
      <c r="B23" s="116" t="str">
        <f>VLOOKUP(Sanitair2[[#This Row],[Code Locatie]],Locatie!$A$1:$B$2,2,0)</f>
        <v>Opvanglocatie</v>
      </c>
      <c r="C23" s="115">
        <v>6</v>
      </c>
      <c r="D23" s="117" t="str">
        <f t="shared" si="0"/>
        <v>Luchtverfrisser</v>
      </c>
      <c r="E23" s="119">
        <v>400</v>
      </c>
      <c r="F23" s="166" t="s">
        <v>393</v>
      </c>
      <c r="G23" s="119"/>
      <c r="H23" s="120">
        <f>VLOOKUP(Sanitair2[[#This Row],[Code Taak]],Sanitair[],3,3)*E23</f>
        <v>0</v>
      </c>
      <c r="I23" s="133">
        <f>Sanitair2[[#This Row],[Kosten/jaar excl. BTW]]*1.21</f>
        <v>0</v>
      </c>
      <c r="M23" s="105"/>
    </row>
    <row r="24" spans="1:13" ht="15" customHeight="1">
      <c r="A24" s="115">
        <v>1</v>
      </c>
      <c r="B24" s="116" t="str">
        <f>VLOOKUP(Sanitair2[[#This Row],[Code Locatie]],Locatie!$A$1:$B$2,2,0)</f>
        <v>Opvanglocatie</v>
      </c>
      <c r="C24" s="115">
        <v>7</v>
      </c>
      <c r="D24" s="117" t="str">
        <f t="shared" si="0"/>
        <v>Toiletborstel - Optioneel</v>
      </c>
      <c r="E24" s="119">
        <v>500</v>
      </c>
      <c r="F24" s="166" t="s">
        <v>400</v>
      </c>
      <c r="G24" s="119"/>
      <c r="H24" s="120">
        <f>VLOOKUP(Sanitair2[[#This Row],[Code Taak]],Sanitair[],3,3)*E24</f>
        <v>0</v>
      </c>
      <c r="I24" s="133">
        <f>Sanitair2[[#This Row],[Kosten/jaar excl. BTW]]*1.21</f>
        <v>0</v>
      </c>
      <c r="M24" s="105"/>
    </row>
    <row r="25" spans="1:13" ht="16.899999999999999" customHeight="1">
      <c r="A25" s="109"/>
      <c r="B25" s="110" t="s">
        <v>10</v>
      </c>
      <c r="C25" s="109"/>
      <c r="D25" s="111"/>
      <c r="E25" s="112"/>
      <c r="F25" s="112"/>
      <c r="G25" s="112"/>
      <c r="H25" s="113">
        <f>SUBTOTAL(109,Sanitair2[Kosten/jaar excl. BTW])</f>
        <v>0</v>
      </c>
      <c r="I25" s="113">
        <f>SUBTOTAL(109,Sanitair2[Kosten/jaar incl BTW])</f>
        <v>0</v>
      </c>
    </row>
    <row r="26" spans="1:13" ht="15" customHeight="1">
      <c r="A26" s="30"/>
      <c r="C26" s="28"/>
      <c r="D26" s="28"/>
      <c r="E26" s="28"/>
      <c r="F26" s="81"/>
      <c r="G26" s="34"/>
      <c r="H26" s="29"/>
    </row>
    <row r="27" spans="1:13" ht="15" customHeight="1"/>
    <row r="28" spans="1:13" ht="15" customHeight="1"/>
    <row r="29" spans="1:13" ht="15" customHeight="1"/>
    <row r="30" spans="1:13" ht="15" customHeight="1"/>
    <row r="31" spans="1:13" ht="15" customHeight="1"/>
    <row r="32" spans="1:13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mergeCells count="3">
    <mergeCell ref="E7:I7"/>
    <mergeCell ref="A2:I2"/>
    <mergeCell ref="A1:I1"/>
  </mergeCells>
  <pageMargins left="0.7" right="0.7" top="0.75" bottom="0.75" header="0.3" footer="0.3"/>
  <tableParts count="2">
    <tablePart r:id="rId1"/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>
    <tabColor theme="0" tint="-0.14999847407452621"/>
    <pageSetUpPr fitToPage="1"/>
  </sheetPr>
  <dimension ref="A1:I79"/>
  <sheetViews>
    <sheetView showGridLines="0" view="pageBreakPreview" zoomScaleNormal="100" zoomScaleSheetLayoutView="100" workbookViewId="0">
      <selection activeCell="D8" sqref="D8"/>
    </sheetView>
  </sheetViews>
  <sheetFormatPr defaultColWidth="9.140625" defaultRowHeight="15" customHeight="1"/>
  <cols>
    <col min="1" max="1" width="11.5703125" style="17" customWidth="1"/>
    <col min="2" max="2" width="47.42578125" style="3" bestFit="1" customWidth="1"/>
    <col min="3" max="3" width="12.5703125" style="3" customWidth="1"/>
    <col min="4" max="4" width="52.140625" style="17" bestFit="1" customWidth="1"/>
    <col min="5" max="5" width="19" style="3" customWidth="1"/>
    <col min="6" max="6" width="15.28515625" style="3" customWidth="1"/>
    <col min="7" max="7" width="21" style="3" customWidth="1"/>
    <col min="8" max="8" width="17.5703125" style="3" customWidth="1"/>
    <col min="9" max="9" width="17.7109375" style="3" bestFit="1" customWidth="1"/>
    <col min="10" max="16384" width="9.140625" style="3"/>
  </cols>
  <sheetData>
    <row r="1" spans="1:9" s="5" customFormat="1" ht="26.25" customHeight="1">
      <c r="A1" s="253" t="s">
        <v>13</v>
      </c>
      <c r="B1" s="253"/>
      <c r="C1" s="253"/>
      <c r="D1" s="253"/>
      <c r="E1" s="253"/>
      <c r="F1" s="253"/>
      <c r="G1" s="253"/>
      <c r="H1" s="50"/>
    </row>
    <row r="2" spans="1:9" s="5" customFormat="1" ht="15" customHeight="1">
      <c r="A2" s="284" t="s">
        <v>123</v>
      </c>
      <c r="B2" s="291"/>
      <c r="C2" s="291"/>
      <c r="D2" s="291"/>
      <c r="E2" s="291"/>
      <c r="F2" s="291"/>
      <c r="G2" s="292"/>
    </row>
    <row r="3" spans="1:9" ht="15" customHeight="1">
      <c r="B3" s="17"/>
      <c r="D3" s="141"/>
      <c r="E3" s="142"/>
    </row>
    <row r="4" spans="1:9" ht="15" customHeight="1">
      <c r="A4" s="3" t="s">
        <v>91</v>
      </c>
      <c r="B4" s="17"/>
      <c r="D4" s="141"/>
      <c r="E4" s="141"/>
    </row>
    <row r="5" spans="1:9" ht="15" customHeight="1">
      <c r="A5" s="3" t="s">
        <v>142</v>
      </c>
      <c r="B5" s="17"/>
      <c r="D5" s="3"/>
    </row>
    <row r="6" spans="1:9" ht="15" customHeight="1">
      <c r="A6" s="3" t="s">
        <v>109</v>
      </c>
      <c r="B6" s="31"/>
      <c r="C6" s="31"/>
      <c r="D6" s="27"/>
      <c r="E6" s="27"/>
      <c r="F6" s="32"/>
      <c r="G6" s="32"/>
    </row>
    <row r="7" spans="1:9" ht="15" customHeight="1">
      <c r="A7" s="3"/>
      <c r="B7" s="31"/>
      <c r="C7" s="31"/>
      <c r="D7" s="27"/>
      <c r="E7" s="287" t="s">
        <v>157</v>
      </c>
      <c r="F7" s="287"/>
      <c r="G7" s="287"/>
      <c r="H7" s="287"/>
      <c r="I7" s="287"/>
    </row>
    <row r="8" spans="1:9" s="4" customFormat="1" ht="26.25" customHeight="1">
      <c r="A8" s="37" t="s">
        <v>121</v>
      </c>
      <c r="B8" s="38" t="s">
        <v>69</v>
      </c>
      <c r="C8" s="39" t="s">
        <v>90</v>
      </c>
      <c r="D8" s="37" t="s">
        <v>73</v>
      </c>
      <c r="E8" s="37" t="s">
        <v>174</v>
      </c>
      <c r="F8" s="37" t="s">
        <v>175</v>
      </c>
      <c r="G8" s="37" t="s">
        <v>176</v>
      </c>
      <c r="H8" s="37" t="s">
        <v>178</v>
      </c>
      <c r="I8" s="37" t="s">
        <v>202</v>
      </c>
    </row>
    <row r="9" spans="1:9" ht="15" customHeight="1">
      <c r="A9" s="115">
        <v>1</v>
      </c>
      <c r="B9" s="136" t="s">
        <v>137</v>
      </c>
      <c r="C9" s="41">
        <v>0</v>
      </c>
      <c r="D9" s="116" t="s">
        <v>71</v>
      </c>
      <c r="E9" s="124">
        <f>(InvulGlas[[#This Row],[Prijs excl. BTW]]*Tariefsopbouw!$I$37)+InvulGlas[[#This Row],[Prijs excl. BTW]]</f>
        <v>0</v>
      </c>
      <c r="F9" s="124">
        <f>E9*Tariefsopbouw!$K$37+Glasbewassing!E9</f>
        <v>0</v>
      </c>
      <c r="G9" s="124">
        <f>F9*Tariefsopbouw!$M$37+Glasbewassing!F9</f>
        <v>0</v>
      </c>
      <c r="H9" s="124">
        <f>G9*Tariefsopbouw!$O$37+Glasbewassing!G9</f>
        <v>0</v>
      </c>
      <c r="I9" s="124">
        <f>H9*Tariefsopbouw!$Q$37+Glasbewassing!H9</f>
        <v>0</v>
      </c>
    </row>
    <row r="10" spans="1:9" ht="15" customHeight="1">
      <c r="A10" s="115">
        <v>2</v>
      </c>
      <c r="B10" s="137" t="s">
        <v>379</v>
      </c>
      <c r="C10" s="41">
        <v>0</v>
      </c>
      <c r="D10" s="116" t="s">
        <v>71</v>
      </c>
      <c r="E10" s="124">
        <f>(InvulGlas[[#This Row],[Prijs excl. BTW]]*Tariefsopbouw!$I$37)+InvulGlas[[#This Row],[Prijs excl. BTW]]</f>
        <v>0</v>
      </c>
      <c r="F10" s="124">
        <f>E10*Tariefsopbouw!$K$37+Glasbewassing!E10</f>
        <v>0</v>
      </c>
      <c r="G10" s="124">
        <f>F10*Tariefsopbouw!$M$37+Glasbewassing!F10</f>
        <v>0</v>
      </c>
      <c r="H10" s="124">
        <f>G10*Tariefsopbouw!$O$37+Glasbewassing!G10</f>
        <v>0</v>
      </c>
      <c r="I10" s="124">
        <f>H10*Tariefsopbouw!$Q$37+Glasbewassing!H10</f>
        <v>0</v>
      </c>
    </row>
    <row r="11" spans="1:9" ht="15" customHeight="1">
      <c r="A11" s="115">
        <v>3</v>
      </c>
      <c r="B11" s="136" t="s">
        <v>72</v>
      </c>
      <c r="C11" s="41">
        <v>0</v>
      </c>
      <c r="D11" s="122" t="s">
        <v>71</v>
      </c>
      <c r="E11" s="124">
        <f>(InvulGlas[[#This Row],[Prijs excl. BTW]]*Tariefsopbouw!$I$37)+InvulGlas[[#This Row],[Prijs excl. BTW]]</f>
        <v>0</v>
      </c>
      <c r="F11" s="124">
        <f>E11*Tariefsopbouw!$K$37+Glasbewassing!E11</f>
        <v>0</v>
      </c>
      <c r="G11" s="124">
        <f>F11*Tariefsopbouw!$M$37+Glasbewassing!F11</f>
        <v>0</v>
      </c>
      <c r="H11" s="124">
        <f>G11*Tariefsopbouw!$O$37+Glasbewassing!G11</f>
        <v>0</v>
      </c>
      <c r="I11" s="124">
        <f>H11*Tariefsopbouw!$Q$37+Glasbewassing!H11</f>
        <v>0</v>
      </c>
    </row>
    <row r="12" spans="1:9" ht="15" customHeight="1">
      <c r="A12" s="115">
        <v>4</v>
      </c>
      <c r="B12" s="137" t="s">
        <v>177</v>
      </c>
      <c r="C12" s="41">
        <v>0</v>
      </c>
      <c r="D12" s="116" t="s">
        <v>71</v>
      </c>
      <c r="E12" s="124">
        <f>(InvulGlas[[#This Row],[Prijs excl. BTW]]*Tariefsopbouw!$I$37)+InvulGlas[[#This Row],[Prijs excl. BTW]]</f>
        <v>0</v>
      </c>
      <c r="F12" s="124">
        <f>E12*Tariefsopbouw!$K$37+Glasbewassing!E12</f>
        <v>0</v>
      </c>
      <c r="G12" s="124">
        <f>F12*Tariefsopbouw!$M$37+Glasbewassing!F12</f>
        <v>0</v>
      </c>
      <c r="H12" s="124">
        <f>G12*Tariefsopbouw!$O$37+Glasbewassing!G12</f>
        <v>0</v>
      </c>
      <c r="I12" s="124">
        <f>H12*Tariefsopbouw!$Q$37+Glasbewassing!H12</f>
        <v>0</v>
      </c>
    </row>
    <row r="13" spans="1:9" ht="15" customHeight="1">
      <c r="A13" s="115" t="s">
        <v>77</v>
      </c>
      <c r="B13" s="136" t="s">
        <v>75</v>
      </c>
      <c r="C13" s="41">
        <v>0</v>
      </c>
      <c r="D13" s="116" t="s">
        <v>20</v>
      </c>
      <c r="E13" s="124">
        <f>(InvulGlas[[#This Row],[Prijs excl. BTW]]*Tariefsopbouw!$I$37)+InvulGlas[[#This Row],[Prijs excl. BTW]]</f>
        <v>0</v>
      </c>
      <c r="F13" s="124">
        <f>E13*Tariefsopbouw!$K$37+Glasbewassing!E13</f>
        <v>0</v>
      </c>
      <c r="G13" s="124">
        <f>F13*Tariefsopbouw!$M$37+Glasbewassing!F13</f>
        <v>0</v>
      </c>
      <c r="H13" s="124">
        <f>G13*Tariefsopbouw!$O$37+Glasbewassing!G13</f>
        <v>0</v>
      </c>
      <c r="I13" s="124">
        <f>H13*Tariefsopbouw!$Q$37+Glasbewassing!H13</f>
        <v>0</v>
      </c>
    </row>
    <row r="14" spans="1:9" ht="15" customHeight="1">
      <c r="C14" s="28"/>
      <c r="D14" s="28"/>
    </row>
    <row r="15" spans="1:9" s="45" customFormat="1" ht="26.25" customHeight="1">
      <c r="A15" s="46" t="s">
        <v>119</v>
      </c>
      <c r="B15" s="46" t="s">
        <v>68</v>
      </c>
      <c r="C15" s="46" t="s">
        <v>121</v>
      </c>
      <c r="D15" s="47" t="s">
        <v>69</v>
      </c>
      <c r="E15" s="47" t="s">
        <v>76</v>
      </c>
      <c r="F15" s="47" t="s">
        <v>65</v>
      </c>
      <c r="G15" s="48" t="s">
        <v>70</v>
      </c>
      <c r="H15" s="129" t="s">
        <v>181</v>
      </c>
    </row>
    <row r="16" spans="1:9" ht="15" customHeight="1">
      <c r="A16" s="115">
        <v>1</v>
      </c>
      <c r="B16" s="164" t="str">
        <f>VLOOKUP(OverzichtGlas[[#This Row],[Code Locatie]],Totalisatie!$A$7:$B$7,2,FALSE)</f>
        <v>Opvanglocatie</v>
      </c>
      <c r="C16" s="115">
        <v>1</v>
      </c>
      <c r="D16" s="117" t="str">
        <f>IF(Glasbewassing!$C16&gt;0,VLOOKUP(Glasbewassing!$C16,$A$8:$B$13,2,FALSE),"Hier vult u de inzet van eventuele hoogwerkers in")</f>
        <v>Gevelglas binnenzijde</v>
      </c>
      <c r="E16" s="17">
        <v>2504</v>
      </c>
      <c r="F16" s="118">
        <v>2</v>
      </c>
      <c r="G16" s="120">
        <f>IF(C16&gt;0,VLOOKUP(OverzichtGlas[[#This Row],[Code taak]],InvulGlas[],3,0)*E16*F16,0)</f>
        <v>0</v>
      </c>
      <c r="H16" s="127">
        <f>OverzichtGlas[[#This Row],[Kosten/jaar excl. BTW]]*1.21</f>
        <v>0</v>
      </c>
    </row>
    <row r="17" spans="1:8" ht="15" customHeight="1">
      <c r="A17" s="115">
        <v>1</v>
      </c>
      <c r="B17" s="164" t="str">
        <f>VLOOKUP(OverzichtGlas[[#This Row],[Code Locatie]],Totalisatie!$A$7:$B$7,2,FALSE)</f>
        <v>Opvanglocatie</v>
      </c>
      <c r="C17" s="115">
        <v>2</v>
      </c>
      <c r="D17" s="117" t="str">
        <f>IF(Glasbewassing!$C17&gt;0,VLOOKUP(Glasbewassing!$C17,$A$8:$B$13,2,FALSE),"Hier vult u de inzet van eventuele hoogwerkers in")</f>
        <v>Gevelglas buitenzijde begena grond</v>
      </c>
      <c r="E17" s="17">
        <v>650</v>
      </c>
      <c r="F17" s="118">
        <v>2</v>
      </c>
      <c r="G17" s="120">
        <f>IF(C17&gt;0,VLOOKUP(OverzichtGlas[[#This Row],[Code taak]],InvulGlas[],3,0)*E17*F17,0)</f>
        <v>0</v>
      </c>
      <c r="H17" s="127">
        <f>OverzichtGlas[[#This Row],[Kosten/jaar excl. BTW]]*1.21</f>
        <v>0</v>
      </c>
    </row>
    <row r="18" spans="1:8" ht="15" customHeight="1">
      <c r="A18" s="115">
        <v>1</v>
      </c>
      <c r="B18" s="164" t="str">
        <f>VLOOKUP(OverzichtGlas[[#This Row],[Code Locatie]],Totalisatie!$A$7:$B$7,2,FALSE)</f>
        <v>Opvanglocatie</v>
      </c>
      <c r="C18" s="115">
        <v>3</v>
      </c>
      <c r="D18" s="117" t="str">
        <f>IF(Glasbewassing!$C18&gt;0,VLOOKUP(Glasbewassing!$C18,$A$8:$B$13,2,FALSE),"Hier vult u de inzet van eventuele hoogwerkers in")</f>
        <v>Separatieglas (enkel gemeten, dubbel te wassen)</v>
      </c>
      <c r="E18" s="17">
        <v>1088</v>
      </c>
      <c r="F18" s="118">
        <v>2</v>
      </c>
      <c r="G18" s="120">
        <f>IF(C18&gt;0,VLOOKUP(OverzichtGlas[[#This Row],[Code taak]],InvulGlas[],3,0)*E18*F18,0)</f>
        <v>0</v>
      </c>
      <c r="H18" s="127">
        <f>OverzichtGlas[[#This Row],[Kosten/jaar excl. BTW]]*1.21</f>
        <v>0</v>
      </c>
    </row>
    <row r="19" spans="1:8" ht="15" customHeight="1">
      <c r="A19" s="128" t="s">
        <v>10</v>
      </c>
      <c r="B19" s="130"/>
      <c r="C19" s="128"/>
      <c r="D19" s="131"/>
      <c r="E19" s="128"/>
      <c r="F19" s="128"/>
      <c r="G19" s="132">
        <f>SUBTOTAL(109,OverzichtGlas[Kosten/jaar excl. BTW])</f>
        <v>0</v>
      </c>
      <c r="H19" s="132">
        <f>SUBTOTAL(109,OverzichtGlas[Kosten/jaar incl. BTW])</f>
        <v>0</v>
      </c>
    </row>
    <row r="20" spans="1:8" ht="15" customHeight="1">
      <c r="C20" s="17"/>
      <c r="D20" s="3"/>
    </row>
    <row r="21" spans="1:8" ht="15" customHeight="1">
      <c r="C21" s="17"/>
      <c r="D21" s="3"/>
    </row>
    <row r="22" spans="1:8" ht="15" customHeight="1">
      <c r="C22" s="17"/>
      <c r="D22" s="3"/>
    </row>
    <row r="23" spans="1:8" ht="15" customHeight="1">
      <c r="C23" s="17"/>
      <c r="D23" s="3"/>
    </row>
    <row r="24" spans="1:8" ht="15" customHeight="1">
      <c r="C24" s="17"/>
      <c r="D24" s="3"/>
    </row>
    <row r="25" spans="1:8" ht="15" customHeight="1">
      <c r="C25" s="17"/>
      <c r="D25" s="3"/>
    </row>
    <row r="26" spans="1:8" ht="15" customHeight="1">
      <c r="C26" s="17"/>
      <c r="D26" s="3"/>
    </row>
    <row r="27" spans="1:8" ht="15" customHeight="1">
      <c r="C27" s="17"/>
      <c r="D27" s="3"/>
    </row>
    <row r="28" spans="1:8" ht="15" customHeight="1">
      <c r="C28" s="17"/>
      <c r="D28" s="3"/>
    </row>
    <row r="29" spans="1:8" ht="15" customHeight="1">
      <c r="C29" s="17"/>
      <c r="D29" s="3"/>
    </row>
    <row r="30" spans="1:8" ht="15" customHeight="1">
      <c r="C30" s="17"/>
      <c r="D30" s="3"/>
    </row>
    <row r="31" spans="1:8" ht="15" customHeight="1">
      <c r="C31" s="17"/>
      <c r="D31" s="3"/>
    </row>
    <row r="32" spans="1:8" ht="15" customHeight="1">
      <c r="C32" s="17"/>
      <c r="D32" s="3"/>
    </row>
    <row r="33" spans="3:4" ht="15" customHeight="1">
      <c r="C33" s="17"/>
      <c r="D33" s="3"/>
    </row>
    <row r="34" spans="3:4" ht="15" customHeight="1">
      <c r="C34" s="17"/>
      <c r="D34" s="3"/>
    </row>
    <row r="35" spans="3:4" ht="15" customHeight="1">
      <c r="C35" s="17"/>
      <c r="D35" s="3"/>
    </row>
    <row r="36" spans="3:4" ht="15" customHeight="1">
      <c r="C36" s="17"/>
      <c r="D36" s="3"/>
    </row>
    <row r="37" spans="3:4" ht="15" customHeight="1">
      <c r="C37" s="17"/>
      <c r="D37" s="3"/>
    </row>
    <row r="38" spans="3:4" ht="15" customHeight="1">
      <c r="C38" s="17"/>
      <c r="D38" s="3"/>
    </row>
    <row r="39" spans="3:4" ht="15" customHeight="1">
      <c r="C39" s="17"/>
      <c r="D39" s="3"/>
    </row>
    <row r="40" spans="3:4" ht="15" customHeight="1">
      <c r="C40" s="17"/>
      <c r="D40" s="3"/>
    </row>
    <row r="41" spans="3:4" ht="15" customHeight="1">
      <c r="C41" s="17"/>
      <c r="D41" s="3"/>
    </row>
    <row r="42" spans="3:4" ht="15" customHeight="1">
      <c r="C42" s="17"/>
      <c r="D42" s="3"/>
    </row>
    <row r="43" spans="3:4" ht="15" customHeight="1">
      <c r="C43" s="17"/>
      <c r="D43" s="3"/>
    </row>
    <row r="44" spans="3:4" ht="15" customHeight="1">
      <c r="C44" s="17"/>
      <c r="D44" s="3"/>
    </row>
    <row r="45" spans="3:4" ht="15" customHeight="1">
      <c r="C45" s="17"/>
      <c r="D45" s="3"/>
    </row>
    <row r="46" spans="3:4" ht="15" customHeight="1">
      <c r="C46" s="17"/>
      <c r="D46" s="3"/>
    </row>
    <row r="47" spans="3:4" ht="15" customHeight="1">
      <c r="C47" s="17"/>
      <c r="D47" s="3"/>
    </row>
    <row r="48" spans="3:4" ht="15" customHeight="1">
      <c r="C48" s="17"/>
      <c r="D48" s="3"/>
    </row>
    <row r="49" spans="3:4" ht="15" customHeight="1">
      <c r="C49" s="17"/>
      <c r="D49" s="3"/>
    </row>
    <row r="50" spans="3:4" ht="15" customHeight="1">
      <c r="C50" s="17"/>
      <c r="D50" s="3"/>
    </row>
    <row r="51" spans="3:4" ht="15" customHeight="1">
      <c r="C51" s="17"/>
      <c r="D51" s="3"/>
    </row>
    <row r="52" spans="3:4" ht="15" customHeight="1">
      <c r="C52" s="17"/>
      <c r="D52" s="3"/>
    </row>
    <row r="53" spans="3:4" ht="15" customHeight="1">
      <c r="C53" s="17"/>
      <c r="D53" s="3"/>
    </row>
    <row r="54" spans="3:4" ht="15" customHeight="1">
      <c r="C54" s="17"/>
      <c r="D54" s="3"/>
    </row>
    <row r="55" spans="3:4" ht="15" customHeight="1">
      <c r="C55" s="17"/>
      <c r="D55" s="3"/>
    </row>
    <row r="56" spans="3:4" ht="15" customHeight="1">
      <c r="C56" s="17"/>
      <c r="D56" s="3"/>
    </row>
    <row r="57" spans="3:4" ht="15" customHeight="1">
      <c r="C57" s="17"/>
      <c r="D57" s="3"/>
    </row>
    <row r="58" spans="3:4" ht="15" customHeight="1">
      <c r="C58" s="17"/>
      <c r="D58" s="3"/>
    </row>
    <row r="59" spans="3:4" ht="15" customHeight="1">
      <c r="C59" s="17"/>
      <c r="D59" s="3"/>
    </row>
    <row r="60" spans="3:4" ht="15" customHeight="1">
      <c r="C60" s="17"/>
      <c r="D60" s="3"/>
    </row>
    <row r="61" spans="3:4" ht="15" customHeight="1">
      <c r="C61" s="17"/>
      <c r="D61" s="3"/>
    </row>
    <row r="62" spans="3:4" ht="15" customHeight="1">
      <c r="C62" s="17"/>
      <c r="D62" s="3"/>
    </row>
    <row r="63" spans="3:4" ht="15" customHeight="1">
      <c r="C63" s="17"/>
      <c r="D63" s="3"/>
    </row>
    <row r="64" spans="3:4" ht="15" customHeight="1">
      <c r="C64" s="17"/>
      <c r="D64" s="3"/>
    </row>
    <row r="65" spans="3:4" ht="15" customHeight="1">
      <c r="C65" s="17"/>
      <c r="D65" s="3"/>
    </row>
    <row r="66" spans="3:4" ht="15" customHeight="1">
      <c r="C66" s="17"/>
      <c r="D66" s="3"/>
    </row>
    <row r="67" spans="3:4" ht="15" customHeight="1">
      <c r="C67" s="17"/>
      <c r="D67" s="3"/>
    </row>
    <row r="68" spans="3:4" ht="15" customHeight="1">
      <c r="C68" s="17"/>
      <c r="D68" s="3"/>
    </row>
    <row r="69" spans="3:4" ht="15" customHeight="1">
      <c r="C69" s="17"/>
      <c r="D69" s="3"/>
    </row>
    <row r="70" spans="3:4" ht="15" customHeight="1">
      <c r="C70" s="17"/>
      <c r="D70" s="3"/>
    </row>
    <row r="71" spans="3:4" ht="15" customHeight="1">
      <c r="C71" s="17"/>
      <c r="D71" s="3"/>
    </row>
    <row r="72" spans="3:4" ht="15" customHeight="1">
      <c r="C72" s="17"/>
      <c r="D72" s="3"/>
    </row>
    <row r="73" spans="3:4" ht="15" customHeight="1">
      <c r="C73" s="17"/>
      <c r="D73" s="3"/>
    </row>
    <row r="74" spans="3:4" ht="15" customHeight="1">
      <c r="C74" s="17"/>
      <c r="D74" s="3"/>
    </row>
    <row r="75" spans="3:4" ht="15" customHeight="1">
      <c r="C75" s="17"/>
      <c r="D75" s="3"/>
    </row>
    <row r="76" spans="3:4" ht="15" customHeight="1">
      <c r="C76" s="17"/>
      <c r="D76" s="3"/>
    </row>
    <row r="77" spans="3:4" ht="15" customHeight="1">
      <c r="C77" s="17"/>
      <c r="D77" s="3"/>
    </row>
    <row r="78" spans="3:4" ht="15" customHeight="1">
      <c r="C78" s="17"/>
      <c r="D78" s="3"/>
    </row>
    <row r="79" spans="3:4" ht="15" customHeight="1">
      <c r="C79" s="17"/>
      <c r="D79" s="3"/>
    </row>
  </sheetData>
  <mergeCells count="3">
    <mergeCell ref="A2:G2"/>
    <mergeCell ref="A1:G1"/>
    <mergeCell ref="E7:I7"/>
  </mergeCells>
  <phoneticPr fontId="19" type="noConversion"/>
  <pageMargins left="0.70866141732283472" right="0.70866141732283472" top="0.35433070866141736" bottom="0.47244094488188981" header="0.31496062992125984" footer="0.31496062992125984"/>
  <pageSetup paperSize="9" scale="41" orientation="portrait" r:id="rId1"/>
  <headerFooter alignWithMargins="0">
    <oddFooter>&amp;L&amp;F&amp;C&amp;D&amp;R&amp;A</oddFooter>
  </headerFooter>
  <tableParts count="2">
    <tablePart r:id="rId2"/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6">
    <tabColor theme="0" tint="-0.14999847407452621"/>
    <pageSetUpPr fitToPage="1"/>
  </sheetPr>
  <dimension ref="A1:I79"/>
  <sheetViews>
    <sheetView tabSelected="1" view="pageBreakPreview" zoomScaleNormal="100" zoomScaleSheetLayoutView="100" workbookViewId="0">
      <selection activeCell="F20" sqref="F20"/>
    </sheetView>
  </sheetViews>
  <sheetFormatPr defaultColWidth="9.140625" defaultRowHeight="18.75" customHeight="1"/>
  <cols>
    <col min="1" max="1" width="9.140625" style="49"/>
    <col min="2" max="2" width="66.42578125" style="1" customWidth="1"/>
    <col min="3" max="3" width="23.42578125" style="1" customWidth="1"/>
    <col min="4" max="4" width="15.140625" style="1" customWidth="1"/>
    <col min="5" max="9" width="17.7109375" style="1" bestFit="1" customWidth="1"/>
    <col min="10" max="16384" width="9.140625" style="1"/>
  </cols>
  <sheetData>
    <row r="1" spans="1:9" s="5" customFormat="1" ht="26.25" customHeight="1">
      <c r="A1" s="283" t="s">
        <v>92</v>
      </c>
      <c r="B1" s="283"/>
      <c r="C1" s="283"/>
      <c r="D1" s="283"/>
      <c r="E1" s="283"/>
      <c r="F1" s="283"/>
      <c r="G1" s="283"/>
      <c r="H1" s="283"/>
      <c r="I1" s="283"/>
    </row>
    <row r="2" spans="1:9" s="5" customFormat="1" ht="18.75" customHeight="1">
      <c r="A2" s="296" t="s">
        <v>123</v>
      </c>
      <c r="B2" s="291"/>
      <c r="C2" s="291"/>
      <c r="D2" s="291"/>
      <c r="E2" s="291"/>
      <c r="F2" s="291"/>
      <c r="G2" s="291"/>
      <c r="H2" s="291"/>
      <c r="I2" s="292"/>
    </row>
    <row r="3" spans="1:9" s="56" customFormat="1" ht="18.75" customHeight="1">
      <c r="A3" s="55"/>
    </row>
    <row r="4" spans="1:9" s="56" customFormat="1" ht="18.75" customHeight="1">
      <c r="A4" s="56" t="s">
        <v>91</v>
      </c>
    </row>
    <row r="5" spans="1:9" s="56" customFormat="1" ht="18.75" customHeight="1">
      <c r="A5" s="56" t="s">
        <v>93</v>
      </c>
    </row>
    <row r="6" spans="1:9" s="56" customFormat="1" ht="18.75" customHeight="1">
      <c r="A6" s="56" t="s">
        <v>135</v>
      </c>
    </row>
    <row r="7" spans="1:9" s="56" customFormat="1" ht="18.75" customHeight="1">
      <c r="A7" s="55"/>
      <c r="E7" s="300" t="s">
        <v>157</v>
      </c>
      <c r="F7" s="300"/>
      <c r="G7" s="300"/>
      <c r="H7" s="300"/>
      <c r="I7" s="300"/>
    </row>
    <row r="8" spans="1:9" s="25" customFormat="1" ht="26.25" customHeight="1" thickBot="1">
      <c r="A8" s="53"/>
      <c r="B8" s="52" t="s">
        <v>94</v>
      </c>
      <c r="C8" s="52" t="s">
        <v>73</v>
      </c>
      <c r="D8" s="26" t="s">
        <v>90</v>
      </c>
      <c r="E8" s="198" t="s">
        <v>174</v>
      </c>
      <c r="F8" s="162" t="s">
        <v>175</v>
      </c>
      <c r="G8" s="162" t="s">
        <v>176</v>
      </c>
      <c r="H8" s="162" t="s">
        <v>178</v>
      </c>
      <c r="I8" s="163" t="s">
        <v>202</v>
      </c>
    </row>
    <row r="9" spans="1:9" ht="23.25" thickTop="1">
      <c r="A9" s="293" t="s">
        <v>108</v>
      </c>
      <c r="B9" s="52" t="s">
        <v>96</v>
      </c>
      <c r="C9" s="52" t="s">
        <v>95</v>
      </c>
      <c r="D9" s="54">
        <v>0</v>
      </c>
      <c r="E9" s="199">
        <f>InvulRegie[[#This Row],[Prijs excl. BTW]]*Tariefsopbouw!$I$37+InvulRegie[[#This Row],[Prijs excl. BTW]]</f>
        <v>0</v>
      </c>
      <c r="F9" s="197">
        <f>E9*Tariefsopbouw!$K$37+'Regie en afroep'!E9</f>
        <v>0</v>
      </c>
      <c r="G9" s="197">
        <f>F9*Tariefsopbouw!$M$37+'Regie en afroep'!F9</f>
        <v>0</v>
      </c>
      <c r="H9" s="197">
        <f>G9*Tariefsopbouw!$O$37+'Regie en afroep'!G9</f>
        <v>0</v>
      </c>
      <c r="I9" s="197">
        <f>H9*Tariefsopbouw!$Q$37+H9</f>
        <v>0</v>
      </c>
    </row>
    <row r="10" spans="1:9" ht="18.75" customHeight="1">
      <c r="A10" s="294"/>
      <c r="B10" s="52" t="s">
        <v>97</v>
      </c>
      <c r="C10" s="52" t="s">
        <v>95</v>
      </c>
      <c r="D10" s="54">
        <v>0</v>
      </c>
      <c r="E10" s="199">
        <f>InvulRegie[[#This Row],[Prijs excl. BTW]]*Tariefsopbouw!$I$37+InvulRegie[[#This Row],[Prijs excl. BTW]]</f>
        <v>0</v>
      </c>
      <c r="F10" s="197">
        <f>E10*Tariefsopbouw!$K$37+'Regie en afroep'!E10</f>
        <v>0</v>
      </c>
      <c r="G10" s="197">
        <f>F10*Tariefsopbouw!$M$37+'Regie en afroep'!F10</f>
        <v>0</v>
      </c>
      <c r="H10" s="197">
        <f>G10*Tariefsopbouw!$O$37+'Regie en afroep'!G10</f>
        <v>0</v>
      </c>
      <c r="I10" s="197">
        <f>H10*Tariefsopbouw!$Q$37+H10</f>
        <v>0</v>
      </c>
    </row>
    <row r="11" spans="1:9" ht="18.75" customHeight="1">
      <c r="A11" s="294"/>
      <c r="B11" s="51" t="s">
        <v>98</v>
      </c>
      <c r="C11" s="52" t="s">
        <v>95</v>
      </c>
      <c r="D11" s="54">
        <v>0</v>
      </c>
      <c r="E11" s="199">
        <f>InvulRegie[[#This Row],[Prijs excl. BTW]]*Tariefsopbouw!$I$37+InvulRegie[[#This Row],[Prijs excl. BTW]]</f>
        <v>0</v>
      </c>
      <c r="F11" s="197">
        <f>E11*Tariefsopbouw!$K$37+'Regie en afroep'!E11</f>
        <v>0</v>
      </c>
      <c r="G11" s="197">
        <f>F11*Tariefsopbouw!$M$37+'Regie en afroep'!F11</f>
        <v>0</v>
      </c>
      <c r="H11" s="197">
        <f>G11*Tariefsopbouw!$O$37+'Regie en afroep'!G11</f>
        <v>0</v>
      </c>
      <c r="I11" s="197">
        <f>H11*Tariefsopbouw!$Q$37+H11</f>
        <v>0</v>
      </c>
    </row>
    <row r="12" spans="1:9" ht="18.75" customHeight="1">
      <c r="A12" s="294"/>
      <c r="B12" s="51" t="s">
        <v>115</v>
      </c>
      <c r="C12" s="52" t="s">
        <v>95</v>
      </c>
      <c r="D12" s="54">
        <v>0</v>
      </c>
      <c r="E12" s="199">
        <f>InvulRegie[[#This Row],[Prijs excl. BTW]]*Tariefsopbouw!$I$37+InvulRegie[[#This Row],[Prijs excl. BTW]]</f>
        <v>0</v>
      </c>
      <c r="F12" s="197">
        <f>E12*Tariefsopbouw!$K$37+'Regie en afroep'!E12</f>
        <v>0</v>
      </c>
      <c r="G12" s="197">
        <f>F12*Tariefsopbouw!$M$37+'Regie en afroep'!F12</f>
        <v>0</v>
      </c>
      <c r="H12" s="197">
        <f>G12*Tariefsopbouw!$O$37+'Regie en afroep'!G12</f>
        <v>0</v>
      </c>
      <c r="I12" s="197">
        <f>H12*Tariefsopbouw!$Q$37+H12</f>
        <v>0</v>
      </c>
    </row>
    <row r="13" spans="1:9" ht="18.75" customHeight="1">
      <c r="A13" s="295"/>
      <c r="B13" s="52" t="s">
        <v>104</v>
      </c>
      <c r="C13" s="52" t="s">
        <v>95</v>
      </c>
      <c r="D13" s="54">
        <v>0</v>
      </c>
      <c r="E13" s="199">
        <f>InvulRegie[[#This Row],[Prijs excl. BTW]]*Tariefsopbouw!$I$37+InvulRegie[[#This Row],[Prijs excl. BTW]]</f>
        <v>0</v>
      </c>
      <c r="F13" s="197">
        <f>E13*Tariefsopbouw!$K$37+'Regie en afroep'!E13</f>
        <v>0</v>
      </c>
      <c r="G13" s="197">
        <f>F13*Tariefsopbouw!$M$37+'Regie en afroep'!F13</f>
        <v>0</v>
      </c>
      <c r="H13" s="197">
        <f>G13*Tariefsopbouw!$O$37+'Regie en afroep'!G13</f>
        <v>0</v>
      </c>
      <c r="I13" s="197">
        <f>H13*Tariefsopbouw!$Q$37+H13</f>
        <v>0</v>
      </c>
    </row>
    <row r="14" spans="1:9" ht="18.75" customHeight="1">
      <c r="A14" s="293" t="s">
        <v>66</v>
      </c>
      <c r="B14" s="52" t="s">
        <v>14</v>
      </c>
      <c r="C14" s="52" t="s">
        <v>15</v>
      </c>
      <c r="D14" s="54">
        <v>0</v>
      </c>
      <c r="E14" s="199">
        <f>InvulRegie[[#This Row],[Prijs excl. BTW]]*Tariefsopbouw!$I$37+InvulRegie[[#This Row],[Prijs excl. BTW]]</f>
        <v>0</v>
      </c>
      <c r="F14" s="197">
        <f>E14*Tariefsopbouw!$K$37+'Regie en afroep'!E14</f>
        <v>0</v>
      </c>
      <c r="G14" s="197">
        <f>F14*Tariefsopbouw!$M$37+'Regie en afroep'!F14</f>
        <v>0</v>
      </c>
      <c r="H14" s="197">
        <f>G14*Tariefsopbouw!$O$37+'Regie en afroep'!G14</f>
        <v>0</v>
      </c>
      <c r="I14" s="197">
        <f>H14*Tariefsopbouw!$Q$37+H14</f>
        <v>0</v>
      </c>
    </row>
    <row r="15" spans="1:9" ht="18.75" customHeight="1">
      <c r="A15" s="294"/>
      <c r="B15" s="52" t="s">
        <v>16</v>
      </c>
      <c r="C15" s="52" t="s">
        <v>99</v>
      </c>
      <c r="D15" s="54">
        <v>0</v>
      </c>
      <c r="E15" s="199">
        <f>InvulRegie[[#This Row],[Prijs excl. BTW]]*Tariefsopbouw!$I$37+InvulRegie[[#This Row],[Prijs excl. BTW]]</f>
        <v>0</v>
      </c>
      <c r="F15" s="197">
        <f>E15*Tariefsopbouw!$K$37+'Regie en afroep'!E15</f>
        <v>0</v>
      </c>
      <c r="G15" s="197">
        <f>F15*Tariefsopbouw!$M$37+'Regie en afroep'!F15</f>
        <v>0</v>
      </c>
      <c r="H15" s="197">
        <f>G15*Tariefsopbouw!$O$37+'Regie en afroep'!G15</f>
        <v>0</v>
      </c>
      <c r="I15" s="197">
        <f>H15*Tariefsopbouw!$Q$37+H15</f>
        <v>0</v>
      </c>
    </row>
    <row r="16" spans="1:9" ht="18.75" customHeight="1">
      <c r="A16" s="294"/>
      <c r="B16" s="52" t="s">
        <v>100</v>
      </c>
      <c r="C16" s="52" t="s">
        <v>99</v>
      </c>
      <c r="D16" s="54">
        <v>0</v>
      </c>
      <c r="E16" s="199">
        <f>InvulRegie[[#This Row],[Prijs excl. BTW]]*Tariefsopbouw!$I$37+InvulRegie[[#This Row],[Prijs excl. BTW]]</f>
        <v>0</v>
      </c>
      <c r="F16" s="197">
        <f>E16*Tariefsopbouw!$K$37+'Regie en afroep'!E16</f>
        <v>0</v>
      </c>
      <c r="G16" s="197">
        <f>F16*Tariefsopbouw!$M$37+'Regie en afroep'!F16</f>
        <v>0</v>
      </c>
      <c r="H16" s="197">
        <f>G16*Tariefsopbouw!$O$37+'Regie en afroep'!G16</f>
        <v>0</v>
      </c>
      <c r="I16" s="197">
        <f>H16*Tariefsopbouw!$Q$37+H16</f>
        <v>0</v>
      </c>
    </row>
    <row r="17" spans="1:9" ht="18.75" customHeight="1">
      <c r="A17" s="294"/>
      <c r="B17" s="52" t="s">
        <v>101</v>
      </c>
      <c r="C17" s="52" t="s">
        <v>17</v>
      </c>
      <c r="D17" s="54">
        <v>0</v>
      </c>
      <c r="E17" s="199">
        <f>InvulRegie[[#This Row],[Prijs excl. BTW]]*Tariefsopbouw!$I$37+InvulRegie[[#This Row],[Prijs excl. BTW]]</f>
        <v>0</v>
      </c>
      <c r="F17" s="197">
        <f>E17*Tariefsopbouw!$K$37+'Regie en afroep'!E17</f>
        <v>0</v>
      </c>
      <c r="G17" s="197">
        <f>F17*Tariefsopbouw!$M$37+'Regie en afroep'!F17</f>
        <v>0</v>
      </c>
      <c r="H17" s="197">
        <f>G17*Tariefsopbouw!$O$37+'Regie en afroep'!G17</f>
        <v>0</v>
      </c>
      <c r="I17" s="197">
        <f>H17*Tariefsopbouw!$Q$37+H17</f>
        <v>0</v>
      </c>
    </row>
    <row r="18" spans="1:9" ht="18.75" customHeight="1">
      <c r="A18" s="294"/>
      <c r="B18" s="52" t="s">
        <v>143</v>
      </c>
      <c r="C18" s="52" t="s">
        <v>17</v>
      </c>
      <c r="D18" s="54">
        <v>0</v>
      </c>
      <c r="E18" s="199">
        <f>InvulRegie[[#This Row],[Prijs excl. BTW]]*Tariefsopbouw!$I$37+InvulRegie[[#This Row],[Prijs excl. BTW]]</f>
        <v>0</v>
      </c>
      <c r="F18" s="197">
        <f>E18*Tariefsopbouw!$K$37+'Regie en afroep'!E18</f>
        <v>0</v>
      </c>
      <c r="G18" s="197">
        <f>F18*Tariefsopbouw!$M$37+'Regie en afroep'!F18</f>
        <v>0</v>
      </c>
      <c r="H18" s="197">
        <f>G18*Tariefsopbouw!$O$37+'Regie en afroep'!G18</f>
        <v>0</v>
      </c>
      <c r="I18" s="197">
        <f>H18*Tariefsopbouw!$Q$37+H18</f>
        <v>0</v>
      </c>
    </row>
    <row r="19" spans="1:9" ht="18.75" customHeight="1">
      <c r="A19" s="294"/>
      <c r="B19" s="52" t="s">
        <v>102</v>
      </c>
      <c r="C19" s="52" t="s">
        <v>17</v>
      </c>
      <c r="D19" s="54">
        <v>0</v>
      </c>
      <c r="E19" s="199">
        <f>InvulRegie[[#This Row],[Prijs excl. BTW]]*Tariefsopbouw!$I$37+InvulRegie[[#This Row],[Prijs excl. BTW]]</f>
        <v>0</v>
      </c>
      <c r="F19" s="197">
        <f>E19*Tariefsopbouw!$K$37+'Regie en afroep'!E19</f>
        <v>0</v>
      </c>
      <c r="G19" s="197">
        <f>F19*Tariefsopbouw!$M$37+'Regie en afroep'!F19</f>
        <v>0</v>
      </c>
      <c r="H19" s="197">
        <f>G19*Tariefsopbouw!$O$37+'Regie en afroep'!G19</f>
        <v>0</v>
      </c>
      <c r="I19" s="197">
        <f>H19*Tariefsopbouw!$Q$37+H19</f>
        <v>0</v>
      </c>
    </row>
    <row r="20" spans="1:9" ht="18.75" customHeight="1">
      <c r="A20" s="295"/>
      <c r="B20" s="52" t="s">
        <v>103</v>
      </c>
      <c r="C20" s="52" t="s">
        <v>17</v>
      </c>
      <c r="D20" s="54">
        <v>0</v>
      </c>
      <c r="E20" s="199">
        <f>InvulRegie[[#This Row],[Prijs excl. BTW]]*Tariefsopbouw!$I$37+InvulRegie[[#This Row],[Prijs excl. BTW]]</f>
        <v>0</v>
      </c>
      <c r="F20" s="197">
        <f>E20*Tariefsopbouw!$K$37+'Regie en afroep'!E20</f>
        <v>0</v>
      </c>
      <c r="G20" s="197">
        <f>F20*Tariefsopbouw!$M$37+'Regie en afroep'!F20</f>
        <v>0</v>
      </c>
      <c r="H20" s="197">
        <f>G20*Tariefsopbouw!$O$37+'Regie en afroep'!G20</f>
        <v>0</v>
      </c>
      <c r="I20" s="197">
        <f>H20*Tariefsopbouw!$Q$37+H20</f>
        <v>0</v>
      </c>
    </row>
    <row r="21" spans="1:9" ht="18.75" customHeight="1">
      <c r="A21" s="293" t="s">
        <v>105</v>
      </c>
      <c r="B21" s="52" t="s">
        <v>30</v>
      </c>
      <c r="C21" s="52" t="s">
        <v>22</v>
      </c>
      <c r="D21" s="54">
        <v>0</v>
      </c>
      <c r="E21" s="199">
        <f>InvulRegie[[#This Row],[Prijs excl. BTW]]*Tariefsopbouw!$I$37+InvulRegie[[#This Row],[Prijs excl. BTW]]</f>
        <v>0</v>
      </c>
      <c r="F21" s="197">
        <f>E21*Tariefsopbouw!$K$37+'Regie en afroep'!E21</f>
        <v>0</v>
      </c>
      <c r="G21" s="197">
        <f>F21*Tariefsopbouw!$M$37+'Regie en afroep'!F21</f>
        <v>0</v>
      </c>
      <c r="H21" s="197">
        <f>G21*Tariefsopbouw!$O$37+'Regie en afroep'!G21</f>
        <v>0</v>
      </c>
      <c r="I21" s="197">
        <f>H21*Tariefsopbouw!$Q$37+H21</f>
        <v>0</v>
      </c>
    </row>
    <row r="22" spans="1:9" ht="18.75" customHeight="1">
      <c r="A22" s="295"/>
      <c r="B22" s="52" t="s">
        <v>18</v>
      </c>
      <c r="C22" s="52" t="s">
        <v>34</v>
      </c>
      <c r="D22" s="54">
        <v>0</v>
      </c>
      <c r="E22" s="199">
        <f>InvulRegie[[#This Row],[Prijs excl. BTW]]*Tariefsopbouw!$I$37+InvulRegie[[#This Row],[Prijs excl. BTW]]</f>
        <v>0</v>
      </c>
      <c r="F22" s="197">
        <f>E22*Tariefsopbouw!$K$37+'Regie en afroep'!E22</f>
        <v>0</v>
      </c>
      <c r="G22" s="197">
        <f>F22*Tariefsopbouw!$M$37+'Regie en afroep'!F22</f>
        <v>0</v>
      </c>
      <c r="H22" s="197">
        <f>G22*Tariefsopbouw!$O$37+'Regie en afroep'!G22</f>
        <v>0</v>
      </c>
      <c r="I22" s="197">
        <f>H22*Tariefsopbouw!$Q$37+H22</f>
        <v>0</v>
      </c>
    </row>
    <row r="23" spans="1:9" ht="18.75" customHeight="1">
      <c r="A23" s="293" t="s">
        <v>116</v>
      </c>
      <c r="B23" s="52" t="s">
        <v>106</v>
      </c>
      <c r="C23" s="52" t="s">
        <v>107</v>
      </c>
      <c r="D23" s="54">
        <v>0</v>
      </c>
      <c r="E23" s="199">
        <f>InvulRegie[[#This Row],[Prijs excl. BTW]]*Tariefsopbouw!$I$37+InvulRegie[[#This Row],[Prijs excl. BTW]]</f>
        <v>0</v>
      </c>
      <c r="F23" s="197">
        <f>E23*Tariefsopbouw!$K$37+'Regie en afroep'!E23</f>
        <v>0</v>
      </c>
      <c r="G23" s="197">
        <f>F23*Tariefsopbouw!$M$37+'Regie en afroep'!F23</f>
        <v>0</v>
      </c>
      <c r="H23" s="197">
        <f>G23*Tariefsopbouw!$O$37+'Regie en afroep'!G23</f>
        <v>0</v>
      </c>
      <c r="I23" s="197">
        <f>H23*Tariefsopbouw!$Q$37+H23</f>
        <v>0</v>
      </c>
    </row>
    <row r="24" spans="1:9" ht="18.75" customHeight="1">
      <c r="A24" s="294"/>
      <c r="B24" s="52" t="s">
        <v>139</v>
      </c>
      <c r="C24" s="52" t="s">
        <v>107</v>
      </c>
      <c r="D24" s="54">
        <v>0</v>
      </c>
      <c r="E24" s="199">
        <f>InvulRegie[[#This Row],[Prijs excl. BTW]]*Tariefsopbouw!$I$37+InvulRegie[[#This Row],[Prijs excl. BTW]]</f>
        <v>0</v>
      </c>
      <c r="F24" s="197">
        <f>E24*Tariefsopbouw!$K$37+'Regie en afroep'!E24</f>
        <v>0</v>
      </c>
      <c r="G24" s="197">
        <f>F24*Tariefsopbouw!$M$37+'Regie en afroep'!F24</f>
        <v>0</v>
      </c>
      <c r="H24" s="197">
        <f>G24*Tariefsopbouw!$O$37+'Regie en afroep'!G24</f>
        <v>0</v>
      </c>
      <c r="I24" s="197">
        <f>H24*Tariefsopbouw!$Q$37+H24</f>
        <v>0</v>
      </c>
    </row>
    <row r="25" spans="1:9" ht="18.75" customHeight="1">
      <c r="A25" s="294"/>
      <c r="B25" s="52" t="s">
        <v>141</v>
      </c>
      <c r="C25" s="52" t="s">
        <v>107</v>
      </c>
      <c r="D25" s="54">
        <v>0</v>
      </c>
      <c r="E25" s="199">
        <f>InvulRegie[[#This Row],[Prijs excl. BTW]]*Tariefsopbouw!$I$37+InvulRegie[[#This Row],[Prijs excl. BTW]]</f>
        <v>0</v>
      </c>
      <c r="F25" s="197">
        <f>E25*Tariefsopbouw!$K$37+'Regie en afroep'!E25</f>
        <v>0</v>
      </c>
      <c r="G25" s="197">
        <f>F25*Tariefsopbouw!$M$37+'Regie en afroep'!F25</f>
        <v>0</v>
      </c>
      <c r="H25" s="197">
        <f>G25*Tariefsopbouw!$O$37+'Regie en afroep'!G25</f>
        <v>0</v>
      </c>
      <c r="I25" s="197">
        <f>H25*Tariefsopbouw!$Q$37+H25</f>
        <v>0</v>
      </c>
    </row>
    <row r="26" spans="1:9" ht="18.75" customHeight="1">
      <c r="A26" s="294"/>
      <c r="B26" s="52" t="s">
        <v>140</v>
      </c>
      <c r="C26" s="52" t="s">
        <v>107</v>
      </c>
      <c r="D26" s="54">
        <v>0</v>
      </c>
      <c r="E26" s="199">
        <f>InvulRegie[[#This Row],[Prijs excl. BTW]]*Tariefsopbouw!$I$37+InvulRegie[[#This Row],[Prijs excl. BTW]]</f>
        <v>0</v>
      </c>
      <c r="F26" s="197">
        <f>E26*Tariefsopbouw!$K$37+'Regie en afroep'!E26</f>
        <v>0</v>
      </c>
      <c r="G26" s="197">
        <f>F26*Tariefsopbouw!$M$37+'Regie en afroep'!F26</f>
        <v>0</v>
      </c>
      <c r="H26" s="197">
        <f>G26*Tariefsopbouw!$O$37+'Regie en afroep'!G26</f>
        <v>0</v>
      </c>
      <c r="I26" s="197">
        <f>H26*Tariefsopbouw!$Q$37+H26</f>
        <v>0</v>
      </c>
    </row>
    <row r="27" spans="1:9" ht="18.75" customHeight="1">
      <c r="A27" s="295"/>
      <c r="B27" s="52" t="s">
        <v>21</v>
      </c>
      <c r="C27" s="52" t="s">
        <v>107</v>
      </c>
      <c r="D27" s="54">
        <v>0</v>
      </c>
      <c r="E27" s="199">
        <f>InvulRegie[[#This Row],[Prijs excl. BTW]]*Tariefsopbouw!$I$37+InvulRegie[[#This Row],[Prijs excl. BTW]]</f>
        <v>0</v>
      </c>
      <c r="F27" s="197">
        <f>E27*Tariefsopbouw!$K$37+'Regie en afroep'!E27</f>
        <v>0</v>
      </c>
      <c r="G27" s="197">
        <f>F27*Tariefsopbouw!$M$37+'Regie en afroep'!F27</f>
        <v>0</v>
      </c>
      <c r="H27" s="197">
        <f>G27*Tariefsopbouw!$O$37+'Regie en afroep'!G27</f>
        <v>0</v>
      </c>
      <c r="I27" s="197">
        <f>H27*Tariefsopbouw!$Q$37+H27</f>
        <v>0</v>
      </c>
    </row>
    <row r="28" spans="1:9" ht="18.75" customHeight="1">
      <c r="A28" s="293" t="s">
        <v>111</v>
      </c>
      <c r="B28" s="52" t="s">
        <v>23</v>
      </c>
      <c r="C28" s="52" t="s">
        <v>22</v>
      </c>
      <c r="D28" s="54">
        <v>0</v>
      </c>
      <c r="E28" s="199">
        <f>InvulRegie[[#This Row],[Prijs excl. BTW]]*Tariefsopbouw!$I$37+InvulRegie[[#This Row],[Prijs excl. BTW]]</f>
        <v>0</v>
      </c>
      <c r="F28" s="197">
        <f>E28*Tariefsopbouw!$K$37+'Regie en afroep'!E28</f>
        <v>0</v>
      </c>
      <c r="G28" s="197">
        <f>F28*Tariefsopbouw!$M$37+'Regie en afroep'!F28</f>
        <v>0</v>
      </c>
      <c r="H28" s="197">
        <f>G28*Tariefsopbouw!$O$37+'Regie en afroep'!G28</f>
        <v>0</v>
      </c>
      <c r="I28" s="197">
        <f>H28*Tariefsopbouw!$Q$37+H28</f>
        <v>0</v>
      </c>
    </row>
    <row r="29" spans="1:9" ht="18.75" customHeight="1">
      <c r="A29" s="294"/>
      <c r="B29" s="52" t="s">
        <v>24</v>
      </c>
      <c r="C29" s="52" t="s">
        <v>22</v>
      </c>
      <c r="D29" s="54">
        <v>0</v>
      </c>
      <c r="E29" s="199">
        <f>InvulRegie[[#This Row],[Prijs excl. BTW]]*Tariefsopbouw!$I$37+InvulRegie[[#This Row],[Prijs excl. BTW]]</f>
        <v>0</v>
      </c>
      <c r="F29" s="197">
        <f>E29*Tariefsopbouw!$K$37+'Regie en afroep'!E29</f>
        <v>0</v>
      </c>
      <c r="G29" s="197">
        <f>F29*Tariefsopbouw!$M$37+'Regie en afroep'!F29</f>
        <v>0</v>
      </c>
      <c r="H29" s="197">
        <f>G29*Tariefsopbouw!$O$37+'Regie en afroep'!G29</f>
        <v>0</v>
      </c>
      <c r="I29" s="197">
        <f>H29*Tariefsopbouw!$Q$37+H29</f>
        <v>0</v>
      </c>
    </row>
    <row r="30" spans="1:9" ht="18.75" customHeight="1">
      <c r="A30" s="294"/>
      <c r="B30" s="52" t="s">
        <v>25</v>
      </c>
      <c r="C30" s="52" t="s">
        <v>22</v>
      </c>
      <c r="D30" s="54">
        <v>0</v>
      </c>
      <c r="E30" s="199">
        <f>InvulRegie[[#This Row],[Prijs excl. BTW]]*Tariefsopbouw!$I$37+InvulRegie[[#This Row],[Prijs excl. BTW]]</f>
        <v>0</v>
      </c>
      <c r="F30" s="197">
        <f>E30*Tariefsopbouw!$K$37+'Regie en afroep'!E30</f>
        <v>0</v>
      </c>
      <c r="G30" s="197">
        <f>F30*Tariefsopbouw!$M$37+'Regie en afroep'!F30</f>
        <v>0</v>
      </c>
      <c r="H30" s="197">
        <f>G30*Tariefsopbouw!$O$37+'Regie en afroep'!G30</f>
        <v>0</v>
      </c>
      <c r="I30" s="197">
        <f>H30*Tariefsopbouw!$Q$37+H30</f>
        <v>0</v>
      </c>
    </row>
    <row r="31" spans="1:9" ht="18.75" customHeight="1">
      <c r="A31" s="294"/>
      <c r="B31" s="52" t="s">
        <v>26</v>
      </c>
      <c r="C31" s="52" t="s">
        <v>22</v>
      </c>
      <c r="D31" s="54">
        <v>0</v>
      </c>
      <c r="E31" s="199">
        <f>InvulRegie[[#This Row],[Prijs excl. BTW]]*Tariefsopbouw!$I$37+InvulRegie[[#This Row],[Prijs excl. BTW]]</f>
        <v>0</v>
      </c>
      <c r="F31" s="197">
        <f>E31*Tariefsopbouw!$K$37+'Regie en afroep'!E31</f>
        <v>0</v>
      </c>
      <c r="G31" s="197">
        <f>F31*Tariefsopbouw!$M$37+'Regie en afroep'!F31</f>
        <v>0</v>
      </c>
      <c r="H31" s="197">
        <f>G31*Tariefsopbouw!$O$37+'Regie en afroep'!G31</f>
        <v>0</v>
      </c>
      <c r="I31" s="197">
        <f>H31*Tariefsopbouw!$Q$37+H31</f>
        <v>0</v>
      </c>
    </row>
    <row r="32" spans="1:9" ht="18.75" customHeight="1">
      <c r="A32" s="295"/>
      <c r="B32" s="52" t="s">
        <v>19</v>
      </c>
      <c r="C32" s="52" t="s">
        <v>20</v>
      </c>
      <c r="D32" s="54">
        <v>0</v>
      </c>
      <c r="E32" s="199">
        <f>InvulRegie[[#This Row],[Prijs excl. BTW]]*Tariefsopbouw!$I$37+InvulRegie[[#This Row],[Prijs excl. BTW]]</f>
        <v>0</v>
      </c>
      <c r="F32" s="197">
        <f>E32*Tariefsopbouw!$K$37+'Regie en afroep'!E32</f>
        <v>0</v>
      </c>
      <c r="G32" s="197">
        <f>F32*Tariefsopbouw!$M$37+'Regie en afroep'!F32</f>
        <v>0</v>
      </c>
      <c r="H32" s="197">
        <f>G32*Tariefsopbouw!$O$37+'Regie en afroep'!G32</f>
        <v>0</v>
      </c>
      <c r="I32" s="197">
        <f>H32*Tariefsopbouw!$Q$37+H32</f>
        <v>0</v>
      </c>
    </row>
    <row r="33" spans="1:9" ht="18.75" customHeight="1">
      <c r="A33" s="297" t="s">
        <v>112</v>
      </c>
      <c r="B33" s="52" t="s">
        <v>27</v>
      </c>
      <c r="C33" s="52" t="s">
        <v>134</v>
      </c>
      <c r="D33" s="54">
        <v>0</v>
      </c>
      <c r="E33" s="199">
        <f>InvulRegie[[#This Row],[Prijs excl. BTW]]*Tariefsopbouw!$I$37+InvulRegie[[#This Row],[Prijs excl. BTW]]</f>
        <v>0</v>
      </c>
      <c r="F33" s="197">
        <f>E33*Tariefsopbouw!$K$37+'Regie en afroep'!E33</f>
        <v>0</v>
      </c>
      <c r="G33" s="197">
        <f>F33*Tariefsopbouw!$M$37+'Regie en afroep'!F33</f>
        <v>0</v>
      </c>
      <c r="H33" s="197">
        <f>G33*Tariefsopbouw!$O$37+'Regie en afroep'!G33</f>
        <v>0</v>
      </c>
      <c r="I33" s="197">
        <f>H33*Tariefsopbouw!$Q$37+H33</f>
        <v>0</v>
      </c>
    </row>
    <row r="34" spans="1:9" ht="18.75" customHeight="1">
      <c r="A34" s="298"/>
      <c r="B34" s="52" t="s">
        <v>28</v>
      </c>
      <c r="C34" s="52" t="s">
        <v>29</v>
      </c>
      <c r="D34" s="54">
        <v>0</v>
      </c>
      <c r="E34" s="199">
        <f>InvulRegie[[#This Row],[Prijs excl. BTW]]*Tariefsopbouw!$I$37+InvulRegie[[#This Row],[Prijs excl. BTW]]</f>
        <v>0</v>
      </c>
      <c r="F34" s="197">
        <f>E34*Tariefsopbouw!$K$37+'Regie en afroep'!E34</f>
        <v>0</v>
      </c>
      <c r="G34" s="197">
        <f>F34*Tariefsopbouw!$M$37+'Regie en afroep'!F34</f>
        <v>0</v>
      </c>
      <c r="H34" s="197">
        <f>G34*Tariefsopbouw!$O$37+'Regie en afroep'!G34</f>
        <v>0</v>
      </c>
      <c r="I34" s="197">
        <f>H34*Tariefsopbouw!$Q$37+H34</f>
        <v>0</v>
      </c>
    </row>
    <row r="35" spans="1:9" ht="18.75" customHeight="1">
      <c r="A35" s="298"/>
      <c r="B35" s="52" t="s">
        <v>113</v>
      </c>
      <c r="C35" s="52" t="s">
        <v>29</v>
      </c>
      <c r="D35" s="54">
        <v>0</v>
      </c>
      <c r="E35" s="199">
        <f>InvulRegie[[#This Row],[Prijs excl. BTW]]*Tariefsopbouw!$I$37+InvulRegie[[#This Row],[Prijs excl. BTW]]</f>
        <v>0</v>
      </c>
      <c r="F35" s="197">
        <f>E35*Tariefsopbouw!$K$37+'Regie en afroep'!E35</f>
        <v>0</v>
      </c>
      <c r="G35" s="197">
        <f>F35*Tariefsopbouw!$M$37+'Regie en afroep'!F35</f>
        <v>0</v>
      </c>
      <c r="H35" s="197">
        <f>G35*Tariefsopbouw!$O$37+'Regie en afroep'!G35</f>
        <v>0</v>
      </c>
      <c r="I35" s="197">
        <f>H35*Tariefsopbouw!$Q$37+H35</f>
        <v>0</v>
      </c>
    </row>
    <row r="36" spans="1:9" ht="18.75" customHeight="1" thickBot="1">
      <c r="A36" s="299"/>
      <c r="B36" s="52" t="s">
        <v>114</v>
      </c>
      <c r="C36" s="52" t="s">
        <v>29</v>
      </c>
      <c r="D36" s="54">
        <v>0</v>
      </c>
      <c r="E36" s="200">
        <f>InvulRegie[[#This Row],[Prijs excl. BTW]]*Tariefsopbouw!$I$37+InvulRegie[[#This Row],[Prijs excl. BTW]]</f>
        <v>0</v>
      </c>
      <c r="F36" s="201">
        <f>E36*Tariefsopbouw!$K$37+'Regie en afroep'!E36</f>
        <v>0</v>
      </c>
      <c r="G36" s="201">
        <f>F36*Tariefsopbouw!$M$37+'Regie en afroep'!F36</f>
        <v>0</v>
      </c>
      <c r="H36" s="201">
        <f>G36*Tariefsopbouw!$O$37+'Regie en afroep'!G36</f>
        <v>0</v>
      </c>
      <c r="I36" s="201">
        <f>H36*Tariefsopbouw!$Q$37+H36</f>
        <v>0</v>
      </c>
    </row>
    <row r="37" spans="1:9" s="76" customFormat="1" ht="26.25" customHeight="1" thickTop="1">
      <c r="A37" s="74"/>
      <c r="B37" s="75" t="s">
        <v>10</v>
      </c>
      <c r="C37" s="75"/>
      <c r="D37" s="75"/>
      <c r="E37" s="96"/>
      <c r="F37" s="96"/>
      <c r="G37" s="96"/>
      <c r="H37" s="96"/>
      <c r="I37" s="96"/>
    </row>
    <row r="39" spans="1:9" ht="18.75" customHeight="1" thickBot="1"/>
    <row r="40" spans="1:9" ht="15.75">
      <c r="A40" s="169"/>
      <c r="B40" s="170" t="s">
        <v>238</v>
      </c>
      <c r="C40" s="170"/>
      <c r="D40" s="171"/>
    </row>
    <row r="41" spans="1:9" ht="12.75">
      <c r="A41" s="172"/>
      <c r="B41" s="173"/>
      <c r="C41" s="173"/>
      <c r="D41" s="174"/>
    </row>
    <row r="42" spans="1:9" ht="12.75">
      <c r="A42" s="172"/>
      <c r="B42" s="175" t="s">
        <v>206</v>
      </c>
      <c r="C42" s="173"/>
      <c r="D42" s="174"/>
    </row>
    <row r="43" spans="1:9" ht="12.75">
      <c r="A43" s="172"/>
      <c r="B43" s="173"/>
      <c r="C43" s="173"/>
      <c r="D43" s="174"/>
    </row>
    <row r="44" spans="1:9" ht="12.75">
      <c r="A44" s="172"/>
      <c r="B44" s="176" t="s">
        <v>207</v>
      </c>
      <c r="C44" s="173"/>
      <c r="D44" s="174"/>
    </row>
    <row r="45" spans="1:9" ht="12.75">
      <c r="A45" s="172"/>
      <c r="B45" s="173"/>
      <c r="C45" s="173"/>
      <c r="D45" s="174"/>
    </row>
    <row r="46" spans="1:9" ht="12.75">
      <c r="A46" s="177" t="s">
        <v>208</v>
      </c>
      <c r="B46" s="301" t="s">
        <v>209</v>
      </c>
      <c r="C46" s="301"/>
      <c r="D46" s="302"/>
    </row>
    <row r="47" spans="1:9" ht="12.75">
      <c r="A47" s="177" t="s">
        <v>208</v>
      </c>
      <c r="B47" s="301" t="s">
        <v>210</v>
      </c>
      <c r="C47" s="301" t="s">
        <v>210</v>
      </c>
      <c r="D47" s="302" t="s">
        <v>210</v>
      </c>
    </row>
    <row r="48" spans="1:9" ht="12.75">
      <c r="A48" s="177" t="s">
        <v>208</v>
      </c>
      <c r="B48" s="301" t="s">
        <v>211</v>
      </c>
      <c r="C48" s="301" t="s">
        <v>211</v>
      </c>
      <c r="D48" s="302" t="s">
        <v>211</v>
      </c>
    </row>
    <row r="49" spans="1:4" ht="12.75">
      <c r="A49" s="177" t="s">
        <v>208</v>
      </c>
      <c r="B49" s="301" t="s">
        <v>212</v>
      </c>
      <c r="C49" s="301" t="s">
        <v>212</v>
      </c>
      <c r="D49" s="302" t="s">
        <v>212</v>
      </c>
    </row>
    <row r="50" spans="1:4" ht="12.75">
      <c r="A50" s="177" t="s">
        <v>208</v>
      </c>
      <c r="B50" s="301" t="s">
        <v>213</v>
      </c>
      <c r="C50" s="301" t="s">
        <v>213</v>
      </c>
      <c r="D50" s="302" t="s">
        <v>213</v>
      </c>
    </row>
    <row r="51" spans="1:4" ht="12.75">
      <c r="A51" s="177" t="s">
        <v>208</v>
      </c>
      <c r="B51" s="301" t="s">
        <v>214</v>
      </c>
      <c r="C51" s="301" t="s">
        <v>214</v>
      </c>
      <c r="D51" s="302" t="s">
        <v>214</v>
      </c>
    </row>
    <row r="52" spans="1:4" ht="12.75">
      <c r="A52" s="177" t="s">
        <v>208</v>
      </c>
      <c r="B52" s="301" t="s">
        <v>215</v>
      </c>
      <c r="C52" s="301" t="s">
        <v>215</v>
      </c>
      <c r="D52" s="302" t="s">
        <v>215</v>
      </c>
    </row>
    <row r="53" spans="1:4" ht="12.75">
      <c r="A53" s="177" t="s">
        <v>208</v>
      </c>
      <c r="B53" s="301" t="s">
        <v>216</v>
      </c>
      <c r="C53" s="301" t="s">
        <v>216</v>
      </c>
      <c r="D53" s="302" t="s">
        <v>216</v>
      </c>
    </row>
    <row r="54" spans="1:4" ht="12.75">
      <c r="A54" s="177" t="s">
        <v>208</v>
      </c>
      <c r="B54" s="301" t="s">
        <v>217</v>
      </c>
      <c r="C54" s="301" t="s">
        <v>217</v>
      </c>
      <c r="D54" s="302" t="s">
        <v>217</v>
      </c>
    </row>
    <row r="55" spans="1:4" ht="12.75">
      <c r="A55" s="177" t="s">
        <v>208</v>
      </c>
      <c r="B55" s="301" t="s">
        <v>218</v>
      </c>
      <c r="C55" s="301" t="s">
        <v>218</v>
      </c>
      <c r="D55" s="302" t="s">
        <v>218</v>
      </c>
    </row>
    <row r="56" spans="1:4" ht="12.75">
      <c r="A56" s="177" t="s">
        <v>208</v>
      </c>
      <c r="B56" s="301" t="s">
        <v>219</v>
      </c>
      <c r="C56" s="301" t="s">
        <v>219</v>
      </c>
      <c r="D56" s="302" t="s">
        <v>219</v>
      </c>
    </row>
    <row r="57" spans="1:4" ht="12.75">
      <c r="A57" s="177" t="s">
        <v>208</v>
      </c>
      <c r="B57" s="301" t="s">
        <v>220</v>
      </c>
      <c r="C57" s="301" t="s">
        <v>220</v>
      </c>
      <c r="D57" s="302" t="s">
        <v>220</v>
      </c>
    </row>
    <row r="58" spans="1:4" ht="12.75">
      <c r="A58" s="172"/>
      <c r="B58" s="178"/>
      <c r="C58" s="173"/>
      <c r="D58" s="174"/>
    </row>
    <row r="59" spans="1:4" ht="12.75">
      <c r="A59" s="172"/>
      <c r="B59" s="179" t="s">
        <v>221</v>
      </c>
      <c r="C59" s="173"/>
      <c r="D59" s="174"/>
    </row>
    <row r="60" spans="1:4" ht="12.75">
      <c r="A60" s="172"/>
      <c r="B60" s="178"/>
      <c r="C60" s="173"/>
      <c r="D60" s="174"/>
    </row>
    <row r="61" spans="1:4" ht="24" customHeight="1">
      <c r="A61" s="177" t="s">
        <v>208</v>
      </c>
      <c r="B61" s="301" t="s">
        <v>222</v>
      </c>
      <c r="C61" s="301" t="s">
        <v>222</v>
      </c>
      <c r="D61" s="302" t="s">
        <v>222</v>
      </c>
    </row>
    <row r="62" spans="1:4" ht="12.75">
      <c r="A62" s="177" t="s">
        <v>208</v>
      </c>
      <c r="B62" s="301" t="s">
        <v>223</v>
      </c>
      <c r="C62" s="301" t="s">
        <v>223</v>
      </c>
      <c r="D62" s="302" t="s">
        <v>223</v>
      </c>
    </row>
    <row r="63" spans="1:4" ht="12.75">
      <c r="A63" s="177" t="s">
        <v>208</v>
      </c>
      <c r="B63" s="301" t="s">
        <v>224</v>
      </c>
      <c r="C63" s="301" t="s">
        <v>224</v>
      </c>
      <c r="D63" s="302" t="s">
        <v>224</v>
      </c>
    </row>
    <row r="64" spans="1:4" ht="12.75">
      <c r="A64" s="177" t="s">
        <v>208</v>
      </c>
      <c r="B64" s="301" t="s">
        <v>218</v>
      </c>
      <c r="C64" s="301" t="s">
        <v>218</v>
      </c>
      <c r="D64" s="302" t="s">
        <v>218</v>
      </c>
    </row>
    <row r="65" spans="1:4" ht="12.75">
      <c r="A65" s="177" t="s">
        <v>208</v>
      </c>
      <c r="B65" s="301" t="s">
        <v>225</v>
      </c>
      <c r="C65" s="301" t="s">
        <v>225</v>
      </c>
      <c r="D65" s="302" t="s">
        <v>225</v>
      </c>
    </row>
    <row r="66" spans="1:4" ht="12.75">
      <c r="A66" s="177" t="s">
        <v>208</v>
      </c>
      <c r="B66" s="301" t="s">
        <v>226</v>
      </c>
      <c r="C66" s="301" t="s">
        <v>226</v>
      </c>
      <c r="D66" s="302" t="s">
        <v>226</v>
      </c>
    </row>
    <row r="67" spans="1:4" ht="12.75">
      <c r="A67" s="177" t="s">
        <v>208</v>
      </c>
      <c r="B67" s="301" t="s">
        <v>227</v>
      </c>
      <c r="C67" s="301" t="s">
        <v>227</v>
      </c>
      <c r="D67" s="302" t="s">
        <v>227</v>
      </c>
    </row>
    <row r="68" spans="1:4" ht="12.75">
      <c r="A68" s="177" t="s">
        <v>208</v>
      </c>
      <c r="B68" s="301" t="s">
        <v>228</v>
      </c>
      <c r="C68" s="301" t="s">
        <v>228</v>
      </c>
      <c r="D68" s="302" t="s">
        <v>228</v>
      </c>
    </row>
    <row r="69" spans="1:4" ht="12.75">
      <c r="A69" s="177" t="s">
        <v>208</v>
      </c>
      <c r="B69" s="301" t="s">
        <v>229</v>
      </c>
      <c r="C69" s="301" t="s">
        <v>229</v>
      </c>
      <c r="D69" s="302" t="s">
        <v>229</v>
      </c>
    </row>
    <row r="70" spans="1:4" ht="12.75">
      <c r="A70" s="172"/>
      <c r="B70" s="173"/>
      <c r="C70" s="173"/>
      <c r="D70" s="174"/>
    </row>
    <row r="71" spans="1:4" ht="12.75">
      <c r="A71" s="172"/>
      <c r="B71" s="179" t="s">
        <v>230</v>
      </c>
      <c r="C71" s="173"/>
      <c r="D71" s="174"/>
    </row>
    <row r="72" spans="1:4" ht="12.75">
      <c r="A72" s="172"/>
      <c r="B72" s="178"/>
      <c r="C72" s="173"/>
      <c r="D72" s="174"/>
    </row>
    <row r="73" spans="1:4" ht="12.75">
      <c r="A73" s="177" t="s">
        <v>208</v>
      </c>
      <c r="B73" s="303" t="s">
        <v>231</v>
      </c>
      <c r="C73" s="303" t="s">
        <v>231</v>
      </c>
      <c r="D73" s="304" t="s">
        <v>231</v>
      </c>
    </row>
    <row r="74" spans="1:4" ht="12.75">
      <c r="A74" s="177" t="s">
        <v>208</v>
      </c>
      <c r="B74" s="303" t="s">
        <v>232</v>
      </c>
      <c r="C74" s="303" t="s">
        <v>232</v>
      </c>
      <c r="D74" s="304" t="s">
        <v>232</v>
      </c>
    </row>
    <row r="75" spans="1:4" ht="12.75">
      <c r="A75" s="177" t="s">
        <v>208</v>
      </c>
      <c r="B75" s="303" t="s">
        <v>233</v>
      </c>
      <c r="C75" s="303" t="s">
        <v>233</v>
      </c>
      <c r="D75" s="304" t="s">
        <v>233</v>
      </c>
    </row>
    <row r="76" spans="1:4" ht="12.75">
      <c r="A76" s="177" t="s">
        <v>208</v>
      </c>
      <c r="B76" s="303" t="s">
        <v>234</v>
      </c>
      <c r="C76" s="303" t="s">
        <v>234</v>
      </c>
      <c r="D76" s="304" t="s">
        <v>234</v>
      </c>
    </row>
    <row r="77" spans="1:4" ht="12.75">
      <c r="A77" s="177" t="s">
        <v>208</v>
      </c>
      <c r="B77" s="303" t="s">
        <v>235</v>
      </c>
      <c r="C77" s="303" t="s">
        <v>235</v>
      </c>
      <c r="D77" s="304" t="s">
        <v>235</v>
      </c>
    </row>
    <row r="78" spans="1:4" ht="12.75">
      <c r="A78" s="177" t="s">
        <v>208</v>
      </c>
      <c r="B78" s="303" t="s">
        <v>236</v>
      </c>
      <c r="C78" s="303" t="s">
        <v>236</v>
      </c>
      <c r="D78" s="304" t="s">
        <v>236</v>
      </c>
    </row>
    <row r="79" spans="1:4" ht="13.5" thickBot="1">
      <c r="A79" s="180" t="s">
        <v>208</v>
      </c>
      <c r="B79" s="305" t="s">
        <v>237</v>
      </c>
      <c r="C79" s="305" t="s">
        <v>237</v>
      </c>
      <c r="D79" s="306" t="s">
        <v>237</v>
      </c>
    </row>
  </sheetData>
  <mergeCells count="37">
    <mergeCell ref="B77:D77"/>
    <mergeCell ref="B78:D78"/>
    <mergeCell ref="B79:D79"/>
    <mergeCell ref="B69:D69"/>
    <mergeCell ref="B73:D73"/>
    <mergeCell ref="B74:D74"/>
    <mergeCell ref="B75:D75"/>
    <mergeCell ref="B76:D76"/>
    <mergeCell ref="B64:D64"/>
    <mergeCell ref="B65:D65"/>
    <mergeCell ref="B66:D66"/>
    <mergeCell ref="B67:D67"/>
    <mergeCell ref="B68:D68"/>
    <mergeCell ref="B56:D56"/>
    <mergeCell ref="B57:D57"/>
    <mergeCell ref="B61:D61"/>
    <mergeCell ref="B62:D62"/>
    <mergeCell ref="B63:D63"/>
    <mergeCell ref="B51:D51"/>
    <mergeCell ref="B52:D52"/>
    <mergeCell ref="B53:D53"/>
    <mergeCell ref="B54:D54"/>
    <mergeCell ref="B55:D55"/>
    <mergeCell ref="B46:D46"/>
    <mergeCell ref="B47:D47"/>
    <mergeCell ref="B48:D48"/>
    <mergeCell ref="B49:D49"/>
    <mergeCell ref="B50:D50"/>
    <mergeCell ref="A28:A32"/>
    <mergeCell ref="A2:I2"/>
    <mergeCell ref="A1:I1"/>
    <mergeCell ref="A33:A36"/>
    <mergeCell ref="A23:A27"/>
    <mergeCell ref="A14:A20"/>
    <mergeCell ref="A21:A22"/>
    <mergeCell ref="E7:I7"/>
    <mergeCell ref="A9:A13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 alignWithMargins="0">
    <oddFooter>&amp;L&amp;F&amp;C&amp;D&amp;R&amp;A</oddFooter>
  </headerFooter>
  <rowBreaks count="2" manualBreakCount="2">
    <brk id="39" max="8" man="1"/>
    <brk id="79" max="16383" man="1"/>
  </rowBreaks>
  <tableParts count="2">
    <tablePart r:id="rId2"/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61">
    <tabColor theme="0" tint="-0.14999847407452621"/>
  </sheetPr>
  <dimension ref="A1:H27"/>
  <sheetViews>
    <sheetView showGridLines="0" zoomScaleNormal="100" zoomScaleSheetLayoutView="90" workbookViewId="0">
      <selection activeCell="C17" sqref="C17:G17"/>
    </sheetView>
  </sheetViews>
  <sheetFormatPr defaultColWidth="9.140625" defaultRowHeight="18.75" customHeight="1"/>
  <cols>
    <col min="1" max="1" width="13.7109375" style="2" customWidth="1"/>
    <col min="2" max="2" width="31.5703125" style="66" customWidth="1"/>
    <col min="3" max="5" width="23.28515625" style="2" customWidth="1"/>
    <col min="6" max="6" width="23.5703125" style="2" customWidth="1"/>
    <col min="7" max="7" width="23.28515625" style="2" customWidth="1"/>
    <col min="8" max="8" width="17.5703125" style="101" bestFit="1" customWidth="1"/>
    <col min="9" max="9" width="20.5703125" style="2" customWidth="1"/>
    <col min="10" max="10" width="15.85546875" style="2" customWidth="1"/>
    <col min="11" max="16384" width="9.140625" style="2"/>
  </cols>
  <sheetData>
    <row r="1" spans="1:8" s="5" customFormat="1" ht="17.25" customHeight="1">
      <c r="A1" s="253" t="s">
        <v>124</v>
      </c>
      <c r="B1" s="253"/>
      <c r="C1" s="253"/>
      <c r="D1" s="253"/>
      <c r="E1" s="253"/>
      <c r="F1" s="253"/>
      <c r="G1" s="253"/>
      <c r="H1" s="100"/>
    </row>
    <row r="2" spans="1:8" s="5" customFormat="1" ht="15" customHeight="1">
      <c r="A2" s="290"/>
      <c r="B2" s="255"/>
      <c r="C2" s="255"/>
      <c r="D2" s="255"/>
      <c r="E2" s="255"/>
      <c r="F2" s="255"/>
      <c r="G2" s="255"/>
      <c r="H2" s="100"/>
    </row>
    <row r="3" spans="1:8" s="3" customFormat="1" ht="11.25">
      <c r="B3" s="17"/>
      <c r="H3" s="100"/>
    </row>
    <row r="4" spans="1:8" ht="11.25">
      <c r="A4" s="66"/>
      <c r="B4" s="2"/>
    </row>
    <row r="5" spans="1:8" ht="11.25">
      <c r="A5" s="57" t="s">
        <v>133</v>
      </c>
      <c r="B5" s="2"/>
    </row>
    <row r="6" spans="1:8" s="36" customFormat="1" ht="25.5" customHeight="1">
      <c r="A6" s="63" t="s">
        <v>119</v>
      </c>
      <c r="B6" s="64" t="s">
        <v>68</v>
      </c>
      <c r="C6" s="65" t="s">
        <v>182</v>
      </c>
    </row>
    <row r="7" spans="1:8" s="36" customFormat="1" ht="11.25">
      <c r="A7" s="86">
        <v>1</v>
      </c>
      <c r="B7" s="87" t="str">
        <f>VLOOKUP(Samenvattingschoonmaak[[#This Row],[Code Locatie]],Locatie!$A$1:$B$2,2,0)</f>
        <v>Opvanglocatie</v>
      </c>
      <c r="C7" s="88">
        <f ca="1">SUMIF(Overzichtextrawerkz.[[#All],[Code Locatie]:[Kosten/jaar excl. BTW]],Samenvattingschoonmaak[[#This Row],[Code Locatie]],Overzichtextrawerkz.[[#Headers],[#Data],[Kosten/jaar excl. BTW]])</f>
        <v>0</v>
      </c>
    </row>
    <row r="8" spans="1:8" s="36" customFormat="1" ht="12.75">
      <c r="A8" s="83"/>
      <c r="B8" s="84" t="s">
        <v>10</v>
      </c>
      <c r="C8" s="85">
        <f ca="1">SUBTOTAL(109,Samenvattingschoonmaak[Kosten / jaar excl btw])</f>
        <v>0</v>
      </c>
    </row>
    <row r="9" spans="1:8" ht="18.75" customHeight="1">
      <c r="A9" s="66"/>
      <c r="B9" s="2"/>
    </row>
    <row r="10" spans="1:8" ht="18.75" customHeight="1">
      <c r="A10" s="57" t="s">
        <v>89</v>
      </c>
      <c r="B10" s="35"/>
      <c r="C10" s="35"/>
      <c r="D10" s="35"/>
      <c r="E10" s="35"/>
      <c r="F10" s="35"/>
    </row>
    <row r="11" spans="1:8" ht="30.4" customHeight="1">
      <c r="A11" s="63" t="s">
        <v>119</v>
      </c>
      <c r="B11" s="64" t="s">
        <v>125</v>
      </c>
      <c r="C11" s="63" t="s">
        <v>184</v>
      </c>
      <c r="D11" s="65" t="s">
        <v>185</v>
      </c>
      <c r="E11" s="65" t="s">
        <v>254</v>
      </c>
      <c r="F11" s="65" t="s">
        <v>239</v>
      </c>
      <c r="G11" s="65" t="s">
        <v>201</v>
      </c>
      <c r="H11" s="99" t="s">
        <v>186</v>
      </c>
    </row>
    <row r="12" spans="1:8" ht="12.75">
      <c r="A12" s="86">
        <v>1</v>
      </c>
      <c r="B12" s="87" t="str">
        <f>VLOOKUP(Totalisatie[[#This Row],[Code Locatie]],Locatie!A1:B2,2,0)</f>
        <v>Opvanglocatie</v>
      </c>
      <c r="C12" s="88">
        <f ca="1">SUMIF(Overzichtextrawerkz.[[#Headers],[#Data],[Code Locatie]:[Kosten/jaar excl. BTW]],Totalisatie[[#This Row],[Code Locatie]],Overzichtextrawerkz.[[#Headers],[#Data],[Kosten/jaar excl. BTW]])</f>
        <v>0</v>
      </c>
      <c r="D12" s="252">
        <f ca="1">SUMIF(OverzichtVloer20[[#All],[Code Locatie]:[Kosten/jaar excl. BTW]],Totalisatie[[#This Row],[Code Locatie]],OverzichtVloer20[[#Headers],[#Data],[Kosten/jaar excl. BTW]])</f>
        <v>0</v>
      </c>
      <c r="E12" s="97">
        <f ca="1">SUMIF(Overzichtextrawerkz.[[#All],[Code Locatie]:[Kosten/jaar excl. BTW]],Totalisatie[[#This Row],[Code Locatie]],Overzichtextrawerkz.[[#All],[Kosten/jaar excl. BTW]])</f>
        <v>0</v>
      </c>
      <c r="F12" s="97">
        <f ca="1">SUMIF(OverzichtGlas[[Code Locatie]:[Kosten/jaar excl. BTW]],Totalisatie[[#This Row],[Code Locatie]],OverzichtGlas[Kosten/jaar excl. BTW])</f>
        <v>0</v>
      </c>
      <c r="G12" s="97">
        <f ca="1">SUMIF(Sanitair2[[#All],[Code Locatie]:[Kosten/jaar excl. BTW]],Totalisatie[[#This Row],[Code Locatie]],Sanitair2[[#All],[Kosten/jaar excl. BTW]])</f>
        <v>0</v>
      </c>
      <c r="H12" s="88">
        <f ca="1">SUM(Totalisatie[[#This Row],[Schoonmaakonderhoud
Kosten / jaar excl btw]:[Sanitaire voorzieningen kosten/ jaar excl. Btw]])</f>
        <v>0</v>
      </c>
    </row>
    <row r="13" spans="1:8" ht="12.75">
      <c r="A13" s="83"/>
      <c r="B13" s="84" t="s">
        <v>10</v>
      </c>
      <c r="C13" s="85">
        <f ca="1">SUBTOTAL(109,Totalisatie[Schoonmaakonderhoud
Kosten / jaar excl btw])</f>
        <v>0</v>
      </c>
      <c r="D13" s="85">
        <f ca="1">SUBTOTAL(109,Totalisatie[Vloeronderhoud
Kosten / jaar excl btw])</f>
        <v>0</v>
      </c>
      <c r="E13" s="85">
        <f ca="1">SUBTOTAL(109,Totalisatie[Dieptereiniging sanitair kosten/ jaar excl. btw])</f>
        <v>0</v>
      </c>
      <c r="F13" s="85"/>
      <c r="G13" s="85">
        <f ca="1">SUBTOTAL(109,Totalisatie[Sanitaire voorzieningen kosten/ jaar excl. Btw])</f>
        <v>0</v>
      </c>
      <c r="H13" s="85">
        <f ca="1">SUBTOTAL(109,Totalisatie[Totaalprijs
Kosten / jaar excl. btw])</f>
        <v>0</v>
      </c>
    </row>
    <row r="14" spans="1:8" ht="18.75" customHeight="1">
      <c r="A14" s="66"/>
      <c r="B14" s="2"/>
      <c r="C14" s="114"/>
      <c r="D14" s="103"/>
      <c r="E14" s="103"/>
      <c r="F14" s="103"/>
      <c r="G14" s="103"/>
    </row>
    <row r="15" spans="1:8" ht="18.75" customHeight="1">
      <c r="A15" s="66"/>
      <c r="B15" s="2"/>
    </row>
    <row r="16" spans="1:8" ht="11.25">
      <c r="A16" s="57" t="s">
        <v>126</v>
      </c>
      <c r="B16" s="2"/>
    </row>
    <row r="17" spans="1:7" ht="18.75" customHeight="1">
      <c r="A17" s="310" t="s">
        <v>130</v>
      </c>
      <c r="B17" s="311"/>
      <c r="C17" s="312" t="s">
        <v>172</v>
      </c>
      <c r="D17" s="312"/>
      <c r="E17" s="312"/>
      <c r="F17" s="312"/>
      <c r="G17" s="313"/>
    </row>
    <row r="18" spans="1:7" ht="18.75" customHeight="1">
      <c r="A18" s="67" t="s">
        <v>67</v>
      </c>
      <c r="B18" s="314" t="s">
        <v>136</v>
      </c>
      <c r="C18" s="315"/>
      <c r="D18" s="67" t="s">
        <v>67</v>
      </c>
      <c r="E18" s="314" t="s">
        <v>136</v>
      </c>
      <c r="F18" s="318"/>
      <c r="G18" s="315"/>
    </row>
    <row r="19" spans="1:7" ht="18.75" customHeight="1">
      <c r="A19" s="68" t="s">
        <v>127</v>
      </c>
      <c r="B19" s="316" t="s">
        <v>136</v>
      </c>
      <c r="C19" s="317"/>
      <c r="D19" s="68" t="s">
        <v>127</v>
      </c>
      <c r="E19" s="316" t="s">
        <v>136</v>
      </c>
      <c r="F19" s="319"/>
      <c r="G19" s="317"/>
    </row>
    <row r="20" spans="1:7" ht="18.75" customHeight="1">
      <c r="A20" s="67" t="s">
        <v>128</v>
      </c>
      <c r="B20" s="314" t="s">
        <v>136</v>
      </c>
      <c r="C20" s="315"/>
      <c r="D20" s="67" t="s">
        <v>128</v>
      </c>
      <c r="E20" s="314" t="s">
        <v>136</v>
      </c>
      <c r="F20" s="318"/>
      <c r="G20" s="315"/>
    </row>
    <row r="21" spans="1:7" ht="37.5" customHeight="1">
      <c r="A21" s="68" t="s">
        <v>129</v>
      </c>
      <c r="B21" s="316" t="s">
        <v>136</v>
      </c>
      <c r="C21" s="317"/>
      <c r="D21" s="68" t="s">
        <v>129</v>
      </c>
      <c r="E21" s="307" t="s">
        <v>136</v>
      </c>
      <c r="F21" s="308"/>
      <c r="G21" s="309"/>
    </row>
    <row r="22" spans="1:7" ht="18.75" customHeight="1">
      <c r="A22" s="67" t="s">
        <v>132</v>
      </c>
      <c r="B22" s="69"/>
      <c r="C22" s="70"/>
      <c r="D22" s="71"/>
      <c r="E22" s="72"/>
      <c r="F22" s="72"/>
      <c r="G22" s="73"/>
    </row>
    <row r="25" spans="1:7" ht="18.75" hidden="1" customHeight="1">
      <c r="E25" s="104">
        <v>1332069.4835246154</v>
      </c>
    </row>
    <row r="26" spans="1:7" ht="18.75" hidden="1" customHeight="1">
      <c r="E26" s="103">
        <f ca="1">Totalisatie[[#Totals],[Totaalprijs
Kosten / jaar excl. btw]]-E25</f>
        <v>-1332069.4835246154</v>
      </c>
    </row>
    <row r="27" spans="1:7" ht="18.75" hidden="1" customHeight="1"/>
  </sheetData>
  <mergeCells count="12">
    <mergeCell ref="A1:G1"/>
    <mergeCell ref="A2:G2"/>
    <mergeCell ref="E21:G21"/>
    <mergeCell ref="A17:B17"/>
    <mergeCell ref="C17:G17"/>
    <mergeCell ref="B18:C18"/>
    <mergeCell ref="B19:C19"/>
    <mergeCell ref="B20:C20"/>
    <mergeCell ref="B21:C21"/>
    <mergeCell ref="E18:G18"/>
    <mergeCell ref="E19:G19"/>
    <mergeCell ref="E20:G20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38" orientation="portrait" r:id="rId1"/>
  <headerFooter>
    <oddFooter>&amp;L&amp;F&amp;C&amp;D&amp;R&amp;A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38878-91F0-4ED2-BFD9-7ABB8A0C5B68}">
  <sheetPr>
    <tabColor theme="0" tint="-0.14999847407452621"/>
  </sheetPr>
  <dimension ref="A1:N2"/>
  <sheetViews>
    <sheetView workbookViewId="0">
      <selection activeCell="F13" sqref="F13"/>
    </sheetView>
  </sheetViews>
  <sheetFormatPr defaultRowHeight="12.75"/>
  <cols>
    <col min="1" max="1" width="7.85546875" customWidth="1"/>
    <col min="2" max="2" width="14" bestFit="1" customWidth="1"/>
    <col min="3" max="3" width="14.7109375" bestFit="1" customWidth="1"/>
    <col min="4" max="4" width="12.140625" bestFit="1" customWidth="1"/>
  </cols>
  <sheetData>
    <row r="1" spans="1:14" s="189" customFormat="1" ht="26.25" customHeight="1" thickBot="1">
      <c r="A1" s="184" t="s">
        <v>11</v>
      </c>
      <c r="B1" s="185" t="s">
        <v>68</v>
      </c>
      <c r="C1" s="186" t="s">
        <v>247</v>
      </c>
      <c r="D1" s="187" t="s">
        <v>248</v>
      </c>
      <c r="E1" s="62" t="s">
        <v>249</v>
      </c>
      <c r="F1" s="188"/>
      <c r="G1" s="188"/>
      <c r="I1" s="190"/>
      <c r="J1" s="191"/>
      <c r="K1" s="191"/>
      <c r="L1" s="191"/>
      <c r="M1" s="191"/>
      <c r="N1" s="191"/>
    </row>
    <row r="2" spans="1:14" s="189" customFormat="1" ht="15" customHeight="1" thickTop="1">
      <c r="A2" s="192">
        <v>1</v>
      </c>
      <c r="B2" s="193" t="s">
        <v>250</v>
      </c>
      <c r="C2" s="194" t="s">
        <v>251</v>
      </c>
      <c r="D2" s="194" t="s">
        <v>253</v>
      </c>
      <c r="E2" s="3" t="s">
        <v>252</v>
      </c>
      <c r="F2" s="188"/>
      <c r="G2" s="188"/>
      <c r="I2" s="190"/>
      <c r="J2" s="191"/>
      <c r="K2" s="191"/>
      <c r="L2" s="191"/>
      <c r="M2" s="191"/>
      <c r="N2" s="19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EE8A5-78E4-4C57-8430-12CDE2A20B61}">
  <sheetPr codeName="Blad7">
    <tabColor theme="0" tint="-0.14999847407452621"/>
  </sheetPr>
  <dimension ref="A1:I48"/>
  <sheetViews>
    <sheetView view="pageBreakPreview" zoomScaleNormal="100" zoomScaleSheetLayoutView="100" workbookViewId="0">
      <selection activeCell="F47" sqref="F47"/>
    </sheetView>
  </sheetViews>
  <sheetFormatPr defaultRowHeight="15"/>
  <cols>
    <col min="1" max="3" width="9.140625" style="205"/>
    <col min="4" max="4" width="27.5703125" style="205" customWidth="1"/>
    <col min="5" max="9" width="7.28515625" style="205" customWidth="1"/>
    <col min="10" max="259" width="9.140625" style="205"/>
    <col min="260" max="260" width="27.5703125" style="205" customWidth="1"/>
    <col min="261" max="265" width="7.28515625" style="205" customWidth="1"/>
    <col min="266" max="515" width="9.140625" style="205"/>
    <col min="516" max="516" width="27.5703125" style="205" customWidth="1"/>
    <col min="517" max="521" width="7.28515625" style="205" customWidth="1"/>
    <col min="522" max="771" width="9.140625" style="205"/>
    <col min="772" max="772" width="27.5703125" style="205" customWidth="1"/>
    <col min="773" max="777" width="7.28515625" style="205" customWidth="1"/>
    <col min="778" max="1027" width="9.140625" style="205"/>
    <col min="1028" max="1028" width="27.5703125" style="205" customWidth="1"/>
    <col min="1029" max="1033" width="7.28515625" style="205" customWidth="1"/>
    <col min="1034" max="1283" width="9.140625" style="205"/>
    <col min="1284" max="1284" width="27.5703125" style="205" customWidth="1"/>
    <col min="1285" max="1289" width="7.28515625" style="205" customWidth="1"/>
    <col min="1290" max="1539" width="9.140625" style="205"/>
    <col min="1540" max="1540" width="27.5703125" style="205" customWidth="1"/>
    <col min="1541" max="1545" width="7.28515625" style="205" customWidth="1"/>
    <col min="1546" max="1795" width="9.140625" style="205"/>
    <col min="1796" max="1796" width="27.5703125" style="205" customWidth="1"/>
    <col min="1797" max="1801" width="7.28515625" style="205" customWidth="1"/>
    <col min="1802" max="2051" width="9.140625" style="205"/>
    <col min="2052" max="2052" width="27.5703125" style="205" customWidth="1"/>
    <col min="2053" max="2057" width="7.28515625" style="205" customWidth="1"/>
    <col min="2058" max="2307" width="9.140625" style="205"/>
    <col min="2308" max="2308" width="27.5703125" style="205" customWidth="1"/>
    <col min="2309" max="2313" width="7.28515625" style="205" customWidth="1"/>
    <col min="2314" max="2563" width="9.140625" style="205"/>
    <col min="2564" max="2564" width="27.5703125" style="205" customWidth="1"/>
    <col min="2565" max="2569" width="7.28515625" style="205" customWidth="1"/>
    <col min="2570" max="2819" width="9.140625" style="205"/>
    <col min="2820" max="2820" width="27.5703125" style="205" customWidth="1"/>
    <col min="2821" max="2825" width="7.28515625" style="205" customWidth="1"/>
    <col min="2826" max="3075" width="9.140625" style="205"/>
    <col min="3076" max="3076" width="27.5703125" style="205" customWidth="1"/>
    <col min="3077" max="3081" width="7.28515625" style="205" customWidth="1"/>
    <col min="3082" max="3331" width="9.140625" style="205"/>
    <col min="3332" max="3332" width="27.5703125" style="205" customWidth="1"/>
    <col min="3333" max="3337" width="7.28515625" style="205" customWidth="1"/>
    <col min="3338" max="3587" width="9.140625" style="205"/>
    <col min="3588" max="3588" width="27.5703125" style="205" customWidth="1"/>
    <col min="3589" max="3593" width="7.28515625" style="205" customWidth="1"/>
    <col min="3594" max="3843" width="9.140625" style="205"/>
    <col min="3844" max="3844" width="27.5703125" style="205" customWidth="1"/>
    <col min="3845" max="3849" width="7.28515625" style="205" customWidth="1"/>
    <col min="3850" max="4099" width="9.140625" style="205"/>
    <col min="4100" max="4100" width="27.5703125" style="205" customWidth="1"/>
    <col min="4101" max="4105" width="7.28515625" style="205" customWidth="1"/>
    <col min="4106" max="4355" width="9.140625" style="205"/>
    <col min="4356" max="4356" width="27.5703125" style="205" customWidth="1"/>
    <col min="4357" max="4361" width="7.28515625" style="205" customWidth="1"/>
    <col min="4362" max="4611" width="9.140625" style="205"/>
    <col min="4612" max="4612" width="27.5703125" style="205" customWidth="1"/>
    <col min="4613" max="4617" width="7.28515625" style="205" customWidth="1"/>
    <col min="4618" max="4867" width="9.140625" style="205"/>
    <col min="4868" max="4868" width="27.5703125" style="205" customWidth="1"/>
    <col min="4869" max="4873" width="7.28515625" style="205" customWidth="1"/>
    <col min="4874" max="5123" width="9.140625" style="205"/>
    <col min="5124" max="5124" width="27.5703125" style="205" customWidth="1"/>
    <col min="5125" max="5129" width="7.28515625" style="205" customWidth="1"/>
    <col min="5130" max="5379" width="9.140625" style="205"/>
    <col min="5380" max="5380" width="27.5703125" style="205" customWidth="1"/>
    <col min="5381" max="5385" width="7.28515625" style="205" customWidth="1"/>
    <col min="5386" max="5635" width="9.140625" style="205"/>
    <col min="5636" max="5636" width="27.5703125" style="205" customWidth="1"/>
    <col min="5637" max="5641" width="7.28515625" style="205" customWidth="1"/>
    <col min="5642" max="5891" width="9.140625" style="205"/>
    <col min="5892" max="5892" width="27.5703125" style="205" customWidth="1"/>
    <col min="5893" max="5897" width="7.28515625" style="205" customWidth="1"/>
    <col min="5898" max="6147" width="9.140625" style="205"/>
    <col min="6148" max="6148" width="27.5703125" style="205" customWidth="1"/>
    <col min="6149" max="6153" width="7.28515625" style="205" customWidth="1"/>
    <col min="6154" max="6403" width="9.140625" style="205"/>
    <col min="6404" max="6404" width="27.5703125" style="205" customWidth="1"/>
    <col min="6405" max="6409" width="7.28515625" style="205" customWidth="1"/>
    <col min="6410" max="6659" width="9.140625" style="205"/>
    <col min="6660" max="6660" width="27.5703125" style="205" customWidth="1"/>
    <col min="6661" max="6665" width="7.28515625" style="205" customWidth="1"/>
    <col min="6666" max="6915" width="9.140625" style="205"/>
    <col min="6916" max="6916" width="27.5703125" style="205" customWidth="1"/>
    <col min="6917" max="6921" width="7.28515625" style="205" customWidth="1"/>
    <col min="6922" max="7171" width="9.140625" style="205"/>
    <col min="7172" max="7172" width="27.5703125" style="205" customWidth="1"/>
    <col min="7173" max="7177" width="7.28515625" style="205" customWidth="1"/>
    <col min="7178" max="7427" width="9.140625" style="205"/>
    <col min="7428" max="7428" width="27.5703125" style="205" customWidth="1"/>
    <col min="7429" max="7433" width="7.28515625" style="205" customWidth="1"/>
    <col min="7434" max="7683" width="9.140625" style="205"/>
    <col min="7684" max="7684" width="27.5703125" style="205" customWidth="1"/>
    <col min="7685" max="7689" width="7.28515625" style="205" customWidth="1"/>
    <col min="7690" max="7939" width="9.140625" style="205"/>
    <col min="7940" max="7940" width="27.5703125" style="205" customWidth="1"/>
    <col min="7941" max="7945" width="7.28515625" style="205" customWidth="1"/>
    <col min="7946" max="8195" width="9.140625" style="205"/>
    <col min="8196" max="8196" width="27.5703125" style="205" customWidth="1"/>
    <col min="8197" max="8201" width="7.28515625" style="205" customWidth="1"/>
    <col min="8202" max="8451" width="9.140625" style="205"/>
    <col min="8452" max="8452" width="27.5703125" style="205" customWidth="1"/>
    <col min="8453" max="8457" width="7.28515625" style="205" customWidth="1"/>
    <col min="8458" max="8707" width="9.140625" style="205"/>
    <col min="8708" max="8708" width="27.5703125" style="205" customWidth="1"/>
    <col min="8709" max="8713" width="7.28515625" style="205" customWidth="1"/>
    <col min="8714" max="8963" width="9.140625" style="205"/>
    <col min="8964" max="8964" width="27.5703125" style="205" customWidth="1"/>
    <col min="8965" max="8969" width="7.28515625" style="205" customWidth="1"/>
    <col min="8970" max="9219" width="9.140625" style="205"/>
    <col min="9220" max="9220" width="27.5703125" style="205" customWidth="1"/>
    <col min="9221" max="9225" width="7.28515625" style="205" customWidth="1"/>
    <col min="9226" max="9475" width="9.140625" style="205"/>
    <col min="9476" max="9476" width="27.5703125" style="205" customWidth="1"/>
    <col min="9477" max="9481" width="7.28515625" style="205" customWidth="1"/>
    <col min="9482" max="9731" width="9.140625" style="205"/>
    <col min="9732" max="9732" width="27.5703125" style="205" customWidth="1"/>
    <col min="9733" max="9737" width="7.28515625" style="205" customWidth="1"/>
    <col min="9738" max="9987" width="9.140625" style="205"/>
    <col min="9988" max="9988" width="27.5703125" style="205" customWidth="1"/>
    <col min="9989" max="9993" width="7.28515625" style="205" customWidth="1"/>
    <col min="9994" max="10243" width="9.140625" style="205"/>
    <col min="10244" max="10244" width="27.5703125" style="205" customWidth="1"/>
    <col min="10245" max="10249" width="7.28515625" style="205" customWidth="1"/>
    <col min="10250" max="10499" width="9.140625" style="205"/>
    <col min="10500" max="10500" width="27.5703125" style="205" customWidth="1"/>
    <col min="10501" max="10505" width="7.28515625" style="205" customWidth="1"/>
    <col min="10506" max="10755" width="9.140625" style="205"/>
    <col min="10756" max="10756" width="27.5703125" style="205" customWidth="1"/>
    <col min="10757" max="10761" width="7.28515625" style="205" customWidth="1"/>
    <col min="10762" max="11011" width="9.140625" style="205"/>
    <col min="11012" max="11012" width="27.5703125" style="205" customWidth="1"/>
    <col min="11013" max="11017" width="7.28515625" style="205" customWidth="1"/>
    <col min="11018" max="11267" width="9.140625" style="205"/>
    <col min="11268" max="11268" width="27.5703125" style="205" customWidth="1"/>
    <col min="11269" max="11273" width="7.28515625" style="205" customWidth="1"/>
    <col min="11274" max="11523" width="9.140625" style="205"/>
    <col min="11524" max="11524" width="27.5703125" style="205" customWidth="1"/>
    <col min="11525" max="11529" width="7.28515625" style="205" customWidth="1"/>
    <col min="11530" max="11779" width="9.140625" style="205"/>
    <col min="11780" max="11780" width="27.5703125" style="205" customWidth="1"/>
    <col min="11781" max="11785" width="7.28515625" style="205" customWidth="1"/>
    <col min="11786" max="12035" width="9.140625" style="205"/>
    <col min="12036" max="12036" width="27.5703125" style="205" customWidth="1"/>
    <col min="12037" max="12041" width="7.28515625" style="205" customWidth="1"/>
    <col min="12042" max="12291" width="9.140625" style="205"/>
    <col min="12292" max="12292" width="27.5703125" style="205" customWidth="1"/>
    <col min="12293" max="12297" width="7.28515625" style="205" customWidth="1"/>
    <col min="12298" max="12547" width="9.140625" style="205"/>
    <col min="12548" max="12548" width="27.5703125" style="205" customWidth="1"/>
    <col min="12549" max="12553" width="7.28515625" style="205" customWidth="1"/>
    <col min="12554" max="12803" width="9.140625" style="205"/>
    <col min="12804" max="12804" width="27.5703125" style="205" customWidth="1"/>
    <col min="12805" max="12809" width="7.28515625" style="205" customWidth="1"/>
    <col min="12810" max="13059" width="9.140625" style="205"/>
    <col min="13060" max="13060" width="27.5703125" style="205" customWidth="1"/>
    <col min="13061" max="13065" width="7.28515625" style="205" customWidth="1"/>
    <col min="13066" max="13315" width="9.140625" style="205"/>
    <col min="13316" max="13316" width="27.5703125" style="205" customWidth="1"/>
    <col min="13317" max="13321" width="7.28515625" style="205" customWidth="1"/>
    <col min="13322" max="13571" width="9.140625" style="205"/>
    <col min="13572" max="13572" width="27.5703125" style="205" customWidth="1"/>
    <col min="13573" max="13577" width="7.28515625" style="205" customWidth="1"/>
    <col min="13578" max="13827" width="9.140625" style="205"/>
    <col min="13828" max="13828" width="27.5703125" style="205" customWidth="1"/>
    <col min="13829" max="13833" width="7.28515625" style="205" customWidth="1"/>
    <col min="13834" max="14083" width="9.140625" style="205"/>
    <col min="14084" max="14084" width="27.5703125" style="205" customWidth="1"/>
    <col min="14085" max="14089" width="7.28515625" style="205" customWidth="1"/>
    <col min="14090" max="14339" width="9.140625" style="205"/>
    <col min="14340" max="14340" width="27.5703125" style="205" customWidth="1"/>
    <col min="14341" max="14345" width="7.28515625" style="205" customWidth="1"/>
    <col min="14346" max="14595" width="9.140625" style="205"/>
    <col min="14596" max="14596" width="27.5703125" style="205" customWidth="1"/>
    <col min="14597" max="14601" width="7.28515625" style="205" customWidth="1"/>
    <col min="14602" max="14851" width="9.140625" style="205"/>
    <col min="14852" max="14852" width="27.5703125" style="205" customWidth="1"/>
    <col min="14853" max="14857" width="7.28515625" style="205" customWidth="1"/>
    <col min="14858" max="15107" width="9.140625" style="205"/>
    <col min="15108" max="15108" width="27.5703125" style="205" customWidth="1"/>
    <col min="15109" max="15113" width="7.28515625" style="205" customWidth="1"/>
    <col min="15114" max="15363" width="9.140625" style="205"/>
    <col min="15364" max="15364" width="27.5703125" style="205" customWidth="1"/>
    <col min="15365" max="15369" width="7.28515625" style="205" customWidth="1"/>
    <col min="15370" max="15619" width="9.140625" style="205"/>
    <col min="15620" max="15620" width="27.5703125" style="205" customWidth="1"/>
    <col min="15621" max="15625" width="7.28515625" style="205" customWidth="1"/>
    <col min="15626" max="15875" width="9.140625" style="205"/>
    <col min="15876" max="15876" width="27.5703125" style="205" customWidth="1"/>
    <col min="15877" max="15881" width="7.28515625" style="205" customWidth="1"/>
    <col min="15882" max="16131" width="9.140625" style="205"/>
    <col min="16132" max="16132" width="27.5703125" style="205" customWidth="1"/>
    <col min="16133" max="16137" width="7.28515625" style="205" customWidth="1"/>
    <col min="16138" max="16384" width="9.140625" style="205"/>
  </cols>
  <sheetData>
    <row r="1" spans="1:9" ht="20.25">
      <c r="A1" s="202" t="s">
        <v>266</v>
      </c>
      <c r="B1" s="203"/>
      <c r="C1" s="203"/>
      <c r="D1" s="203"/>
      <c r="E1" s="204" t="s">
        <v>267</v>
      </c>
      <c r="F1" s="204" t="s">
        <v>267</v>
      </c>
      <c r="G1" s="204" t="s">
        <v>267</v>
      </c>
      <c r="H1" s="204" t="s">
        <v>267</v>
      </c>
      <c r="I1" s="204" t="s">
        <v>267</v>
      </c>
    </row>
    <row r="2" spans="1:9">
      <c r="A2" s="206" t="s">
        <v>268</v>
      </c>
      <c r="B2" s="207"/>
      <c r="C2" s="207"/>
      <c r="D2" s="207"/>
      <c r="E2" s="208">
        <v>365</v>
      </c>
      <c r="F2" s="208">
        <v>52</v>
      </c>
      <c r="G2" s="208">
        <v>104</v>
      </c>
      <c r="H2" s="208">
        <v>12</v>
      </c>
      <c r="I2" s="208">
        <v>12</v>
      </c>
    </row>
    <row r="3" spans="1:9">
      <c r="A3" s="209" t="s">
        <v>269</v>
      </c>
      <c r="B3" s="210"/>
      <c r="C3" s="210"/>
      <c r="D3" s="210"/>
      <c r="E3" s="211"/>
      <c r="F3" s="211"/>
      <c r="G3" s="211"/>
      <c r="H3" s="211"/>
      <c r="I3" s="211"/>
    </row>
    <row r="4" spans="1:9">
      <c r="A4" s="212" t="s">
        <v>270</v>
      </c>
      <c r="B4" s="213"/>
      <c r="C4" s="213"/>
      <c r="D4" s="213"/>
      <c r="E4" s="214"/>
      <c r="F4" s="214"/>
      <c r="G4" s="214"/>
      <c r="H4" s="214"/>
      <c r="I4" s="214"/>
    </row>
    <row r="5" spans="1:9">
      <c r="A5" s="215" t="s">
        <v>271</v>
      </c>
      <c r="B5" s="216"/>
      <c r="C5" s="216"/>
      <c r="D5" s="216"/>
      <c r="E5" s="208" t="s">
        <v>272</v>
      </c>
      <c r="F5" s="208"/>
      <c r="G5" s="208"/>
      <c r="H5" s="208"/>
      <c r="I5" s="208"/>
    </row>
    <row r="6" spans="1:9">
      <c r="A6" s="217" t="s">
        <v>273</v>
      </c>
      <c r="B6" s="218"/>
      <c r="C6" s="218"/>
      <c r="D6" s="219"/>
      <c r="E6" s="220" t="s">
        <v>272</v>
      </c>
      <c r="F6" s="220"/>
      <c r="G6" s="220"/>
      <c r="H6" s="220"/>
      <c r="I6" s="220"/>
    </row>
    <row r="7" spans="1:9">
      <c r="A7" s="217" t="s">
        <v>274</v>
      </c>
      <c r="B7" s="218"/>
      <c r="C7" s="218"/>
      <c r="D7" s="219"/>
      <c r="E7" s="220" t="s">
        <v>272</v>
      </c>
      <c r="F7" s="220"/>
      <c r="G7" s="220"/>
      <c r="H7" s="220"/>
      <c r="I7" s="220"/>
    </row>
    <row r="8" spans="1:9">
      <c r="A8" s="221" t="s">
        <v>275</v>
      </c>
      <c r="B8" s="222"/>
      <c r="C8" s="222"/>
      <c r="D8" s="223"/>
      <c r="E8" s="204" t="s">
        <v>272</v>
      </c>
      <c r="F8" s="204"/>
      <c r="G8" s="204"/>
      <c r="H8" s="204"/>
      <c r="I8" s="204"/>
    </row>
    <row r="9" spans="1:9">
      <c r="A9" s="217" t="s">
        <v>276</v>
      </c>
      <c r="B9" s="218"/>
      <c r="C9" s="218"/>
      <c r="D9" s="219"/>
      <c r="E9" s="220" t="s">
        <v>272</v>
      </c>
      <c r="F9" s="220"/>
      <c r="G9" s="220"/>
      <c r="H9" s="220"/>
      <c r="I9" s="220"/>
    </row>
    <row r="10" spans="1:9">
      <c r="A10" s="217" t="s">
        <v>277</v>
      </c>
      <c r="B10" s="218"/>
      <c r="C10" s="218"/>
      <c r="D10" s="219"/>
      <c r="E10" s="220" t="s">
        <v>272</v>
      </c>
      <c r="F10" s="220"/>
      <c r="G10" s="220"/>
      <c r="H10" s="220"/>
      <c r="I10" s="220"/>
    </row>
    <row r="11" spans="1:9">
      <c r="A11" s="217" t="s">
        <v>278</v>
      </c>
      <c r="B11" s="218"/>
      <c r="C11" s="218"/>
      <c r="D11" s="219"/>
      <c r="E11" s="220" t="s">
        <v>272</v>
      </c>
      <c r="F11" s="220"/>
      <c r="G11" s="220"/>
      <c r="H11" s="220"/>
      <c r="I11" s="220"/>
    </row>
    <row r="12" spans="1:9">
      <c r="A12" s="217" t="s">
        <v>203</v>
      </c>
      <c r="B12" s="218"/>
      <c r="C12" s="218"/>
      <c r="D12" s="219"/>
      <c r="E12" s="220" t="s">
        <v>272</v>
      </c>
      <c r="F12" s="220"/>
      <c r="G12" s="220"/>
      <c r="H12" s="220"/>
      <c r="I12" s="220"/>
    </row>
    <row r="13" spans="1:9">
      <c r="A13" s="217" t="s">
        <v>279</v>
      </c>
      <c r="B13" s="218"/>
      <c r="C13" s="218"/>
      <c r="D13" s="219"/>
      <c r="E13" s="220" t="s">
        <v>272</v>
      </c>
      <c r="F13" s="220"/>
      <c r="G13" s="220"/>
      <c r="H13" s="220"/>
      <c r="I13" s="220"/>
    </row>
    <row r="14" spans="1:9">
      <c r="A14" s="217" t="s">
        <v>280</v>
      </c>
      <c r="B14" s="218"/>
      <c r="C14" s="218"/>
      <c r="D14" s="219"/>
      <c r="E14" s="220" t="s">
        <v>272</v>
      </c>
      <c r="F14" s="220"/>
      <c r="G14" s="220"/>
      <c r="H14" s="220"/>
      <c r="I14" s="220"/>
    </row>
    <row r="15" spans="1:9">
      <c r="A15" s="224" t="s">
        <v>281</v>
      </c>
      <c r="B15" s="224"/>
      <c r="C15" s="224"/>
      <c r="D15" s="224"/>
      <c r="E15" s="220" t="s">
        <v>272</v>
      </c>
      <c r="F15" s="220"/>
      <c r="G15" s="220"/>
      <c r="H15" s="220"/>
      <c r="I15" s="220"/>
    </row>
    <row r="16" spans="1:9">
      <c r="A16" s="215"/>
      <c r="B16" s="216"/>
      <c r="C16" s="216"/>
      <c r="D16" s="216"/>
      <c r="E16" s="225"/>
      <c r="F16" s="225"/>
      <c r="G16" s="225"/>
      <c r="H16" s="225"/>
      <c r="I16" s="225"/>
    </row>
    <row r="17" spans="1:9">
      <c r="A17" s="212" t="s">
        <v>282</v>
      </c>
      <c r="B17" s="226"/>
      <c r="C17" s="226"/>
      <c r="D17" s="226"/>
      <c r="E17" s="227"/>
      <c r="F17" s="227"/>
      <c r="G17" s="227"/>
      <c r="H17" s="227"/>
      <c r="I17" s="227"/>
    </row>
    <row r="18" spans="1:9">
      <c r="A18" s="217" t="s">
        <v>283</v>
      </c>
      <c r="B18" s="218"/>
      <c r="C18" s="218"/>
      <c r="D18" s="219"/>
      <c r="E18" s="220"/>
      <c r="F18" s="220" t="s">
        <v>272</v>
      </c>
      <c r="G18" s="220"/>
      <c r="H18" s="220"/>
      <c r="I18" s="220"/>
    </row>
    <row r="19" spans="1:9">
      <c r="A19" s="217" t="s">
        <v>284</v>
      </c>
      <c r="B19" s="218"/>
      <c r="C19" s="218"/>
      <c r="D19" s="219"/>
      <c r="E19" s="220"/>
      <c r="F19" s="220" t="s">
        <v>272</v>
      </c>
      <c r="G19" s="220"/>
      <c r="H19" s="220"/>
      <c r="I19" s="220"/>
    </row>
    <row r="20" spans="1:9">
      <c r="A20" s="217" t="s">
        <v>285</v>
      </c>
      <c r="B20" s="218"/>
      <c r="C20" s="218"/>
      <c r="D20" s="219"/>
      <c r="E20" s="220"/>
      <c r="F20" s="220" t="s">
        <v>272</v>
      </c>
      <c r="G20" s="220"/>
      <c r="H20" s="220"/>
      <c r="I20" s="220"/>
    </row>
    <row r="21" spans="1:9">
      <c r="A21" s="224" t="s">
        <v>286</v>
      </c>
      <c r="B21" s="224"/>
      <c r="C21" s="224"/>
      <c r="D21" s="219"/>
      <c r="E21" s="220"/>
      <c r="F21" s="220" t="s">
        <v>272</v>
      </c>
      <c r="G21" s="220"/>
      <c r="H21" s="220"/>
      <c r="I21" s="220"/>
    </row>
    <row r="22" spans="1:9">
      <c r="A22" s="217" t="s">
        <v>287</v>
      </c>
      <c r="B22" s="218"/>
      <c r="C22" s="218"/>
      <c r="D22" s="219"/>
      <c r="E22" s="220"/>
      <c r="F22" s="220" t="s">
        <v>272</v>
      </c>
      <c r="G22" s="220"/>
      <c r="H22" s="220"/>
      <c r="I22" s="220"/>
    </row>
    <row r="23" spans="1:9">
      <c r="A23" s="224" t="s">
        <v>288</v>
      </c>
      <c r="B23" s="228"/>
      <c r="C23" s="228"/>
      <c r="D23" s="229"/>
      <c r="E23" s="220"/>
      <c r="F23" s="220" t="s">
        <v>272</v>
      </c>
      <c r="G23" s="220"/>
      <c r="H23" s="220"/>
      <c r="I23" s="220"/>
    </row>
    <row r="24" spans="1:9">
      <c r="A24" s="217"/>
      <c r="B24" s="218"/>
      <c r="C24" s="218"/>
      <c r="D24" s="219"/>
      <c r="E24" s="220"/>
      <c r="F24" s="220"/>
      <c r="G24" s="220"/>
      <c r="H24" s="220"/>
      <c r="I24" s="220"/>
    </row>
    <row r="25" spans="1:9">
      <c r="A25" s="212" t="s">
        <v>289</v>
      </c>
      <c r="B25" s="226"/>
      <c r="C25" s="226"/>
      <c r="D25" s="230"/>
      <c r="E25" s="227"/>
      <c r="F25" s="227"/>
      <c r="G25" s="227"/>
      <c r="H25" s="227"/>
      <c r="I25" s="227"/>
    </row>
    <row r="26" spans="1:9">
      <c r="A26" s="231" t="s">
        <v>290</v>
      </c>
      <c r="B26" s="222"/>
      <c r="C26" s="222"/>
      <c r="D26" s="223"/>
      <c r="E26" s="220"/>
      <c r="F26" s="220"/>
      <c r="G26" s="220" t="s">
        <v>272</v>
      </c>
      <c r="H26" s="220"/>
      <c r="I26" s="220"/>
    </row>
    <row r="27" spans="1:9">
      <c r="A27" s="232" t="s">
        <v>291</v>
      </c>
      <c r="B27" s="218"/>
      <c r="C27" s="218"/>
      <c r="D27" s="219"/>
      <c r="E27" s="220"/>
      <c r="F27" s="220"/>
      <c r="G27" s="220" t="s">
        <v>272</v>
      </c>
      <c r="H27" s="220"/>
      <c r="I27" s="220"/>
    </row>
    <row r="28" spans="1:9">
      <c r="A28" s="232" t="s">
        <v>292</v>
      </c>
      <c r="B28" s="218"/>
      <c r="C28" s="218"/>
      <c r="D28" s="219"/>
      <c r="E28" s="220"/>
      <c r="F28" s="220"/>
      <c r="G28" s="220" t="s">
        <v>272</v>
      </c>
      <c r="H28" s="220"/>
      <c r="I28" s="220"/>
    </row>
    <row r="29" spans="1:9">
      <c r="A29" s="217" t="s">
        <v>293</v>
      </c>
      <c r="B29" s="218"/>
      <c r="C29" s="218"/>
      <c r="D29" s="219"/>
      <c r="E29" s="220"/>
      <c r="F29" s="220"/>
      <c r="G29" s="220" t="s">
        <v>272</v>
      </c>
      <c r="H29" s="220"/>
      <c r="I29" s="220"/>
    </row>
    <row r="30" spans="1:9">
      <c r="A30" s="224" t="s">
        <v>294</v>
      </c>
      <c r="B30" s="224"/>
      <c r="C30" s="224"/>
      <c r="D30" s="224"/>
      <c r="E30" s="220"/>
      <c r="F30" s="220"/>
      <c r="G30" s="220" t="s">
        <v>272</v>
      </c>
      <c r="H30" s="220"/>
      <c r="I30" s="220"/>
    </row>
    <row r="31" spans="1:9">
      <c r="A31" s="217" t="s">
        <v>295</v>
      </c>
      <c r="B31" s="218"/>
      <c r="C31" s="218"/>
      <c r="D31" s="219"/>
      <c r="E31" s="220"/>
      <c r="F31" s="220"/>
      <c r="G31" s="220" t="s">
        <v>272</v>
      </c>
      <c r="H31" s="220"/>
      <c r="I31" s="220"/>
    </row>
    <row r="32" spans="1:9">
      <c r="A32" s="224" t="s">
        <v>296</v>
      </c>
      <c r="B32" s="224"/>
      <c r="C32" s="224"/>
      <c r="D32" s="224"/>
      <c r="E32" s="220"/>
      <c r="F32" s="220"/>
      <c r="G32" s="220" t="s">
        <v>272</v>
      </c>
      <c r="H32" s="220"/>
      <c r="I32" s="220"/>
    </row>
    <row r="33" spans="1:9">
      <c r="A33" s="224" t="s">
        <v>297</v>
      </c>
      <c r="B33" s="224"/>
      <c r="C33" s="224"/>
      <c r="D33" s="224"/>
      <c r="E33" s="220"/>
      <c r="F33" s="220"/>
      <c r="G33" s="220" t="s">
        <v>272</v>
      </c>
      <c r="H33" s="220"/>
      <c r="I33" s="220"/>
    </row>
    <row r="34" spans="1:9">
      <c r="A34" s="224" t="s">
        <v>298</v>
      </c>
      <c r="B34" s="224"/>
      <c r="C34" s="224"/>
      <c r="D34" s="224"/>
      <c r="E34" s="220"/>
      <c r="F34" s="220"/>
      <c r="G34" s="220" t="s">
        <v>272</v>
      </c>
      <c r="H34" s="220"/>
      <c r="I34" s="220"/>
    </row>
    <row r="35" spans="1:9">
      <c r="A35" s="224" t="s">
        <v>299</v>
      </c>
      <c r="B35" s="233"/>
      <c r="C35" s="233"/>
      <c r="D35" s="224"/>
      <c r="E35" s="220"/>
      <c r="F35" s="220"/>
      <c r="G35" s="220" t="s">
        <v>272</v>
      </c>
      <c r="H35" s="220"/>
      <c r="I35" s="220"/>
    </row>
    <row r="36" spans="1:9">
      <c r="A36" s="234" t="s">
        <v>300</v>
      </c>
      <c r="D36" s="235"/>
      <c r="E36" s="220"/>
      <c r="F36" s="220"/>
      <c r="G36" s="220" t="s">
        <v>272</v>
      </c>
      <c r="H36" s="220"/>
      <c r="I36" s="220"/>
    </row>
    <row r="37" spans="1:9">
      <c r="A37" s="224" t="s">
        <v>301</v>
      </c>
      <c r="B37" s="233"/>
      <c r="C37" s="233"/>
      <c r="D37" s="219"/>
      <c r="E37" s="220"/>
      <c r="F37" s="220"/>
      <c r="G37" s="220" t="s">
        <v>272</v>
      </c>
      <c r="H37" s="220"/>
      <c r="I37" s="220"/>
    </row>
    <row r="38" spans="1:9">
      <c r="A38" s="217"/>
      <c r="B38" s="218"/>
      <c r="C38" s="218"/>
      <c r="D38" s="218"/>
      <c r="E38" s="220"/>
      <c r="F38" s="220"/>
      <c r="G38" s="220"/>
      <c r="H38" s="220"/>
      <c r="I38" s="220"/>
    </row>
    <row r="39" spans="1:9">
      <c r="A39" s="212" t="s">
        <v>302</v>
      </c>
      <c r="B39" s="226"/>
      <c r="C39" s="226"/>
      <c r="D39" s="226"/>
      <c r="E39" s="227"/>
      <c r="F39" s="227"/>
      <c r="G39" s="227"/>
      <c r="H39" s="227"/>
      <c r="I39" s="227"/>
    </row>
    <row r="40" spans="1:9">
      <c r="A40" s="217" t="s">
        <v>303</v>
      </c>
      <c r="B40" s="218"/>
      <c r="C40" s="218"/>
      <c r="D40" s="219"/>
      <c r="E40" s="236"/>
      <c r="F40" s="236"/>
      <c r="G40" s="236"/>
      <c r="H40" s="236" t="s">
        <v>272</v>
      </c>
      <c r="I40" s="236"/>
    </row>
    <row r="41" spans="1:9">
      <c r="A41" s="217" t="s">
        <v>304</v>
      </c>
      <c r="B41" s="218"/>
      <c r="C41" s="218"/>
      <c r="D41" s="219"/>
      <c r="E41" s="236"/>
      <c r="F41" s="236"/>
      <c r="G41" s="236"/>
      <c r="H41" s="236"/>
      <c r="I41" s="236" t="s">
        <v>272</v>
      </c>
    </row>
    <row r="42" spans="1:9">
      <c r="A42" s="217" t="s">
        <v>305</v>
      </c>
      <c r="B42" s="218"/>
      <c r="C42" s="218"/>
      <c r="D42" s="219"/>
      <c r="E42" s="236"/>
      <c r="F42" s="236"/>
      <c r="G42" s="236"/>
      <c r="H42" s="236"/>
      <c r="I42" s="236" t="s">
        <v>272</v>
      </c>
    </row>
    <row r="43" spans="1:9">
      <c r="A43" s="217" t="s">
        <v>306</v>
      </c>
      <c r="B43" s="218"/>
      <c r="C43" s="218"/>
      <c r="D43" s="219"/>
      <c r="E43" s="236"/>
      <c r="F43" s="236"/>
      <c r="G43" s="236"/>
      <c r="H43" s="236"/>
      <c r="I43" s="236" t="s">
        <v>272</v>
      </c>
    </row>
    <row r="44" spans="1:9">
      <c r="A44" s="217" t="s">
        <v>307</v>
      </c>
      <c r="B44" s="218"/>
      <c r="C44" s="218"/>
      <c r="D44" s="219"/>
      <c r="E44" s="236"/>
      <c r="F44" s="236"/>
      <c r="G44" s="236"/>
      <c r="H44" s="236" t="s">
        <v>272</v>
      </c>
      <c r="I44" s="236"/>
    </row>
    <row r="45" spans="1:9">
      <c r="A45" s="217" t="s">
        <v>308</v>
      </c>
      <c r="B45" s="218"/>
      <c r="C45" s="218"/>
      <c r="D45" s="219"/>
      <c r="E45" s="236"/>
      <c r="F45" s="236"/>
      <c r="G45" s="236"/>
      <c r="H45" s="236"/>
      <c r="I45" s="236" t="s">
        <v>272</v>
      </c>
    </row>
    <row r="46" spans="1:9">
      <c r="A46" s="217" t="s">
        <v>309</v>
      </c>
      <c r="B46" s="218"/>
      <c r="C46" s="218"/>
      <c r="D46" s="219"/>
      <c r="E46" s="236"/>
      <c r="F46" s="236"/>
      <c r="G46" s="236"/>
      <c r="H46" s="236"/>
      <c r="I46" s="236" t="s">
        <v>272</v>
      </c>
    </row>
    <row r="47" spans="1:9">
      <c r="A47" s="217"/>
      <c r="B47" s="218"/>
      <c r="C47" s="218"/>
      <c r="D47" s="219"/>
      <c r="E47" s="236"/>
      <c r="F47" s="236"/>
      <c r="G47" s="236"/>
      <c r="H47" s="236"/>
      <c r="I47" s="236"/>
    </row>
    <row r="48" spans="1:9">
      <c r="A48" s="237" t="s">
        <v>310</v>
      </c>
    </row>
  </sheetData>
  <pageMargins left="0.7" right="0.7" top="0.75" bottom="0.75" header="0.3" footer="0.3"/>
  <pageSetup paperSize="9" scale="72" fitToHeight="0" orientation="portrait" r:id="rId1"/>
  <rowBreaks count="1" manualBreakCount="1">
    <brk id="7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06FA4-CFF9-4ABD-A085-027FB737B8FC}">
  <sheetPr>
    <tabColor theme="0" tint="-0.14999847407452621"/>
  </sheetPr>
  <dimension ref="A1:G39"/>
  <sheetViews>
    <sheetView workbookViewId="0">
      <selection activeCell="A3" sqref="A3"/>
    </sheetView>
  </sheetViews>
  <sheetFormatPr defaultRowHeight="15"/>
  <cols>
    <col min="1" max="3" width="9.140625" style="205"/>
    <col min="4" max="4" width="22.5703125" style="205" customWidth="1"/>
    <col min="5" max="5" width="9.85546875" style="205" bestFit="1" customWidth="1"/>
    <col min="6" max="7" width="7.28515625" style="205" customWidth="1"/>
    <col min="8" max="259" width="9.140625" style="205"/>
    <col min="260" max="260" width="22.5703125" style="205" customWidth="1"/>
    <col min="261" max="261" width="9.85546875" style="205" bestFit="1" customWidth="1"/>
    <col min="262" max="263" width="7.28515625" style="205" customWidth="1"/>
    <col min="264" max="515" width="9.140625" style="205"/>
    <col min="516" max="516" width="22.5703125" style="205" customWidth="1"/>
    <col min="517" max="517" width="9.85546875" style="205" bestFit="1" customWidth="1"/>
    <col min="518" max="519" width="7.28515625" style="205" customWidth="1"/>
    <col min="520" max="771" width="9.140625" style="205"/>
    <col min="772" max="772" width="22.5703125" style="205" customWidth="1"/>
    <col min="773" max="773" width="9.85546875" style="205" bestFit="1" customWidth="1"/>
    <col min="774" max="775" width="7.28515625" style="205" customWidth="1"/>
    <col min="776" max="1027" width="9.140625" style="205"/>
    <col min="1028" max="1028" width="22.5703125" style="205" customWidth="1"/>
    <col min="1029" max="1029" width="9.85546875" style="205" bestFit="1" customWidth="1"/>
    <col min="1030" max="1031" width="7.28515625" style="205" customWidth="1"/>
    <col min="1032" max="1283" width="9.140625" style="205"/>
    <col min="1284" max="1284" width="22.5703125" style="205" customWidth="1"/>
    <col min="1285" max="1285" width="9.85546875" style="205" bestFit="1" customWidth="1"/>
    <col min="1286" max="1287" width="7.28515625" style="205" customWidth="1"/>
    <col min="1288" max="1539" width="9.140625" style="205"/>
    <col min="1540" max="1540" width="22.5703125" style="205" customWidth="1"/>
    <col min="1541" max="1541" width="9.85546875" style="205" bestFit="1" customWidth="1"/>
    <col min="1542" max="1543" width="7.28515625" style="205" customWidth="1"/>
    <col min="1544" max="1795" width="9.140625" style="205"/>
    <col min="1796" max="1796" width="22.5703125" style="205" customWidth="1"/>
    <col min="1797" max="1797" width="9.85546875" style="205" bestFit="1" customWidth="1"/>
    <col min="1798" max="1799" width="7.28515625" style="205" customWidth="1"/>
    <col min="1800" max="2051" width="9.140625" style="205"/>
    <col min="2052" max="2052" width="22.5703125" style="205" customWidth="1"/>
    <col min="2053" max="2053" width="9.85546875" style="205" bestFit="1" customWidth="1"/>
    <col min="2054" max="2055" width="7.28515625" style="205" customWidth="1"/>
    <col min="2056" max="2307" width="9.140625" style="205"/>
    <col min="2308" max="2308" width="22.5703125" style="205" customWidth="1"/>
    <col min="2309" max="2309" width="9.85546875" style="205" bestFit="1" customWidth="1"/>
    <col min="2310" max="2311" width="7.28515625" style="205" customWidth="1"/>
    <col min="2312" max="2563" width="9.140625" style="205"/>
    <col min="2564" max="2564" width="22.5703125" style="205" customWidth="1"/>
    <col min="2565" max="2565" width="9.85546875" style="205" bestFit="1" customWidth="1"/>
    <col min="2566" max="2567" width="7.28515625" style="205" customWidth="1"/>
    <col min="2568" max="2819" width="9.140625" style="205"/>
    <col min="2820" max="2820" width="22.5703125" style="205" customWidth="1"/>
    <col min="2821" max="2821" width="9.85546875" style="205" bestFit="1" customWidth="1"/>
    <col min="2822" max="2823" width="7.28515625" style="205" customWidth="1"/>
    <col min="2824" max="3075" width="9.140625" style="205"/>
    <col min="3076" max="3076" width="22.5703125" style="205" customWidth="1"/>
    <col min="3077" max="3077" width="9.85546875" style="205" bestFit="1" customWidth="1"/>
    <col min="3078" max="3079" width="7.28515625" style="205" customWidth="1"/>
    <col min="3080" max="3331" width="9.140625" style="205"/>
    <col min="3332" max="3332" width="22.5703125" style="205" customWidth="1"/>
    <col min="3333" max="3333" width="9.85546875" style="205" bestFit="1" customWidth="1"/>
    <col min="3334" max="3335" width="7.28515625" style="205" customWidth="1"/>
    <col min="3336" max="3587" width="9.140625" style="205"/>
    <col min="3588" max="3588" width="22.5703125" style="205" customWidth="1"/>
    <col min="3589" max="3589" width="9.85546875" style="205" bestFit="1" customWidth="1"/>
    <col min="3590" max="3591" width="7.28515625" style="205" customWidth="1"/>
    <col min="3592" max="3843" width="9.140625" style="205"/>
    <col min="3844" max="3844" width="22.5703125" style="205" customWidth="1"/>
    <col min="3845" max="3845" width="9.85546875" style="205" bestFit="1" customWidth="1"/>
    <col min="3846" max="3847" width="7.28515625" style="205" customWidth="1"/>
    <col min="3848" max="4099" width="9.140625" style="205"/>
    <col min="4100" max="4100" width="22.5703125" style="205" customWidth="1"/>
    <col min="4101" max="4101" width="9.85546875" style="205" bestFit="1" customWidth="1"/>
    <col min="4102" max="4103" width="7.28515625" style="205" customWidth="1"/>
    <col min="4104" max="4355" width="9.140625" style="205"/>
    <col min="4356" max="4356" width="22.5703125" style="205" customWidth="1"/>
    <col min="4357" max="4357" width="9.85546875" style="205" bestFit="1" customWidth="1"/>
    <col min="4358" max="4359" width="7.28515625" style="205" customWidth="1"/>
    <col min="4360" max="4611" width="9.140625" style="205"/>
    <col min="4612" max="4612" width="22.5703125" style="205" customWidth="1"/>
    <col min="4613" max="4613" width="9.85546875" style="205" bestFit="1" customWidth="1"/>
    <col min="4614" max="4615" width="7.28515625" style="205" customWidth="1"/>
    <col min="4616" max="4867" width="9.140625" style="205"/>
    <col min="4868" max="4868" width="22.5703125" style="205" customWidth="1"/>
    <col min="4869" max="4869" width="9.85546875" style="205" bestFit="1" customWidth="1"/>
    <col min="4870" max="4871" width="7.28515625" style="205" customWidth="1"/>
    <col min="4872" max="5123" width="9.140625" style="205"/>
    <col min="5124" max="5124" width="22.5703125" style="205" customWidth="1"/>
    <col min="5125" max="5125" width="9.85546875" style="205" bestFit="1" customWidth="1"/>
    <col min="5126" max="5127" width="7.28515625" style="205" customWidth="1"/>
    <col min="5128" max="5379" width="9.140625" style="205"/>
    <col min="5380" max="5380" width="22.5703125" style="205" customWidth="1"/>
    <col min="5381" max="5381" width="9.85546875" style="205" bestFit="1" customWidth="1"/>
    <col min="5382" max="5383" width="7.28515625" style="205" customWidth="1"/>
    <col min="5384" max="5635" width="9.140625" style="205"/>
    <col min="5636" max="5636" width="22.5703125" style="205" customWidth="1"/>
    <col min="5637" max="5637" width="9.85546875" style="205" bestFit="1" customWidth="1"/>
    <col min="5638" max="5639" width="7.28515625" style="205" customWidth="1"/>
    <col min="5640" max="5891" width="9.140625" style="205"/>
    <col min="5892" max="5892" width="22.5703125" style="205" customWidth="1"/>
    <col min="5893" max="5893" width="9.85546875" style="205" bestFit="1" customWidth="1"/>
    <col min="5894" max="5895" width="7.28515625" style="205" customWidth="1"/>
    <col min="5896" max="6147" width="9.140625" style="205"/>
    <col min="6148" max="6148" width="22.5703125" style="205" customWidth="1"/>
    <col min="6149" max="6149" width="9.85546875" style="205" bestFit="1" customWidth="1"/>
    <col min="6150" max="6151" width="7.28515625" style="205" customWidth="1"/>
    <col min="6152" max="6403" width="9.140625" style="205"/>
    <col min="6404" max="6404" width="22.5703125" style="205" customWidth="1"/>
    <col min="6405" max="6405" width="9.85546875" style="205" bestFit="1" customWidth="1"/>
    <col min="6406" max="6407" width="7.28515625" style="205" customWidth="1"/>
    <col min="6408" max="6659" width="9.140625" style="205"/>
    <col min="6660" max="6660" width="22.5703125" style="205" customWidth="1"/>
    <col min="6661" max="6661" width="9.85546875" style="205" bestFit="1" customWidth="1"/>
    <col min="6662" max="6663" width="7.28515625" style="205" customWidth="1"/>
    <col min="6664" max="6915" width="9.140625" style="205"/>
    <col min="6916" max="6916" width="22.5703125" style="205" customWidth="1"/>
    <col min="6917" max="6917" width="9.85546875" style="205" bestFit="1" customWidth="1"/>
    <col min="6918" max="6919" width="7.28515625" style="205" customWidth="1"/>
    <col min="6920" max="7171" width="9.140625" style="205"/>
    <col min="7172" max="7172" width="22.5703125" style="205" customWidth="1"/>
    <col min="7173" max="7173" width="9.85546875" style="205" bestFit="1" customWidth="1"/>
    <col min="7174" max="7175" width="7.28515625" style="205" customWidth="1"/>
    <col min="7176" max="7427" width="9.140625" style="205"/>
    <col min="7428" max="7428" width="22.5703125" style="205" customWidth="1"/>
    <col min="7429" max="7429" width="9.85546875" style="205" bestFit="1" customWidth="1"/>
    <col min="7430" max="7431" width="7.28515625" style="205" customWidth="1"/>
    <col min="7432" max="7683" width="9.140625" style="205"/>
    <col min="7684" max="7684" width="22.5703125" style="205" customWidth="1"/>
    <col min="7685" max="7685" width="9.85546875" style="205" bestFit="1" customWidth="1"/>
    <col min="7686" max="7687" width="7.28515625" style="205" customWidth="1"/>
    <col min="7688" max="7939" width="9.140625" style="205"/>
    <col min="7940" max="7940" width="22.5703125" style="205" customWidth="1"/>
    <col min="7941" max="7941" width="9.85546875" style="205" bestFit="1" customWidth="1"/>
    <col min="7942" max="7943" width="7.28515625" style="205" customWidth="1"/>
    <col min="7944" max="8195" width="9.140625" style="205"/>
    <col min="8196" max="8196" width="22.5703125" style="205" customWidth="1"/>
    <col min="8197" max="8197" width="9.85546875" style="205" bestFit="1" customWidth="1"/>
    <col min="8198" max="8199" width="7.28515625" style="205" customWidth="1"/>
    <col min="8200" max="8451" width="9.140625" style="205"/>
    <col min="8452" max="8452" width="22.5703125" style="205" customWidth="1"/>
    <col min="8453" max="8453" width="9.85546875" style="205" bestFit="1" customWidth="1"/>
    <col min="8454" max="8455" width="7.28515625" style="205" customWidth="1"/>
    <col min="8456" max="8707" width="9.140625" style="205"/>
    <col min="8708" max="8708" width="22.5703125" style="205" customWidth="1"/>
    <col min="8709" max="8709" width="9.85546875" style="205" bestFit="1" customWidth="1"/>
    <col min="8710" max="8711" width="7.28515625" style="205" customWidth="1"/>
    <col min="8712" max="8963" width="9.140625" style="205"/>
    <col min="8964" max="8964" width="22.5703125" style="205" customWidth="1"/>
    <col min="8965" max="8965" width="9.85546875" style="205" bestFit="1" customWidth="1"/>
    <col min="8966" max="8967" width="7.28515625" style="205" customWidth="1"/>
    <col min="8968" max="9219" width="9.140625" style="205"/>
    <col min="9220" max="9220" width="22.5703125" style="205" customWidth="1"/>
    <col min="9221" max="9221" width="9.85546875" style="205" bestFit="1" customWidth="1"/>
    <col min="9222" max="9223" width="7.28515625" style="205" customWidth="1"/>
    <col min="9224" max="9475" width="9.140625" style="205"/>
    <col min="9476" max="9476" width="22.5703125" style="205" customWidth="1"/>
    <col min="9477" max="9477" width="9.85546875" style="205" bestFit="1" customWidth="1"/>
    <col min="9478" max="9479" width="7.28515625" style="205" customWidth="1"/>
    <col min="9480" max="9731" width="9.140625" style="205"/>
    <col min="9732" max="9732" width="22.5703125" style="205" customWidth="1"/>
    <col min="9733" max="9733" width="9.85546875" style="205" bestFit="1" customWidth="1"/>
    <col min="9734" max="9735" width="7.28515625" style="205" customWidth="1"/>
    <col min="9736" max="9987" width="9.140625" style="205"/>
    <col min="9988" max="9988" width="22.5703125" style="205" customWidth="1"/>
    <col min="9989" max="9989" width="9.85546875" style="205" bestFit="1" customWidth="1"/>
    <col min="9990" max="9991" width="7.28515625" style="205" customWidth="1"/>
    <col min="9992" max="10243" width="9.140625" style="205"/>
    <col min="10244" max="10244" width="22.5703125" style="205" customWidth="1"/>
    <col min="10245" max="10245" width="9.85546875" style="205" bestFit="1" customWidth="1"/>
    <col min="10246" max="10247" width="7.28515625" style="205" customWidth="1"/>
    <col min="10248" max="10499" width="9.140625" style="205"/>
    <col min="10500" max="10500" width="22.5703125" style="205" customWidth="1"/>
    <col min="10501" max="10501" width="9.85546875" style="205" bestFit="1" customWidth="1"/>
    <col min="10502" max="10503" width="7.28515625" style="205" customWidth="1"/>
    <col min="10504" max="10755" width="9.140625" style="205"/>
    <col min="10756" max="10756" width="22.5703125" style="205" customWidth="1"/>
    <col min="10757" max="10757" width="9.85546875" style="205" bestFit="1" customWidth="1"/>
    <col min="10758" max="10759" width="7.28515625" style="205" customWidth="1"/>
    <col min="10760" max="11011" width="9.140625" style="205"/>
    <col min="11012" max="11012" width="22.5703125" style="205" customWidth="1"/>
    <col min="11013" max="11013" width="9.85546875" style="205" bestFit="1" customWidth="1"/>
    <col min="11014" max="11015" width="7.28515625" style="205" customWidth="1"/>
    <col min="11016" max="11267" width="9.140625" style="205"/>
    <col min="11268" max="11268" width="22.5703125" style="205" customWidth="1"/>
    <col min="11269" max="11269" width="9.85546875" style="205" bestFit="1" customWidth="1"/>
    <col min="11270" max="11271" width="7.28515625" style="205" customWidth="1"/>
    <col min="11272" max="11523" width="9.140625" style="205"/>
    <col min="11524" max="11524" width="22.5703125" style="205" customWidth="1"/>
    <col min="11525" max="11525" width="9.85546875" style="205" bestFit="1" customWidth="1"/>
    <col min="11526" max="11527" width="7.28515625" style="205" customWidth="1"/>
    <col min="11528" max="11779" width="9.140625" style="205"/>
    <col min="11780" max="11780" width="22.5703125" style="205" customWidth="1"/>
    <col min="11781" max="11781" width="9.85546875" style="205" bestFit="1" customWidth="1"/>
    <col min="11782" max="11783" width="7.28515625" style="205" customWidth="1"/>
    <col min="11784" max="12035" width="9.140625" style="205"/>
    <col min="12036" max="12036" width="22.5703125" style="205" customWidth="1"/>
    <col min="12037" max="12037" width="9.85546875" style="205" bestFit="1" customWidth="1"/>
    <col min="12038" max="12039" width="7.28515625" style="205" customWidth="1"/>
    <col min="12040" max="12291" width="9.140625" style="205"/>
    <col min="12292" max="12292" width="22.5703125" style="205" customWidth="1"/>
    <col min="12293" max="12293" width="9.85546875" style="205" bestFit="1" customWidth="1"/>
    <col min="12294" max="12295" width="7.28515625" style="205" customWidth="1"/>
    <col min="12296" max="12547" width="9.140625" style="205"/>
    <col min="12548" max="12548" width="22.5703125" style="205" customWidth="1"/>
    <col min="12549" max="12549" width="9.85546875" style="205" bestFit="1" customWidth="1"/>
    <col min="12550" max="12551" width="7.28515625" style="205" customWidth="1"/>
    <col min="12552" max="12803" width="9.140625" style="205"/>
    <col min="12804" max="12804" width="22.5703125" style="205" customWidth="1"/>
    <col min="12805" max="12805" width="9.85546875" style="205" bestFit="1" customWidth="1"/>
    <col min="12806" max="12807" width="7.28515625" style="205" customWidth="1"/>
    <col min="12808" max="13059" width="9.140625" style="205"/>
    <col min="13060" max="13060" width="22.5703125" style="205" customWidth="1"/>
    <col min="13061" max="13061" width="9.85546875" style="205" bestFit="1" customWidth="1"/>
    <col min="13062" max="13063" width="7.28515625" style="205" customWidth="1"/>
    <col min="13064" max="13315" width="9.140625" style="205"/>
    <col min="13316" max="13316" width="22.5703125" style="205" customWidth="1"/>
    <col min="13317" max="13317" width="9.85546875" style="205" bestFit="1" customWidth="1"/>
    <col min="13318" max="13319" width="7.28515625" style="205" customWidth="1"/>
    <col min="13320" max="13571" width="9.140625" style="205"/>
    <col min="13572" max="13572" width="22.5703125" style="205" customWidth="1"/>
    <col min="13573" max="13573" width="9.85546875" style="205" bestFit="1" customWidth="1"/>
    <col min="13574" max="13575" width="7.28515625" style="205" customWidth="1"/>
    <col min="13576" max="13827" width="9.140625" style="205"/>
    <col min="13828" max="13828" width="22.5703125" style="205" customWidth="1"/>
    <col min="13829" max="13829" width="9.85546875" style="205" bestFit="1" customWidth="1"/>
    <col min="13830" max="13831" width="7.28515625" style="205" customWidth="1"/>
    <col min="13832" max="14083" width="9.140625" style="205"/>
    <col min="14084" max="14084" width="22.5703125" style="205" customWidth="1"/>
    <col min="14085" max="14085" width="9.85546875" style="205" bestFit="1" customWidth="1"/>
    <col min="14086" max="14087" width="7.28515625" style="205" customWidth="1"/>
    <col min="14088" max="14339" width="9.140625" style="205"/>
    <col min="14340" max="14340" width="22.5703125" style="205" customWidth="1"/>
    <col min="14341" max="14341" width="9.85546875" style="205" bestFit="1" customWidth="1"/>
    <col min="14342" max="14343" width="7.28515625" style="205" customWidth="1"/>
    <col min="14344" max="14595" width="9.140625" style="205"/>
    <col min="14596" max="14596" width="22.5703125" style="205" customWidth="1"/>
    <col min="14597" max="14597" width="9.85546875" style="205" bestFit="1" customWidth="1"/>
    <col min="14598" max="14599" width="7.28515625" style="205" customWidth="1"/>
    <col min="14600" max="14851" width="9.140625" style="205"/>
    <col min="14852" max="14852" width="22.5703125" style="205" customWidth="1"/>
    <col min="14853" max="14853" width="9.85546875" style="205" bestFit="1" customWidth="1"/>
    <col min="14854" max="14855" width="7.28515625" style="205" customWidth="1"/>
    <col min="14856" max="15107" width="9.140625" style="205"/>
    <col min="15108" max="15108" width="22.5703125" style="205" customWidth="1"/>
    <col min="15109" max="15109" width="9.85546875" style="205" bestFit="1" customWidth="1"/>
    <col min="15110" max="15111" width="7.28515625" style="205" customWidth="1"/>
    <col min="15112" max="15363" width="9.140625" style="205"/>
    <col min="15364" max="15364" width="22.5703125" style="205" customWidth="1"/>
    <col min="15365" max="15365" width="9.85546875" style="205" bestFit="1" customWidth="1"/>
    <col min="15366" max="15367" width="7.28515625" style="205" customWidth="1"/>
    <col min="15368" max="15619" width="9.140625" style="205"/>
    <col min="15620" max="15620" width="22.5703125" style="205" customWidth="1"/>
    <col min="15621" max="15621" width="9.85546875" style="205" bestFit="1" customWidth="1"/>
    <col min="15622" max="15623" width="7.28515625" style="205" customWidth="1"/>
    <col min="15624" max="15875" width="9.140625" style="205"/>
    <col min="15876" max="15876" width="22.5703125" style="205" customWidth="1"/>
    <col min="15877" max="15877" width="9.85546875" style="205" bestFit="1" customWidth="1"/>
    <col min="15878" max="15879" width="7.28515625" style="205" customWidth="1"/>
    <col min="15880" max="16131" width="9.140625" style="205"/>
    <col min="16132" max="16132" width="22.5703125" style="205" customWidth="1"/>
    <col min="16133" max="16133" width="9.85546875" style="205" bestFit="1" customWidth="1"/>
    <col min="16134" max="16135" width="7.28515625" style="205" customWidth="1"/>
    <col min="16136" max="16384" width="9.140625" style="205"/>
  </cols>
  <sheetData>
    <row r="1" spans="1:7" ht="20.25">
      <c r="A1" s="202" t="s">
        <v>266</v>
      </c>
      <c r="B1" s="203"/>
      <c r="C1" s="203"/>
      <c r="D1" s="203"/>
      <c r="E1" s="204" t="s">
        <v>267</v>
      </c>
      <c r="F1" s="204" t="s">
        <v>267</v>
      </c>
      <c r="G1" s="204" t="s">
        <v>267</v>
      </c>
    </row>
    <row r="2" spans="1:7">
      <c r="A2" s="206" t="s">
        <v>311</v>
      </c>
      <c r="B2" s="207"/>
      <c r="C2" s="207"/>
      <c r="D2" s="207"/>
      <c r="E2" s="208">
        <v>1095</v>
      </c>
      <c r="F2" s="208">
        <v>104</v>
      </c>
      <c r="G2" s="208">
        <v>12</v>
      </c>
    </row>
    <row r="3" spans="1:7">
      <c r="A3" s="209" t="s">
        <v>335</v>
      </c>
      <c r="B3" s="210"/>
      <c r="C3" s="210"/>
      <c r="D3" s="210"/>
      <c r="E3" s="211" t="s">
        <v>312</v>
      </c>
      <c r="F3" s="211"/>
      <c r="G3" s="211"/>
    </row>
    <row r="4" spans="1:7">
      <c r="A4" s="212" t="s">
        <v>270</v>
      </c>
      <c r="B4" s="213"/>
      <c r="C4" s="213"/>
      <c r="D4" s="213"/>
      <c r="E4" s="214"/>
      <c r="F4" s="214"/>
      <c r="G4" s="214"/>
    </row>
    <row r="5" spans="1:7">
      <c r="A5" s="215" t="s">
        <v>313</v>
      </c>
      <c r="B5" s="216"/>
      <c r="C5" s="216"/>
      <c r="D5" s="216"/>
      <c r="E5" s="208"/>
      <c r="F5" s="208"/>
      <c r="G5" s="208"/>
    </row>
    <row r="6" spans="1:7">
      <c r="A6" s="215" t="s">
        <v>314</v>
      </c>
      <c r="B6" s="216"/>
      <c r="C6" s="216"/>
      <c r="D6" s="216"/>
      <c r="E6" s="208" t="s">
        <v>272</v>
      </c>
      <c r="F6" s="208"/>
      <c r="G6" s="208"/>
    </row>
    <row r="7" spans="1:7">
      <c r="A7" s="217" t="s">
        <v>315</v>
      </c>
      <c r="B7" s="218"/>
      <c r="C7" s="218"/>
      <c r="D7" s="219"/>
      <c r="E7" s="220" t="s">
        <v>272</v>
      </c>
      <c r="F7" s="220"/>
      <c r="G7" s="220"/>
    </row>
    <row r="8" spans="1:7">
      <c r="A8" s="217" t="s">
        <v>316</v>
      </c>
      <c r="B8" s="218"/>
      <c r="C8" s="218"/>
      <c r="D8" s="219"/>
      <c r="E8" s="220" t="s">
        <v>272</v>
      </c>
      <c r="F8" s="220"/>
      <c r="G8" s="220"/>
    </row>
    <row r="9" spans="1:7">
      <c r="A9" s="217" t="s">
        <v>317</v>
      </c>
      <c r="B9" s="218"/>
      <c r="C9" s="218"/>
      <c r="D9" s="219"/>
      <c r="E9" s="220" t="s">
        <v>272</v>
      </c>
      <c r="F9" s="220"/>
      <c r="G9" s="220"/>
    </row>
    <row r="10" spans="1:7">
      <c r="A10" s="217" t="s">
        <v>318</v>
      </c>
      <c r="B10" s="218"/>
      <c r="C10" s="218"/>
      <c r="D10" s="219"/>
      <c r="E10" s="220" t="s">
        <v>272</v>
      </c>
      <c r="F10" s="220"/>
      <c r="G10" s="220"/>
    </row>
    <row r="11" spans="1:7">
      <c r="A11" s="217" t="s">
        <v>319</v>
      </c>
      <c r="B11" s="218"/>
      <c r="C11" s="218"/>
      <c r="D11" s="219"/>
      <c r="E11" s="220" t="s">
        <v>272</v>
      </c>
      <c r="F11" s="220"/>
      <c r="G11" s="220"/>
    </row>
    <row r="12" spans="1:7">
      <c r="A12" s="217" t="s">
        <v>320</v>
      </c>
      <c r="B12" s="218"/>
      <c r="C12" s="218"/>
      <c r="D12" s="219"/>
      <c r="E12" s="220" t="s">
        <v>272</v>
      </c>
      <c r="F12" s="220"/>
      <c r="G12" s="220"/>
    </row>
    <row r="13" spans="1:7">
      <c r="A13" s="217" t="s">
        <v>321</v>
      </c>
      <c r="B13" s="218"/>
      <c r="C13" s="218"/>
      <c r="D13" s="219"/>
      <c r="E13" s="220" t="s">
        <v>272</v>
      </c>
      <c r="F13" s="220"/>
      <c r="G13" s="220"/>
    </row>
    <row r="14" spans="1:7">
      <c r="A14" s="217" t="s">
        <v>322</v>
      </c>
      <c r="B14" s="218"/>
      <c r="C14" s="218"/>
      <c r="D14" s="219"/>
      <c r="E14" s="220" t="s">
        <v>272</v>
      </c>
      <c r="F14" s="220"/>
      <c r="G14" s="220"/>
    </row>
    <row r="15" spans="1:7">
      <c r="A15" s="217" t="s">
        <v>323</v>
      </c>
      <c r="B15" s="218"/>
      <c r="C15" s="218"/>
      <c r="D15" s="219"/>
      <c r="E15" s="220" t="s">
        <v>272</v>
      </c>
      <c r="F15" s="220"/>
      <c r="G15" s="220"/>
    </row>
    <row r="16" spans="1:7">
      <c r="A16" s="217" t="s">
        <v>324</v>
      </c>
      <c r="B16" s="218"/>
      <c r="C16" s="218"/>
      <c r="D16" s="219"/>
      <c r="E16" s="220" t="s">
        <v>272</v>
      </c>
      <c r="F16" s="220"/>
      <c r="G16" s="220"/>
    </row>
    <row r="17" spans="1:7">
      <c r="A17" s="217" t="s">
        <v>325</v>
      </c>
      <c r="B17" s="218"/>
      <c r="C17" s="218"/>
      <c r="D17" s="219"/>
      <c r="E17" s="220" t="s">
        <v>272</v>
      </c>
      <c r="F17" s="220"/>
      <c r="G17" s="220"/>
    </row>
    <row r="18" spans="1:7">
      <c r="A18" s="217" t="s">
        <v>286</v>
      </c>
      <c r="B18" s="218"/>
      <c r="C18" s="218"/>
      <c r="D18" s="219"/>
      <c r="E18" s="220" t="s">
        <v>272</v>
      </c>
      <c r="F18" s="220"/>
      <c r="G18" s="220"/>
    </row>
    <row r="19" spans="1:7">
      <c r="A19" s="215"/>
      <c r="B19" s="216"/>
      <c r="C19" s="216"/>
      <c r="D19" s="216"/>
      <c r="E19" s="225"/>
      <c r="F19" s="225"/>
      <c r="G19" s="225"/>
    </row>
    <row r="20" spans="1:7">
      <c r="A20" s="212" t="s">
        <v>282</v>
      </c>
      <c r="B20" s="226"/>
      <c r="C20" s="226"/>
      <c r="D20" s="226"/>
      <c r="E20" s="227"/>
      <c r="F20" s="227"/>
      <c r="G20" s="227"/>
    </row>
    <row r="21" spans="1:7">
      <c r="A21" s="217" t="s">
        <v>326</v>
      </c>
      <c r="B21" s="218"/>
      <c r="C21" s="218"/>
      <c r="D21" s="219"/>
      <c r="E21" s="220"/>
      <c r="F21" s="220" t="s">
        <v>272</v>
      </c>
      <c r="G21" s="220"/>
    </row>
    <row r="22" spans="1:7">
      <c r="A22" s="217" t="s">
        <v>327</v>
      </c>
      <c r="B22" s="218"/>
      <c r="C22" s="218"/>
      <c r="D22" s="219"/>
      <c r="E22" s="220"/>
      <c r="F22" s="220" t="s">
        <v>272</v>
      </c>
      <c r="G22" s="220"/>
    </row>
    <row r="23" spans="1:7">
      <c r="A23" s="217" t="s">
        <v>328</v>
      </c>
      <c r="B23" s="218"/>
      <c r="C23" s="218"/>
      <c r="D23" s="219"/>
      <c r="E23" s="220"/>
      <c r="F23" s="220" t="s">
        <v>272</v>
      </c>
      <c r="G23" s="220"/>
    </row>
    <row r="24" spans="1:7">
      <c r="A24" s="217" t="s">
        <v>296</v>
      </c>
      <c r="B24" s="218"/>
      <c r="C24" s="218"/>
      <c r="D24" s="219"/>
      <c r="E24" s="220"/>
      <c r="F24" s="220" t="s">
        <v>272</v>
      </c>
      <c r="G24" s="220"/>
    </row>
    <row r="25" spans="1:7">
      <c r="A25" s="217" t="s">
        <v>329</v>
      </c>
      <c r="B25" s="218"/>
      <c r="C25" s="218"/>
      <c r="D25" s="219"/>
      <c r="E25" s="220"/>
      <c r="F25" s="220" t="s">
        <v>272</v>
      </c>
      <c r="G25" s="220"/>
    </row>
    <row r="26" spans="1:7">
      <c r="A26" s="217" t="s">
        <v>298</v>
      </c>
      <c r="B26" s="217"/>
      <c r="C26" s="217"/>
      <c r="D26" s="217"/>
      <c r="E26" s="220"/>
      <c r="F26" s="220" t="s">
        <v>272</v>
      </c>
      <c r="G26" s="220"/>
    </row>
    <row r="27" spans="1:7">
      <c r="A27" s="217" t="s">
        <v>330</v>
      </c>
      <c r="B27" s="218"/>
      <c r="C27" s="218"/>
      <c r="D27" s="219"/>
      <c r="E27" s="220"/>
      <c r="F27" s="220" t="s">
        <v>272</v>
      </c>
      <c r="G27" s="220"/>
    </row>
    <row r="28" spans="1:7">
      <c r="A28" s="224" t="s">
        <v>331</v>
      </c>
      <c r="B28" s="224"/>
      <c r="C28" s="224"/>
      <c r="D28" s="224"/>
      <c r="E28" s="220"/>
      <c r="F28" s="220" t="s">
        <v>272</v>
      </c>
      <c r="G28" s="220"/>
    </row>
    <row r="29" spans="1:7">
      <c r="A29" s="217"/>
      <c r="B29" s="218"/>
      <c r="C29" s="218"/>
      <c r="D29" s="218"/>
      <c r="E29" s="220"/>
      <c r="F29" s="220"/>
      <c r="G29" s="220"/>
    </row>
    <row r="30" spans="1:7">
      <c r="A30" s="212" t="s">
        <v>302</v>
      </c>
      <c r="B30" s="226"/>
      <c r="C30" s="226"/>
      <c r="D30" s="226"/>
      <c r="E30" s="227"/>
      <c r="F30" s="227"/>
      <c r="G30" s="227"/>
    </row>
    <row r="31" spans="1:7">
      <c r="A31" s="217" t="s">
        <v>332</v>
      </c>
      <c r="B31" s="218"/>
      <c r="C31" s="218"/>
      <c r="D31" s="219"/>
      <c r="E31" s="236"/>
      <c r="F31" s="236"/>
      <c r="G31" s="236" t="s">
        <v>272</v>
      </c>
    </row>
    <row r="32" spans="1:7">
      <c r="A32" s="217" t="s">
        <v>306</v>
      </c>
      <c r="B32" s="218"/>
      <c r="C32" s="218"/>
      <c r="D32" s="219"/>
      <c r="E32" s="236"/>
      <c r="F32" s="236"/>
      <c r="G32" s="236" t="s">
        <v>272</v>
      </c>
    </row>
    <row r="33" spans="1:7">
      <c r="A33" s="217" t="s">
        <v>291</v>
      </c>
      <c r="B33" s="218"/>
      <c r="C33" s="218"/>
      <c r="D33" s="219"/>
      <c r="E33" s="236"/>
      <c r="F33" s="236"/>
      <c r="G33" s="236" t="s">
        <v>272</v>
      </c>
    </row>
    <row r="34" spans="1:7">
      <c r="A34" s="217" t="s">
        <v>306</v>
      </c>
      <c r="B34" s="218"/>
      <c r="C34" s="218"/>
      <c r="D34" s="219"/>
      <c r="E34" s="236"/>
      <c r="F34" s="236"/>
      <c r="G34" s="236" t="s">
        <v>272</v>
      </c>
    </row>
    <row r="35" spans="1:7">
      <c r="A35" s="217" t="s">
        <v>307</v>
      </c>
      <c r="B35" s="218"/>
      <c r="C35" s="218"/>
      <c r="D35" s="219"/>
      <c r="E35" s="236"/>
      <c r="F35" s="236"/>
      <c r="G35" s="236" t="s">
        <v>272</v>
      </c>
    </row>
    <row r="36" spans="1:7">
      <c r="A36" s="217" t="s">
        <v>333</v>
      </c>
      <c r="B36" s="218"/>
      <c r="C36" s="218"/>
      <c r="D36" s="219"/>
      <c r="E36" s="236"/>
      <c r="F36" s="236"/>
      <c r="G36" s="236" t="s">
        <v>272</v>
      </c>
    </row>
    <row r="37" spans="1:7">
      <c r="A37" s="217" t="s">
        <v>334</v>
      </c>
      <c r="B37" s="218"/>
      <c r="C37" s="218"/>
      <c r="D37" s="219"/>
      <c r="E37" s="236"/>
      <c r="F37" s="236"/>
      <c r="G37" s="236" t="s">
        <v>272</v>
      </c>
    </row>
    <row r="38" spans="1:7">
      <c r="A38" s="217"/>
      <c r="B38" s="218"/>
      <c r="C38" s="218"/>
      <c r="D38" s="219"/>
      <c r="E38" s="238"/>
      <c r="F38" s="238"/>
      <c r="G38" s="236"/>
    </row>
    <row r="39" spans="1:7">
      <c r="A39" s="237" t="s">
        <v>310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64244-96F0-44FA-9CBB-5E139DC2D019}">
  <sheetPr>
    <tabColor theme="0" tint="-0.14999847407452621"/>
  </sheetPr>
  <dimension ref="A1:G37"/>
  <sheetViews>
    <sheetView workbookViewId="0">
      <selection activeCell="G19" sqref="G19"/>
    </sheetView>
  </sheetViews>
  <sheetFormatPr defaultRowHeight="15"/>
  <cols>
    <col min="1" max="3" width="9.140625" style="205"/>
    <col min="4" max="4" width="22.5703125" style="205" customWidth="1"/>
    <col min="5" max="5" width="9.85546875" style="205" bestFit="1" customWidth="1"/>
    <col min="6" max="7" width="7.28515625" style="205" customWidth="1"/>
    <col min="8" max="259" width="9.140625" style="205"/>
    <col min="260" max="260" width="22.5703125" style="205" customWidth="1"/>
    <col min="261" max="261" width="9.85546875" style="205" bestFit="1" customWidth="1"/>
    <col min="262" max="263" width="7.28515625" style="205" customWidth="1"/>
    <col min="264" max="515" width="9.140625" style="205"/>
    <col min="516" max="516" width="22.5703125" style="205" customWidth="1"/>
    <col min="517" max="517" width="9.85546875" style="205" bestFit="1" customWidth="1"/>
    <col min="518" max="519" width="7.28515625" style="205" customWidth="1"/>
    <col min="520" max="771" width="9.140625" style="205"/>
    <col min="772" max="772" width="22.5703125" style="205" customWidth="1"/>
    <col min="773" max="773" width="9.85546875" style="205" bestFit="1" customWidth="1"/>
    <col min="774" max="775" width="7.28515625" style="205" customWidth="1"/>
    <col min="776" max="1027" width="9.140625" style="205"/>
    <col min="1028" max="1028" width="22.5703125" style="205" customWidth="1"/>
    <col min="1029" max="1029" width="9.85546875" style="205" bestFit="1" customWidth="1"/>
    <col min="1030" max="1031" width="7.28515625" style="205" customWidth="1"/>
    <col min="1032" max="1283" width="9.140625" style="205"/>
    <col min="1284" max="1284" width="22.5703125" style="205" customWidth="1"/>
    <col min="1285" max="1285" width="9.85546875" style="205" bestFit="1" customWidth="1"/>
    <col min="1286" max="1287" width="7.28515625" style="205" customWidth="1"/>
    <col min="1288" max="1539" width="9.140625" style="205"/>
    <col min="1540" max="1540" width="22.5703125" style="205" customWidth="1"/>
    <col min="1541" max="1541" width="9.85546875" style="205" bestFit="1" customWidth="1"/>
    <col min="1542" max="1543" width="7.28515625" style="205" customWidth="1"/>
    <col min="1544" max="1795" width="9.140625" style="205"/>
    <col min="1796" max="1796" width="22.5703125" style="205" customWidth="1"/>
    <col min="1797" max="1797" width="9.85546875" style="205" bestFit="1" customWidth="1"/>
    <col min="1798" max="1799" width="7.28515625" style="205" customWidth="1"/>
    <col min="1800" max="2051" width="9.140625" style="205"/>
    <col min="2052" max="2052" width="22.5703125" style="205" customWidth="1"/>
    <col min="2053" max="2053" width="9.85546875" style="205" bestFit="1" customWidth="1"/>
    <col min="2054" max="2055" width="7.28515625" style="205" customWidth="1"/>
    <col min="2056" max="2307" width="9.140625" style="205"/>
    <col min="2308" max="2308" width="22.5703125" style="205" customWidth="1"/>
    <col min="2309" max="2309" width="9.85546875" style="205" bestFit="1" customWidth="1"/>
    <col min="2310" max="2311" width="7.28515625" style="205" customWidth="1"/>
    <col min="2312" max="2563" width="9.140625" style="205"/>
    <col min="2564" max="2564" width="22.5703125" style="205" customWidth="1"/>
    <col min="2565" max="2565" width="9.85546875" style="205" bestFit="1" customWidth="1"/>
    <col min="2566" max="2567" width="7.28515625" style="205" customWidth="1"/>
    <col min="2568" max="2819" width="9.140625" style="205"/>
    <col min="2820" max="2820" width="22.5703125" style="205" customWidth="1"/>
    <col min="2821" max="2821" width="9.85546875" style="205" bestFit="1" customWidth="1"/>
    <col min="2822" max="2823" width="7.28515625" style="205" customWidth="1"/>
    <col min="2824" max="3075" width="9.140625" style="205"/>
    <col min="3076" max="3076" width="22.5703125" style="205" customWidth="1"/>
    <col min="3077" max="3077" width="9.85546875" style="205" bestFit="1" customWidth="1"/>
    <col min="3078" max="3079" width="7.28515625" style="205" customWidth="1"/>
    <col min="3080" max="3331" width="9.140625" style="205"/>
    <col min="3332" max="3332" width="22.5703125" style="205" customWidth="1"/>
    <col min="3333" max="3333" width="9.85546875" style="205" bestFit="1" customWidth="1"/>
    <col min="3334" max="3335" width="7.28515625" style="205" customWidth="1"/>
    <col min="3336" max="3587" width="9.140625" style="205"/>
    <col min="3588" max="3588" width="22.5703125" style="205" customWidth="1"/>
    <col min="3589" max="3589" width="9.85546875" style="205" bestFit="1" customWidth="1"/>
    <col min="3590" max="3591" width="7.28515625" style="205" customWidth="1"/>
    <col min="3592" max="3843" width="9.140625" style="205"/>
    <col min="3844" max="3844" width="22.5703125" style="205" customWidth="1"/>
    <col min="3845" max="3845" width="9.85546875" style="205" bestFit="1" customWidth="1"/>
    <col min="3846" max="3847" width="7.28515625" style="205" customWidth="1"/>
    <col min="3848" max="4099" width="9.140625" style="205"/>
    <col min="4100" max="4100" width="22.5703125" style="205" customWidth="1"/>
    <col min="4101" max="4101" width="9.85546875" style="205" bestFit="1" customWidth="1"/>
    <col min="4102" max="4103" width="7.28515625" style="205" customWidth="1"/>
    <col min="4104" max="4355" width="9.140625" style="205"/>
    <col min="4356" max="4356" width="22.5703125" style="205" customWidth="1"/>
    <col min="4357" max="4357" width="9.85546875" style="205" bestFit="1" customWidth="1"/>
    <col min="4358" max="4359" width="7.28515625" style="205" customWidth="1"/>
    <col min="4360" max="4611" width="9.140625" style="205"/>
    <col min="4612" max="4612" width="22.5703125" style="205" customWidth="1"/>
    <col min="4613" max="4613" width="9.85546875" style="205" bestFit="1" customWidth="1"/>
    <col min="4614" max="4615" width="7.28515625" style="205" customWidth="1"/>
    <col min="4616" max="4867" width="9.140625" style="205"/>
    <col min="4868" max="4868" width="22.5703125" style="205" customWidth="1"/>
    <col min="4869" max="4869" width="9.85546875" style="205" bestFit="1" customWidth="1"/>
    <col min="4870" max="4871" width="7.28515625" style="205" customWidth="1"/>
    <col min="4872" max="5123" width="9.140625" style="205"/>
    <col min="5124" max="5124" width="22.5703125" style="205" customWidth="1"/>
    <col min="5125" max="5125" width="9.85546875" style="205" bestFit="1" customWidth="1"/>
    <col min="5126" max="5127" width="7.28515625" style="205" customWidth="1"/>
    <col min="5128" max="5379" width="9.140625" style="205"/>
    <col min="5380" max="5380" width="22.5703125" style="205" customWidth="1"/>
    <col min="5381" max="5381" width="9.85546875" style="205" bestFit="1" customWidth="1"/>
    <col min="5382" max="5383" width="7.28515625" style="205" customWidth="1"/>
    <col min="5384" max="5635" width="9.140625" style="205"/>
    <col min="5636" max="5636" width="22.5703125" style="205" customWidth="1"/>
    <col min="5637" max="5637" width="9.85546875" style="205" bestFit="1" customWidth="1"/>
    <col min="5638" max="5639" width="7.28515625" style="205" customWidth="1"/>
    <col min="5640" max="5891" width="9.140625" style="205"/>
    <col min="5892" max="5892" width="22.5703125" style="205" customWidth="1"/>
    <col min="5893" max="5893" width="9.85546875" style="205" bestFit="1" customWidth="1"/>
    <col min="5894" max="5895" width="7.28515625" style="205" customWidth="1"/>
    <col min="5896" max="6147" width="9.140625" style="205"/>
    <col min="6148" max="6148" width="22.5703125" style="205" customWidth="1"/>
    <col min="6149" max="6149" width="9.85546875" style="205" bestFit="1" customWidth="1"/>
    <col min="6150" max="6151" width="7.28515625" style="205" customWidth="1"/>
    <col min="6152" max="6403" width="9.140625" style="205"/>
    <col min="6404" max="6404" width="22.5703125" style="205" customWidth="1"/>
    <col min="6405" max="6405" width="9.85546875" style="205" bestFit="1" customWidth="1"/>
    <col min="6406" max="6407" width="7.28515625" style="205" customWidth="1"/>
    <col min="6408" max="6659" width="9.140625" style="205"/>
    <col min="6660" max="6660" width="22.5703125" style="205" customWidth="1"/>
    <col min="6661" max="6661" width="9.85546875" style="205" bestFit="1" customWidth="1"/>
    <col min="6662" max="6663" width="7.28515625" style="205" customWidth="1"/>
    <col min="6664" max="6915" width="9.140625" style="205"/>
    <col min="6916" max="6916" width="22.5703125" style="205" customWidth="1"/>
    <col min="6917" max="6917" width="9.85546875" style="205" bestFit="1" customWidth="1"/>
    <col min="6918" max="6919" width="7.28515625" style="205" customWidth="1"/>
    <col min="6920" max="7171" width="9.140625" style="205"/>
    <col min="7172" max="7172" width="22.5703125" style="205" customWidth="1"/>
    <col min="7173" max="7173" width="9.85546875" style="205" bestFit="1" customWidth="1"/>
    <col min="7174" max="7175" width="7.28515625" style="205" customWidth="1"/>
    <col min="7176" max="7427" width="9.140625" style="205"/>
    <col min="7428" max="7428" width="22.5703125" style="205" customWidth="1"/>
    <col min="7429" max="7429" width="9.85546875" style="205" bestFit="1" customWidth="1"/>
    <col min="7430" max="7431" width="7.28515625" style="205" customWidth="1"/>
    <col min="7432" max="7683" width="9.140625" style="205"/>
    <col min="7684" max="7684" width="22.5703125" style="205" customWidth="1"/>
    <col min="7685" max="7685" width="9.85546875" style="205" bestFit="1" customWidth="1"/>
    <col min="7686" max="7687" width="7.28515625" style="205" customWidth="1"/>
    <col min="7688" max="7939" width="9.140625" style="205"/>
    <col min="7940" max="7940" width="22.5703125" style="205" customWidth="1"/>
    <col min="7941" max="7941" width="9.85546875" style="205" bestFit="1" customWidth="1"/>
    <col min="7942" max="7943" width="7.28515625" style="205" customWidth="1"/>
    <col min="7944" max="8195" width="9.140625" style="205"/>
    <col min="8196" max="8196" width="22.5703125" style="205" customWidth="1"/>
    <col min="8197" max="8197" width="9.85546875" style="205" bestFit="1" customWidth="1"/>
    <col min="8198" max="8199" width="7.28515625" style="205" customWidth="1"/>
    <col min="8200" max="8451" width="9.140625" style="205"/>
    <col min="8452" max="8452" width="22.5703125" style="205" customWidth="1"/>
    <col min="8453" max="8453" width="9.85546875" style="205" bestFit="1" customWidth="1"/>
    <col min="8454" max="8455" width="7.28515625" style="205" customWidth="1"/>
    <col min="8456" max="8707" width="9.140625" style="205"/>
    <col min="8708" max="8708" width="22.5703125" style="205" customWidth="1"/>
    <col min="8709" max="8709" width="9.85546875" style="205" bestFit="1" customWidth="1"/>
    <col min="8710" max="8711" width="7.28515625" style="205" customWidth="1"/>
    <col min="8712" max="8963" width="9.140625" style="205"/>
    <col min="8964" max="8964" width="22.5703125" style="205" customWidth="1"/>
    <col min="8965" max="8965" width="9.85546875" style="205" bestFit="1" customWidth="1"/>
    <col min="8966" max="8967" width="7.28515625" style="205" customWidth="1"/>
    <col min="8968" max="9219" width="9.140625" style="205"/>
    <col min="9220" max="9220" width="22.5703125" style="205" customWidth="1"/>
    <col min="9221" max="9221" width="9.85546875" style="205" bestFit="1" customWidth="1"/>
    <col min="9222" max="9223" width="7.28515625" style="205" customWidth="1"/>
    <col min="9224" max="9475" width="9.140625" style="205"/>
    <col min="9476" max="9476" width="22.5703125" style="205" customWidth="1"/>
    <col min="9477" max="9477" width="9.85546875" style="205" bestFit="1" customWidth="1"/>
    <col min="9478" max="9479" width="7.28515625" style="205" customWidth="1"/>
    <col min="9480" max="9731" width="9.140625" style="205"/>
    <col min="9732" max="9732" width="22.5703125" style="205" customWidth="1"/>
    <col min="9733" max="9733" width="9.85546875" style="205" bestFit="1" customWidth="1"/>
    <col min="9734" max="9735" width="7.28515625" style="205" customWidth="1"/>
    <col min="9736" max="9987" width="9.140625" style="205"/>
    <col min="9988" max="9988" width="22.5703125" style="205" customWidth="1"/>
    <col min="9989" max="9989" width="9.85546875" style="205" bestFit="1" customWidth="1"/>
    <col min="9990" max="9991" width="7.28515625" style="205" customWidth="1"/>
    <col min="9992" max="10243" width="9.140625" style="205"/>
    <col min="10244" max="10244" width="22.5703125" style="205" customWidth="1"/>
    <col min="10245" max="10245" width="9.85546875" style="205" bestFit="1" customWidth="1"/>
    <col min="10246" max="10247" width="7.28515625" style="205" customWidth="1"/>
    <col min="10248" max="10499" width="9.140625" style="205"/>
    <col min="10500" max="10500" width="22.5703125" style="205" customWidth="1"/>
    <col min="10501" max="10501" width="9.85546875" style="205" bestFit="1" customWidth="1"/>
    <col min="10502" max="10503" width="7.28515625" style="205" customWidth="1"/>
    <col min="10504" max="10755" width="9.140625" style="205"/>
    <col min="10756" max="10756" width="22.5703125" style="205" customWidth="1"/>
    <col min="10757" max="10757" width="9.85546875" style="205" bestFit="1" customWidth="1"/>
    <col min="10758" max="10759" width="7.28515625" style="205" customWidth="1"/>
    <col min="10760" max="11011" width="9.140625" style="205"/>
    <col min="11012" max="11012" width="22.5703125" style="205" customWidth="1"/>
    <col min="11013" max="11013" width="9.85546875" style="205" bestFit="1" customWidth="1"/>
    <col min="11014" max="11015" width="7.28515625" style="205" customWidth="1"/>
    <col min="11016" max="11267" width="9.140625" style="205"/>
    <col min="11268" max="11268" width="22.5703125" style="205" customWidth="1"/>
    <col min="11269" max="11269" width="9.85546875" style="205" bestFit="1" customWidth="1"/>
    <col min="11270" max="11271" width="7.28515625" style="205" customWidth="1"/>
    <col min="11272" max="11523" width="9.140625" style="205"/>
    <col min="11524" max="11524" width="22.5703125" style="205" customWidth="1"/>
    <col min="11525" max="11525" width="9.85546875" style="205" bestFit="1" customWidth="1"/>
    <col min="11526" max="11527" width="7.28515625" style="205" customWidth="1"/>
    <col min="11528" max="11779" width="9.140625" style="205"/>
    <col min="11780" max="11780" width="22.5703125" style="205" customWidth="1"/>
    <col min="11781" max="11781" width="9.85546875" style="205" bestFit="1" customWidth="1"/>
    <col min="11782" max="11783" width="7.28515625" style="205" customWidth="1"/>
    <col min="11784" max="12035" width="9.140625" style="205"/>
    <col min="12036" max="12036" width="22.5703125" style="205" customWidth="1"/>
    <col min="12037" max="12037" width="9.85546875" style="205" bestFit="1" customWidth="1"/>
    <col min="12038" max="12039" width="7.28515625" style="205" customWidth="1"/>
    <col min="12040" max="12291" width="9.140625" style="205"/>
    <col min="12292" max="12292" width="22.5703125" style="205" customWidth="1"/>
    <col min="12293" max="12293" width="9.85546875" style="205" bestFit="1" customWidth="1"/>
    <col min="12294" max="12295" width="7.28515625" style="205" customWidth="1"/>
    <col min="12296" max="12547" width="9.140625" style="205"/>
    <col min="12548" max="12548" width="22.5703125" style="205" customWidth="1"/>
    <col min="12549" max="12549" width="9.85546875" style="205" bestFit="1" customWidth="1"/>
    <col min="12550" max="12551" width="7.28515625" style="205" customWidth="1"/>
    <col min="12552" max="12803" width="9.140625" style="205"/>
    <col min="12804" max="12804" width="22.5703125" style="205" customWidth="1"/>
    <col min="12805" max="12805" width="9.85546875" style="205" bestFit="1" customWidth="1"/>
    <col min="12806" max="12807" width="7.28515625" style="205" customWidth="1"/>
    <col min="12808" max="13059" width="9.140625" style="205"/>
    <col min="13060" max="13060" width="22.5703125" style="205" customWidth="1"/>
    <col min="13061" max="13061" width="9.85546875" style="205" bestFit="1" customWidth="1"/>
    <col min="13062" max="13063" width="7.28515625" style="205" customWidth="1"/>
    <col min="13064" max="13315" width="9.140625" style="205"/>
    <col min="13316" max="13316" width="22.5703125" style="205" customWidth="1"/>
    <col min="13317" max="13317" width="9.85546875" style="205" bestFit="1" customWidth="1"/>
    <col min="13318" max="13319" width="7.28515625" style="205" customWidth="1"/>
    <col min="13320" max="13571" width="9.140625" style="205"/>
    <col min="13572" max="13572" width="22.5703125" style="205" customWidth="1"/>
    <col min="13573" max="13573" width="9.85546875" style="205" bestFit="1" customWidth="1"/>
    <col min="13574" max="13575" width="7.28515625" style="205" customWidth="1"/>
    <col min="13576" max="13827" width="9.140625" style="205"/>
    <col min="13828" max="13828" width="22.5703125" style="205" customWidth="1"/>
    <col min="13829" max="13829" width="9.85546875" style="205" bestFit="1" customWidth="1"/>
    <col min="13830" max="13831" width="7.28515625" style="205" customWidth="1"/>
    <col min="13832" max="14083" width="9.140625" style="205"/>
    <col min="14084" max="14084" width="22.5703125" style="205" customWidth="1"/>
    <col min="14085" max="14085" width="9.85546875" style="205" bestFit="1" customWidth="1"/>
    <col min="14086" max="14087" width="7.28515625" style="205" customWidth="1"/>
    <col min="14088" max="14339" width="9.140625" style="205"/>
    <col min="14340" max="14340" width="22.5703125" style="205" customWidth="1"/>
    <col min="14341" max="14341" width="9.85546875" style="205" bestFit="1" customWidth="1"/>
    <col min="14342" max="14343" width="7.28515625" style="205" customWidth="1"/>
    <col min="14344" max="14595" width="9.140625" style="205"/>
    <col min="14596" max="14596" width="22.5703125" style="205" customWidth="1"/>
    <col min="14597" max="14597" width="9.85546875" style="205" bestFit="1" customWidth="1"/>
    <col min="14598" max="14599" width="7.28515625" style="205" customWidth="1"/>
    <col min="14600" max="14851" width="9.140625" style="205"/>
    <col min="14852" max="14852" width="22.5703125" style="205" customWidth="1"/>
    <col min="14853" max="14853" width="9.85546875" style="205" bestFit="1" customWidth="1"/>
    <col min="14854" max="14855" width="7.28515625" style="205" customWidth="1"/>
    <col min="14856" max="15107" width="9.140625" style="205"/>
    <col min="15108" max="15108" width="22.5703125" style="205" customWidth="1"/>
    <col min="15109" max="15109" width="9.85546875" style="205" bestFit="1" customWidth="1"/>
    <col min="15110" max="15111" width="7.28515625" style="205" customWidth="1"/>
    <col min="15112" max="15363" width="9.140625" style="205"/>
    <col min="15364" max="15364" width="22.5703125" style="205" customWidth="1"/>
    <col min="15365" max="15365" width="9.85546875" style="205" bestFit="1" customWidth="1"/>
    <col min="15366" max="15367" width="7.28515625" style="205" customWidth="1"/>
    <col min="15368" max="15619" width="9.140625" style="205"/>
    <col min="15620" max="15620" width="22.5703125" style="205" customWidth="1"/>
    <col min="15621" max="15621" width="9.85546875" style="205" bestFit="1" customWidth="1"/>
    <col min="15622" max="15623" width="7.28515625" style="205" customWidth="1"/>
    <col min="15624" max="15875" width="9.140625" style="205"/>
    <col min="15876" max="15876" width="22.5703125" style="205" customWidth="1"/>
    <col min="15877" max="15877" width="9.85546875" style="205" bestFit="1" customWidth="1"/>
    <col min="15878" max="15879" width="7.28515625" style="205" customWidth="1"/>
    <col min="15880" max="16131" width="9.140625" style="205"/>
    <col min="16132" max="16132" width="22.5703125" style="205" customWidth="1"/>
    <col min="16133" max="16133" width="9.85546875" style="205" bestFit="1" customWidth="1"/>
    <col min="16134" max="16135" width="7.28515625" style="205" customWidth="1"/>
    <col min="16136" max="16384" width="9.140625" style="205"/>
  </cols>
  <sheetData>
    <row r="1" spans="1:7" ht="20.25">
      <c r="A1" s="202" t="s">
        <v>266</v>
      </c>
      <c r="B1" s="203"/>
      <c r="C1" s="203"/>
      <c r="D1" s="203"/>
      <c r="E1" s="204" t="s">
        <v>267</v>
      </c>
      <c r="F1" s="204" t="s">
        <v>267</v>
      </c>
      <c r="G1" s="204" t="s">
        <v>267</v>
      </c>
    </row>
    <row r="2" spans="1:7">
      <c r="A2" s="206" t="s">
        <v>311</v>
      </c>
      <c r="B2" s="207"/>
      <c r="C2" s="207"/>
      <c r="D2" s="207"/>
      <c r="E2" s="208">
        <v>365</v>
      </c>
      <c r="F2" s="208">
        <v>52</v>
      </c>
      <c r="G2" s="208">
        <v>12</v>
      </c>
    </row>
    <row r="3" spans="1:7">
      <c r="A3" s="209" t="s">
        <v>336</v>
      </c>
      <c r="B3" s="210"/>
      <c r="C3" s="210"/>
      <c r="D3" s="210"/>
      <c r="E3" s="211"/>
      <c r="F3" s="211"/>
      <c r="G3" s="211"/>
    </row>
    <row r="4" spans="1:7">
      <c r="A4" s="212" t="s">
        <v>270</v>
      </c>
      <c r="B4" s="213"/>
      <c r="C4" s="213"/>
      <c r="D4" s="213"/>
      <c r="E4" s="214"/>
      <c r="F4" s="214"/>
      <c r="G4" s="214"/>
    </row>
    <row r="5" spans="1:7">
      <c r="A5" s="215" t="s">
        <v>313</v>
      </c>
      <c r="B5" s="216"/>
      <c r="C5" s="216"/>
      <c r="D5" s="216"/>
      <c r="E5" s="208"/>
      <c r="F5" s="208"/>
      <c r="G5" s="208"/>
    </row>
    <row r="6" spans="1:7">
      <c r="A6" s="215" t="s">
        <v>314</v>
      </c>
      <c r="B6" s="216"/>
      <c r="C6" s="216"/>
      <c r="D6" s="216"/>
      <c r="E6" s="208" t="s">
        <v>272</v>
      </c>
      <c r="F6" s="208"/>
      <c r="G6" s="208"/>
    </row>
    <row r="7" spans="1:7">
      <c r="A7" s="217" t="s">
        <v>315</v>
      </c>
      <c r="B7" s="218"/>
      <c r="C7" s="218"/>
      <c r="D7" s="219"/>
      <c r="E7" s="220" t="s">
        <v>272</v>
      </c>
      <c r="F7" s="220"/>
      <c r="G7" s="220"/>
    </row>
    <row r="8" spans="1:7">
      <c r="A8" s="217" t="s">
        <v>316</v>
      </c>
      <c r="B8" s="218"/>
      <c r="C8" s="218"/>
      <c r="D8" s="219"/>
      <c r="E8" s="220" t="s">
        <v>272</v>
      </c>
      <c r="F8" s="220"/>
      <c r="G8" s="220"/>
    </row>
    <row r="9" spans="1:7">
      <c r="A9" s="217" t="s">
        <v>317</v>
      </c>
      <c r="B9" s="218"/>
      <c r="C9" s="218"/>
      <c r="D9" s="219"/>
      <c r="E9" s="220" t="s">
        <v>272</v>
      </c>
      <c r="F9" s="220"/>
      <c r="G9" s="220"/>
    </row>
    <row r="10" spans="1:7">
      <c r="A10" s="217" t="s">
        <v>337</v>
      </c>
      <c r="B10" s="218"/>
      <c r="C10" s="218"/>
      <c r="D10" s="219"/>
      <c r="E10" s="220" t="s">
        <v>272</v>
      </c>
      <c r="F10" s="220"/>
      <c r="G10" s="220"/>
    </row>
    <row r="11" spans="1:7">
      <c r="A11" s="217" t="s">
        <v>318</v>
      </c>
      <c r="B11" s="218"/>
      <c r="C11" s="218"/>
      <c r="D11" s="219"/>
      <c r="E11" s="220" t="s">
        <v>272</v>
      </c>
      <c r="F11" s="220"/>
      <c r="G11" s="220"/>
    </row>
    <row r="12" spans="1:7">
      <c r="A12" s="217" t="s">
        <v>319</v>
      </c>
      <c r="B12" s="218"/>
      <c r="C12" s="218"/>
      <c r="D12" s="219"/>
      <c r="E12" s="220" t="s">
        <v>272</v>
      </c>
      <c r="F12" s="220"/>
      <c r="G12" s="220"/>
    </row>
    <row r="13" spans="1:7">
      <c r="A13" s="217" t="s">
        <v>320</v>
      </c>
      <c r="B13" s="218"/>
      <c r="C13" s="218"/>
      <c r="D13" s="219"/>
      <c r="E13" s="220" t="s">
        <v>272</v>
      </c>
      <c r="F13" s="220"/>
      <c r="G13" s="220"/>
    </row>
    <row r="14" spans="1:7">
      <c r="A14" s="217" t="s">
        <v>324</v>
      </c>
      <c r="B14" s="218"/>
      <c r="C14" s="218"/>
      <c r="D14" s="219"/>
      <c r="E14" s="220" t="s">
        <v>272</v>
      </c>
      <c r="F14" s="220"/>
      <c r="G14" s="220"/>
    </row>
    <row r="15" spans="1:7">
      <c r="A15" s="217" t="s">
        <v>325</v>
      </c>
      <c r="B15" s="218"/>
      <c r="C15" s="218"/>
      <c r="D15" s="219"/>
      <c r="E15" s="220" t="s">
        <v>272</v>
      </c>
      <c r="F15" s="220"/>
      <c r="G15" s="220"/>
    </row>
    <row r="16" spans="1:7">
      <c r="A16" s="217" t="s">
        <v>286</v>
      </c>
      <c r="B16" s="218"/>
      <c r="C16" s="218"/>
      <c r="D16" s="219"/>
      <c r="E16" s="220" t="s">
        <v>272</v>
      </c>
      <c r="F16" s="220"/>
      <c r="G16" s="220"/>
    </row>
    <row r="17" spans="1:7">
      <c r="A17" s="215"/>
      <c r="B17" s="216"/>
      <c r="C17" s="216"/>
      <c r="D17" s="216"/>
      <c r="E17" s="225"/>
      <c r="F17" s="225"/>
      <c r="G17" s="225"/>
    </row>
    <row r="18" spans="1:7">
      <c r="A18" s="212" t="s">
        <v>282</v>
      </c>
      <c r="B18" s="226"/>
      <c r="C18" s="226"/>
      <c r="D18" s="226"/>
      <c r="E18" s="227"/>
      <c r="F18" s="227"/>
      <c r="G18" s="227"/>
    </row>
    <row r="19" spans="1:7">
      <c r="A19" s="217" t="s">
        <v>326</v>
      </c>
      <c r="B19" s="218"/>
      <c r="C19" s="218"/>
      <c r="D19" s="219"/>
      <c r="E19" s="220"/>
      <c r="F19" s="220" t="s">
        <v>272</v>
      </c>
      <c r="G19" s="220"/>
    </row>
    <row r="20" spans="1:7">
      <c r="A20" s="217" t="s">
        <v>327</v>
      </c>
      <c r="B20" s="218"/>
      <c r="C20" s="218"/>
      <c r="D20" s="219"/>
      <c r="E20" s="220"/>
      <c r="F20" s="220" t="s">
        <v>272</v>
      </c>
      <c r="G20" s="220"/>
    </row>
    <row r="21" spans="1:7">
      <c r="A21" s="217" t="s">
        <v>328</v>
      </c>
      <c r="B21" s="218"/>
      <c r="C21" s="218"/>
      <c r="D21" s="219"/>
      <c r="E21" s="220"/>
      <c r="F21" s="220" t="s">
        <v>272</v>
      </c>
      <c r="G21" s="220"/>
    </row>
    <row r="22" spans="1:7">
      <c r="A22" s="217" t="s">
        <v>296</v>
      </c>
      <c r="B22" s="218"/>
      <c r="C22" s="218"/>
      <c r="D22" s="219"/>
      <c r="E22" s="220"/>
      <c r="F22" s="220" t="s">
        <v>272</v>
      </c>
      <c r="G22" s="220"/>
    </row>
    <row r="23" spans="1:7">
      <c r="A23" s="217" t="s">
        <v>329</v>
      </c>
      <c r="B23" s="218"/>
      <c r="C23" s="218"/>
      <c r="D23" s="219"/>
      <c r="E23" s="220"/>
      <c r="F23" s="220" t="s">
        <v>272</v>
      </c>
      <c r="G23" s="220"/>
    </row>
    <row r="24" spans="1:7">
      <c r="A24" s="217" t="s">
        <v>298</v>
      </c>
      <c r="B24" s="217"/>
      <c r="C24" s="217"/>
      <c r="D24" s="217"/>
      <c r="E24" s="220"/>
      <c r="F24" s="220" t="s">
        <v>272</v>
      </c>
      <c r="G24" s="220"/>
    </row>
    <row r="25" spans="1:7">
      <c r="A25" s="217" t="s">
        <v>330</v>
      </c>
      <c r="B25" s="218"/>
      <c r="C25" s="218"/>
      <c r="D25" s="219"/>
      <c r="E25" s="220"/>
      <c r="F25" s="220" t="s">
        <v>272</v>
      </c>
      <c r="G25" s="220"/>
    </row>
    <row r="26" spans="1:7">
      <c r="A26" s="224" t="s">
        <v>331</v>
      </c>
      <c r="B26" s="224"/>
      <c r="C26" s="224"/>
      <c r="D26" s="224"/>
      <c r="E26" s="220"/>
      <c r="F26" s="220" t="s">
        <v>272</v>
      </c>
      <c r="G26" s="220"/>
    </row>
    <row r="27" spans="1:7">
      <c r="A27" s="217"/>
      <c r="B27" s="218"/>
      <c r="C27" s="218"/>
      <c r="D27" s="218"/>
      <c r="E27" s="220"/>
      <c r="F27" s="220"/>
      <c r="G27" s="220"/>
    </row>
    <row r="28" spans="1:7">
      <c r="A28" s="212" t="s">
        <v>302</v>
      </c>
      <c r="B28" s="226"/>
      <c r="C28" s="226"/>
      <c r="D28" s="226"/>
      <c r="E28" s="227"/>
      <c r="F28" s="227"/>
      <c r="G28" s="227"/>
    </row>
    <row r="29" spans="1:7">
      <c r="A29" s="217" t="s">
        <v>332</v>
      </c>
      <c r="B29" s="218"/>
      <c r="C29" s="218"/>
      <c r="D29" s="219"/>
      <c r="E29" s="236"/>
      <c r="F29" s="236"/>
      <c r="G29" s="236" t="s">
        <v>272</v>
      </c>
    </row>
    <row r="30" spans="1:7">
      <c r="A30" s="217" t="s">
        <v>306</v>
      </c>
      <c r="B30" s="218"/>
      <c r="C30" s="218"/>
      <c r="D30" s="219"/>
      <c r="E30" s="236"/>
      <c r="F30" s="236"/>
      <c r="G30" s="236" t="s">
        <v>272</v>
      </c>
    </row>
    <row r="31" spans="1:7">
      <c r="A31" s="217" t="s">
        <v>291</v>
      </c>
      <c r="B31" s="218"/>
      <c r="C31" s="218"/>
      <c r="D31" s="219"/>
      <c r="E31" s="236"/>
      <c r="F31" s="236"/>
      <c r="G31" s="236" t="s">
        <v>272</v>
      </c>
    </row>
    <row r="32" spans="1:7">
      <c r="A32" s="217" t="s">
        <v>306</v>
      </c>
      <c r="B32" s="218"/>
      <c r="C32" s="218"/>
      <c r="D32" s="219"/>
      <c r="E32" s="236"/>
      <c r="F32" s="236"/>
      <c r="G32" s="236" t="s">
        <v>272</v>
      </c>
    </row>
    <row r="33" spans="1:7">
      <c r="A33" s="217" t="s">
        <v>307</v>
      </c>
      <c r="B33" s="218"/>
      <c r="C33" s="218"/>
      <c r="D33" s="219"/>
      <c r="E33" s="236"/>
      <c r="F33" s="236"/>
      <c r="G33" s="236" t="s">
        <v>272</v>
      </c>
    </row>
    <row r="34" spans="1:7">
      <c r="A34" s="217" t="s">
        <v>333</v>
      </c>
      <c r="B34" s="218"/>
      <c r="C34" s="218"/>
      <c r="D34" s="219"/>
      <c r="E34" s="236"/>
      <c r="F34" s="236"/>
      <c r="G34" s="236" t="s">
        <v>272</v>
      </c>
    </row>
    <row r="35" spans="1:7">
      <c r="A35" s="217" t="s">
        <v>334</v>
      </c>
      <c r="B35" s="218"/>
      <c r="C35" s="218"/>
      <c r="D35" s="219"/>
      <c r="E35" s="236"/>
      <c r="F35" s="236"/>
      <c r="G35" s="236" t="s">
        <v>272</v>
      </c>
    </row>
    <row r="36" spans="1:7">
      <c r="A36" s="217"/>
      <c r="B36" s="218"/>
      <c r="C36" s="218"/>
      <c r="D36" s="219"/>
      <c r="E36" s="238"/>
      <c r="F36" s="238"/>
      <c r="G36" s="236"/>
    </row>
    <row r="37" spans="1:7">
      <c r="A37" s="237" t="s">
        <v>310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6E899-486A-4795-8A10-6C33DE31B43C}">
  <sheetPr>
    <tabColor theme="0" tint="-0.14999847407452621"/>
  </sheetPr>
  <dimension ref="A1:H39"/>
  <sheetViews>
    <sheetView workbookViewId="0">
      <selection activeCell="P38" sqref="P38"/>
    </sheetView>
  </sheetViews>
  <sheetFormatPr defaultRowHeight="15"/>
  <cols>
    <col min="1" max="3" width="9.140625" style="205"/>
    <col min="4" max="4" width="25.85546875" style="205" customWidth="1"/>
    <col min="5" max="8" width="7.28515625" style="205" customWidth="1"/>
    <col min="9" max="259" width="9.140625" style="205"/>
    <col min="260" max="260" width="25.85546875" style="205" customWidth="1"/>
    <col min="261" max="264" width="7.28515625" style="205" customWidth="1"/>
    <col min="265" max="515" width="9.140625" style="205"/>
    <col min="516" max="516" width="25.85546875" style="205" customWidth="1"/>
    <col min="517" max="520" width="7.28515625" style="205" customWidth="1"/>
    <col min="521" max="771" width="9.140625" style="205"/>
    <col min="772" max="772" width="25.85546875" style="205" customWidth="1"/>
    <col min="773" max="776" width="7.28515625" style="205" customWidth="1"/>
    <col min="777" max="1027" width="9.140625" style="205"/>
    <col min="1028" max="1028" width="25.85546875" style="205" customWidth="1"/>
    <col min="1029" max="1032" width="7.28515625" style="205" customWidth="1"/>
    <col min="1033" max="1283" width="9.140625" style="205"/>
    <col min="1284" max="1284" width="25.85546875" style="205" customWidth="1"/>
    <col min="1285" max="1288" width="7.28515625" style="205" customWidth="1"/>
    <col min="1289" max="1539" width="9.140625" style="205"/>
    <col min="1540" max="1540" width="25.85546875" style="205" customWidth="1"/>
    <col min="1541" max="1544" width="7.28515625" style="205" customWidth="1"/>
    <col min="1545" max="1795" width="9.140625" style="205"/>
    <col min="1796" max="1796" width="25.85546875" style="205" customWidth="1"/>
    <col min="1797" max="1800" width="7.28515625" style="205" customWidth="1"/>
    <col min="1801" max="2051" width="9.140625" style="205"/>
    <col min="2052" max="2052" width="25.85546875" style="205" customWidth="1"/>
    <col min="2053" max="2056" width="7.28515625" style="205" customWidth="1"/>
    <col min="2057" max="2307" width="9.140625" style="205"/>
    <col min="2308" max="2308" width="25.85546875" style="205" customWidth="1"/>
    <col min="2309" max="2312" width="7.28515625" style="205" customWidth="1"/>
    <col min="2313" max="2563" width="9.140625" style="205"/>
    <col min="2564" max="2564" width="25.85546875" style="205" customWidth="1"/>
    <col min="2565" max="2568" width="7.28515625" style="205" customWidth="1"/>
    <col min="2569" max="2819" width="9.140625" style="205"/>
    <col min="2820" max="2820" width="25.85546875" style="205" customWidth="1"/>
    <col min="2821" max="2824" width="7.28515625" style="205" customWidth="1"/>
    <col min="2825" max="3075" width="9.140625" style="205"/>
    <col min="3076" max="3076" width="25.85546875" style="205" customWidth="1"/>
    <col min="3077" max="3080" width="7.28515625" style="205" customWidth="1"/>
    <col min="3081" max="3331" width="9.140625" style="205"/>
    <col min="3332" max="3332" width="25.85546875" style="205" customWidth="1"/>
    <col min="3333" max="3336" width="7.28515625" style="205" customWidth="1"/>
    <col min="3337" max="3587" width="9.140625" style="205"/>
    <col min="3588" max="3588" width="25.85546875" style="205" customWidth="1"/>
    <col min="3589" max="3592" width="7.28515625" style="205" customWidth="1"/>
    <col min="3593" max="3843" width="9.140625" style="205"/>
    <col min="3844" max="3844" width="25.85546875" style="205" customWidth="1"/>
    <col min="3845" max="3848" width="7.28515625" style="205" customWidth="1"/>
    <col min="3849" max="4099" width="9.140625" style="205"/>
    <col min="4100" max="4100" width="25.85546875" style="205" customWidth="1"/>
    <col min="4101" max="4104" width="7.28515625" style="205" customWidth="1"/>
    <col min="4105" max="4355" width="9.140625" style="205"/>
    <col min="4356" max="4356" width="25.85546875" style="205" customWidth="1"/>
    <col min="4357" max="4360" width="7.28515625" style="205" customWidth="1"/>
    <col min="4361" max="4611" width="9.140625" style="205"/>
    <col min="4612" max="4612" width="25.85546875" style="205" customWidth="1"/>
    <col min="4613" max="4616" width="7.28515625" style="205" customWidth="1"/>
    <col min="4617" max="4867" width="9.140625" style="205"/>
    <col min="4868" max="4868" width="25.85546875" style="205" customWidth="1"/>
    <col min="4869" max="4872" width="7.28515625" style="205" customWidth="1"/>
    <col min="4873" max="5123" width="9.140625" style="205"/>
    <col min="5124" max="5124" width="25.85546875" style="205" customWidth="1"/>
    <col min="5125" max="5128" width="7.28515625" style="205" customWidth="1"/>
    <col min="5129" max="5379" width="9.140625" style="205"/>
    <col min="5380" max="5380" width="25.85546875" style="205" customWidth="1"/>
    <col min="5381" max="5384" width="7.28515625" style="205" customWidth="1"/>
    <col min="5385" max="5635" width="9.140625" style="205"/>
    <col min="5636" max="5636" width="25.85546875" style="205" customWidth="1"/>
    <col min="5637" max="5640" width="7.28515625" style="205" customWidth="1"/>
    <col min="5641" max="5891" width="9.140625" style="205"/>
    <col min="5892" max="5892" width="25.85546875" style="205" customWidth="1"/>
    <col min="5893" max="5896" width="7.28515625" style="205" customWidth="1"/>
    <col min="5897" max="6147" width="9.140625" style="205"/>
    <col min="6148" max="6148" width="25.85546875" style="205" customWidth="1"/>
    <col min="6149" max="6152" width="7.28515625" style="205" customWidth="1"/>
    <col min="6153" max="6403" width="9.140625" style="205"/>
    <col min="6404" max="6404" width="25.85546875" style="205" customWidth="1"/>
    <col min="6405" max="6408" width="7.28515625" style="205" customWidth="1"/>
    <col min="6409" max="6659" width="9.140625" style="205"/>
    <col min="6660" max="6660" width="25.85546875" style="205" customWidth="1"/>
    <col min="6661" max="6664" width="7.28515625" style="205" customWidth="1"/>
    <col min="6665" max="6915" width="9.140625" style="205"/>
    <col min="6916" max="6916" width="25.85546875" style="205" customWidth="1"/>
    <col min="6917" max="6920" width="7.28515625" style="205" customWidth="1"/>
    <col min="6921" max="7171" width="9.140625" style="205"/>
    <col min="7172" max="7172" width="25.85546875" style="205" customWidth="1"/>
    <col min="7173" max="7176" width="7.28515625" style="205" customWidth="1"/>
    <col min="7177" max="7427" width="9.140625" style="205"/>
    <col min="7428" max="7428" width="25.85546875" style="205" customWidth="1"/>
    <col min="7429" max="7432" width="7.28515625" style="205" customWidth="1"/>
    <col min="7433" max="7683" width="9.140625" style="205"/>
    <col min="7684" max="7684" width="25.85546875" style="205" customWidth="1"/>
    <col min="7685" max="7688" width="7.28515625" style="205" customWidth="1"/>
    <col min="7689" max="7939" width="9.140625" style="205"/>
    <col min="7940" max="7940" width="25.85546875" style="205" customWidth="1"/>
    <col min="7941" max="7944" width="7.28515625" style="205" customWidth="1"/>
    <col min="7945" max="8195" width="9.140625" style="205"/>
    <col min="8196" max="8196" width="25.85546875" style="205" customWidth="1"/>
    <col min="8197" max="8200" width="7.28515625" style="205" customWidth="1"/>
    <col min="8201" max="8451" width="9.140625" style="205"/>
    <col min="8452" max="8452" width="25.85546875" style="205" customWidth="1"/>
    <col min="8453" max="8456" width="7.28515625" style="205" customWidth="1"/>
    <col min="8457" max="8707" width="9.140625" style="205"/>
    <col min="8708" max="8708" width="25.85546875" style="205" customWidth="1"/>
    <col min="8709" max="8712" width="7.28515625" style="205" customWidth="1"/>
    <col min="8713" max="8963" width="9.140625" style="205"/>
    <col min="8964" max="8964" width="25.85546875" style="205" customWidth="1"/>
    <col min="8965" max="8968" width="7.28515625" style="205" customWidth="1"/>
    <col min="8969" max="9219" width="9.140625" style="205"/>
    <col min="9220" max="9220" width="25.85546875" style="205" customWidth="1"/>
    <col min="9221" max="9224" width="7.28515625" style="205" customWidth="1"/>
    <col min="9225" max="9475" width="9.140625" style="205"/>
    <col min="9476" max="9476" width="25.85546875" style="205" customWidth="1"/>
    <col min="9477" max="9480" width="7.28515625" style="205" customWidth="1"/>
    <col min="9481" max="9731" width="9.140625" style="205"/>
    <col min="9732" max="9732" width="25.85546875" style="205" customWidth="1"/>
    <col min="9733" max="9736" width="7.28515625" style="205" customWidth="1"/>
    <col min="9737" max="9987" width="9.140625" style="205"/>
    <col min="9988" max="9988" width="25.85546875" style="205" customWidth="1"/>
    <col min="9989" max="9992" width="7.28515625" style="205" customWidth="1"/>
    <col min="9993" max="10243" width="9.140625" style="205"/>
    <col min="10244" max="10244" width="25.85546875" style="205" customWidth="1"/>
    <col min="10245" max="10248" width="7.28515625" style="205" customWidth="1"/>
    <col min="10249" max="10499" width="9.140625" style="205"/>
    <col min="10500" max="10500" width="25.85546875" style="205" customWidth="1"/>
    <col min="10501" max="10504" width="7.28515625" style="205" customWidth="1"/>
    <col min="10505" max="10755" width="9.140625" style="205"/>
    <col min="10756" max="10756" width="25.85546875" style="205" customWidth="1"/>
    <col min="10757" max="10760" width="7.28515625" style="205" customWidth="1"/>
    <col min="10761" max="11011" width="9.140625" style="205"/>
    <col min="11012" max="11012" width="25.85546875" style="205" customWidth="1"/>
    <col min="11013" max="11016" width="7.28515625" style="205" customWidth="1"/>
    <col min="11017" max="11267" width="9.140625" style="205"/>
    <col min="11268" max="11268" width="25.85546875" style="205" customWidth="1"/>
    <col min="11269" max="11272" width="7.28515625" style="205" customWidth="1"/>
    <col min="11273" max="11523" width="9.140625" style="205"/>
    <col min="11524" max="11524" width="25.85546875" style="205" customWidth="1"/>
    <col min="11525" max="11528" width="7.28515625" style="205" customWidth="1"/>
    <col min="11529" max="11779" width="9.140625" style="205"/>
    <col min="11780" max="11780" width="25.85546875" style="205" customWidth="1"/>
    <col min="11781" max="11784" width="7.28515625" style="205" customWidth="1"/>
    <col min="11785" max="12035" width="9.140625" style="205"/>
    <col min="12036" max="12036" width="25.85546875" style="205" customWidth="1"/>
    <col min="12037" max="12040" width="7.28515625" style="205" customWidth="1"/>
    <col min="12041" max="12291" width="9.140625" style="205"/>
    <col min="12292" max="12292" width="25.85546875" style="205" customWidth="1"/>
    <col min="12293" max="12296" width="7.28515625" style="205" customWidth="1"/>
    <col min="12297" max="12547" width="9.140625" style="205"/>
    <col min="12548" max="12548" width="25.85546875" style="205" customWidth="1"/>
    <col min="12549" max="12552" width="7.28515625" style="205" customWidth="1"/>
    <col min="12553" max="12803" width="9.140625" style="205"/>
    <col min="12804" max="12804" width="25.85546875" style="205" customWidth="1"/>
    <col min="12805" max="12808" width="7.28515625" style="205" customWidth="1"/>
    <col min="12809" max="13059" width="9.140625" style="205"/>
    <col min="13060" max="13060" width="25.85546875" style="205" customWidth="1"/>
    <col min="13061" max="13064" width="7.28515625" style="205" customWidth="1"/>
    <col min="13065" max="13315" width="9.140625" style="205"/>
    <col min="13316" max="13316" width="25.85546875" style="205" customWidth="1"/>
    <col min="13317" max="13320" width="7.28515625" style="205" customWidth="1"/>
    <col min="13321" max="13571" width="9.140625" style="205"/>
    <col min="13572" max="13572" width="25.85546875" style="205" customWidth="1"/>
    <col min="13573" max="13576" width="7.28515625" style="205" customWidth="1"/>
    <col min="13577" max="13827" width="9.140625" style="205"/>
    <col min="13828" max="13828" width="25.85546875" style="205" customWidth="1"/>
    <col min="13829" max="13832" width="7.28515625" style="205" customWidth="1"/>
    <col min="13833" max="14083" width="9.140625" style="205"/>
    <col min="14084" max="14084" width="25.85546875" style="205" customWidth="1"/>
    <col min="14085" max="14088" width="7.28515625" style="205" customWidth="1"/>
    <col min="14089" max="14339" width="9.140625" style="205"/>
    <col min="14340" max="14340" width="25.85546875" style="205" customWidth="1"/>
    <col min="14341" max="14344" width="7.28515625" style="205" customWidth="1"/>
    <col min="14345" max="14595" width="9.140625" style="205"/>
    <col min="14596" max="14596" width="25.85546875" style="205" customWidth="1"/>
    <col min="14597" max="14600" width="7.28515625" style="205" customWidth="1"/>
    <col min="14601" max="14851" width="9.140625" style="205"/>
    <col min="14852" max="14852" width="25.85546875" style="205" customWidth="1"/>
    <col min="14853" max="14856" width="7.28515625" style="205" customWidth="1"/>
    <col min="14857" max="15107" width="9.140625" style="205"/>
    <col min="15108" max="15108" width="25.85546875" style="205" customWidth="1"/>
    <col min="15109" max="15112" width="7.28515625" style="205" customWidth="1"/>
    <col min="15113" max="15363" width="9.140625" style="205"/>
    <col min="15364" max="15364" width="25.85546875" style="205" customWidth="1"/>
    <col min="15365" max="15368" width="7.28515625" style="205" customWidth="1"/>
    <col min="15369" max="15619" width="9.140625" style="205"/>
    <col min="15620" max="15620" width="25.85546875" style="205" customWidth="1"/>
    <col min="15621" max="15624" width="7.28515625" style="205" customWidth="1"/>
    <col min="15625" max="15875" width="9.140625" style="205"/>
    <col min="15876" max="15876" width="25.85546875" style="205" customWidth="1"/>
    <col min="15877" max="15880" width="7.28515625" style="205" customWidth="1"/>
    <col min="15881" max="16131" width="9.140625" style="205"/>
    <col min="16132" max="16132" width="25.85546875" style="205" customWidth="1"/>
    <col min="16133" max="16136" width="7.28515625" style="205" customWidth="1"/>
    <col min="16137" max="16384" width="9.140625" style="205"/>
  </cols>
  <sheetData>
    <row r="1" spans="1:8" ht="20.25">
      <c r="A1" s="202" t="s">
        <v>266</v>
      </c>
      <c r="B1" s="203"/>
      <c r="C1" s="203"/>
      <c r="D1" s="203"/>
      <c r="E1" s="204" t="s">
        <v>267</v>
      </c>
      <c r="F1" s="204" t="s">
        <v>401</v>
      </c>
      <c r="G1" s="204" t="s">
        <v>267</v>
      </c>
      <c r="H1" s="204" t="s">
        <v>267</v>
      </c>
    </row>
    <row r="2" spans="1:8">
      <c r="A2" s="206" t="s">
        <v>338</v>
      </c>
      <c r="B2" s="207"/>
      <c r="C2" s="207"/>
      <c r="D2" s="207"/>
      <c r="E2" s="208">
        <v>365</v>
      </c>
      <c r="F2" s="208">
        <v>104</v>
      </c>
      <c r="G2" s="208">
        <v>4</v>
      </c>
      <c r="H2" s="208">
        <v>1</v>
      </c>
    </row>
    <row r="3" spans="1:8">
      <c r="A3" s="209" t="s">
        <v>339</v>
      </c>
      <c r="B3" s="210"/>
      <c r="C3" s="210"/>
      <c r="D3" s="210"/>
      <c r="E3" s="211"/>
      <c r="F3" s="211"/>
      <c r="G3" s="211"/>
      <c r="H3" s="211"/>
    </row>
    <row r="4" spans="1:8">
      <c r="A4" s="212" t="s">
        <v>340</v>
      </c>
      <c r="B4" s="213"/>
      <c r="C4" s="213"/>
      <c r="D4" s="213"/>
      <c r="E4" s="214"/>
      <c r="F4" s="214"/>
      <c r="G4" s="214"/>
      <c r="H4" s="214"/>
    </row>
    <row r="5" spans="1:8">
      <c r="A5" s="215" t="s">
        <v>313</v>
      </c>
      <c r="B5" s="216"/>
      <c r="C5" s="216"/>
      <c r="D5" s="216"/>
      <c r="E5" s="239"/>
      <c r="F5" s="239"/>
      <c r="G5" s="239"/>
      <c r="H5" s="239"/>
    </row>
    <row r="6" spans="1:8">
      <c r="A6" s="215" t="s">
        <v>314</v>
      </c>
      <c r="B6" s="216"/>
      <c r="C6" s="216"/>
      <c r="D6" s="216"/>
      <c r="E6" s="208" t="s">
        <v>272</v>
      </c>
      <c r="F6" s="208"/>
      <c r="G6" s="208"/>
      <c r="H6" s="208"/>
    </row>
    <row r="7" spans="1:8">
      <c r="A7" s="217" t="s">
        <v>341</v>
      </c>
      <c r="B7" s="218"/>
      <c r="C7" s="218"/>
      <c r="D7" s="219"/>
      <c r="E7" s="220" t="s">
        <v>272</v>
      </c>
      <c r="F7" s="220"/>
      <c r="G7" s="220"/>
      <c r="H7" s="220"/>
    </row>
    <row r="8" spans="1:8">
      <c r="A8" s="217" t="s">
        <v>342</v>
      </c>
      <c r="B8" s="218"/>
      <c r="C8" s="218"/>
      <c r="D8" s="219"/>
      <c r="E8" s="220" t="s">
        <v>272</v>
      </c>
      <c r="F8" s="220"/>
      <c r="G8" s="220"/>
      <c r="H8" s="220"/>
    </row>
    <row r="9" spans="1:8">
      <c r="A9" s="217" t="s">
        <v>343</v>
      </c>
      <c r="B9" s="218"/>
      <c r="C9" s="218"/>
      <c r="D9" s="219"/>
      <c r="E9" s="220" t="s">
        <v>272</v>
      </c>
      <c r="F9" s="220"/>
      <c r="G9" s="220"/>
      <c r="H9" s="220"/>
    </row>
    <row r="10" spans="1:8">
      <c r="A10" s="217" t="s">
        <v>344</v>
      </c>
      <c r="B10" s="218"/>
      <c r="C10" s="218"/>
      <c r="D10" s="219"/>
      <c r="E10" s="220" t="s">
        <v>272</v>
      </c>
      <c r="F10" s="220"/>
      <c r="G10" s="220"/>
      <c r="H10" s="220"/>
    </row>
    <row r="11" spans="1:8">
      <c r="A11" s="217" t="s">
        <v>279</v>
      </c>
      <c r="B11" s="218"/>
      <c r="C11" s="218"/>
      <c r="D11" s="219"/>
      <c r="E11" s="220" t="s">
        <v>272</v>
      </c>
      <c r="F11" s="220"/>
      <c r="G11" s="220"/>
      <c r="H11" s="220"/>
    </row>
    <row r="12" spans="1:8">
      <c r="A12" s="217" t="s">
        <v>280</v>
      </c>
      <c r="B12" s="218"/>
      <c r="C12" s="218"/>
      <c r="D12" s="219"/>
      <c r="E12" s="220" t="s">
        <v>272</v>
      </c>
      <c r="F12" s="220"/>
      <c r="G12" s="220"/>
      <c r="H12" s="220"/>
    </row>
    <row r="13" spans="1:8">
      <c r="A13" s="215"/>
      <c r="B13" s="216"/>
      <c r="C13" s="216"/>
      <c r="D13" s="216"/>
      <c r="E13" s="225"/>
      <c r="F13" s="225"/>
      <c r="G13" s="225"/>
      <c r="H13" s="225"/>
    </row>
    <row r="14" spans="1:8">
      <c r="A14" s="212" t="s">
        <v>345</v>
      </c>
      <c r="B14" s="226"/>
      <c r="C14" s="226"/>
      <c r="D14" s="226"/>
      <c r="E14" s="227"/>
      <c r="F14" s="227"/>
      <c r="G14" s="227"/>
      <c r="H14" s="227"/>
    </row>
    <row r="15" spans="1:8">
      <c r="A15" s="217" t="s">
        <v>346</v>
      </c>
      <c r="B15" s="218"/>
      <c r="C15" s="218"/>
      <c r="D15" s="218"/>
      <c r="E15" s="220"/>
      <c r="F15" s="220" t="s">
        <v>272</v>
      </c>
      <c r="G15" s="220"/>
      <c r="H15" s="220"/>
    </row>
    <row r="16" spans="1:8">
      <c r="A16" s="217" t="s">
        <v>315</v>
      </c>
      <c r="B16" s="218"/>
      <c r="C16" s="218"/>
      <c r="D16" s="218"/>
      <c r="E16" s="220"/>
      <c r="F16" s="220" t="s">
        <v>272</v>
      </c>
      <c r="G16" s="220"/>
      <c r="H16" s="220"/>
    </row>
    <row r="17" spans="1:8">
      <c r="A17" s="217" t="s">
        <v>293</v>
      </c>
      <c r="B17" s="218"/>
      <c r="C17" s="218"/>
      <c r="D17" s="219"/>
      <c r="E17" s="220"/>
      <c r="F17" s="220" t="s">
        <v>272</v>
      </c>
      <c r="G17" s="220"/>
      <c r="H17" s="220"/>
    </row>
    <row r="18" spans="1:8">
      <c r="A18" s="217" t="s">
        <v>347</v>
      </c>
      <c r="B18" s="218"/>
      <c r="C18" s="218"/>
      <c r="D18" s="219"/>
      <c r="E18" s="220"/>
      <c r="F18" s="220" t="s">
        <v>272</v>
      </c>
      <c r="G18" s="220"/>
      <c r="H18" s="220"/>
    </row>
    <row r="19" spans="1:8">
      <c r="A19" s="217" t="s">
        <v>348</v>
      </c>
      <c r="B19" s="218"/>
      <c r="C19" s="218"/>
      <c r="D19" s="219"/>
      <c r="E19" s="220"/>
      <c r="F19" s="220" t="s">
        <v>272</v>
      </c>
      <c r="G19" s="220"/>
      <c r="H19" s="220"/>
    </row>
    <row r="20" spans="1:8">
      <c r="A20" s="224" t="s">
        <v>296</v>
      </c>
      <c r="B20" s="224"/>
      <c r="C20" s="224"/>
      <c r="D20" s="224"/>
      <c r="E20" s="220"/>
      <c r="F20" s="220" t="s">
        <v>272</v>
      </c>
      <c r="G20" s="220"/>
      <c r="H20" s="220"/>
    </row>
    <row r="21" spans="1:8">
      <c r="A21" s="224" t="s">
        <v>297</v>
      </c>
      <c r="B21" s="224"/>
      <c r="C21" s="224"/>
      <c r="D21" s="224"/>
      <c r="E21" s="220"/>
      <c r="F21" s="220" t="s">
        <v>272</v>
      </c>
      <c r="G21" s="220"/>
      <c r="H21" s="220"/>
    </row>
    <row r="22" spans="1:8">
      <c r="A22" s="224" t="s">
        <v>298</v>
      </c>
      <c r="B22" s="224"/>
      <c r="C22" s="224"/>
      <c r="D22" s="224"/>
      <c r="E22" s="220"/>
      <c r="F22" s="220" t="s">
        <v>272</v>
      </c>
      <c r="G22" s="220"/>
      <c r="H22" s="220"/>
    </row>
    <row r="23" spans="1:8">
      <c r="A23" s="224" t="s">
        <v>299</v>
      </c>
      <c r="B23" s="224"/>
      <c r="C23" s="224"/>
      <c r="D23" s="224"/>
      <c r="E23" s="220"/>
      <c r="F23" s="220" t="s">
        <v>272</v>
      </c>
      <c r="G23" s="220"/>
      <c r="H23" s="220"/>
    </row>
    <row r="24" spans="1:8">
      <c r="A24" s="224" t="s">
        <v>301</v>
      </c>
      <c r="B24" s="224"/>
      <c r="C24" s="224"/>
      <c r="D24" s="224"/>
      <c r="E24" s="220"/>
      <c r="F24" s="220" t="s">
        <v>272</v>
      </c>
      <c r="G24" s="220"/>
      <c r="H24" s="220"/>
    </row>
    <row r="25" spans="1:8">
      <c r="A25" s="224" t="s">
        <v>286</v>
      </c>
      <c r="B25" s="224"/>
      <c r="C25" s="224"/>
      <c r="D25" s="224"/>
      <c r="E25" s="220"/>
      <c r="F25" s="220" t="s">
        <v>272</v>
      </c>
      <c r="G25" s="220"/>
      <c r="H25" s="220"/>
    </row>
    <row r="26" spans="1:8">
      <c r="A26" s="217" t="s">
        <v>287</v>
      </c>
      <c r="B26" s="218"/>
      <c r="C26" s="218"/>
      <c r="D26" s="219"/>
      <c r="E26" s="220"/>
      <c r="F26" s="220" t="s">
        <v>272</v>
      </c>
      <c r="G26" s="220"/>
      <c r="H26" s="220"/>
    </row>
    <row r="27" spans="1:8">
      <c r="A27" s="217"/>
      <c r="B27" s="218"/>
      <c r="C27" s="218"/>
      <c r="D27" s="218"/>
      <c r="E27" s="220"/>
      <c r="F27" s="220"/>
      <c r="G27" s="220"/>
      <c r="H27" s="220"/>
    </row>
    <row r="28" spans="1:8">
      <c r="A28" s="212" t="s">
        <v>302</v>
      </c>
      <c r="B28" s="226"/>
      <c r="C28" s="226"/>
      <c r="D28" s="226"/>
      <c r="E28" s="227"/>
      <c r="F28" s="227"/>
      <c r="G28" s="227"/>
      <c r="H28" s="227"/>
    </row>
    <row r="29" spans="1:8">
      <c r="A29" s="217" t="s">
        <v>332</v>
      </c>
      <c r="B29" s="218"/>
      <c r="C29" s="218"/>
      <c r="D29" s="219"/>
      <c r="E29" s="236"/>
      <c r="F29" s="236"/>
      <c r="G29" s="236" t="s">
        <v>272</v>
      </c>
      <c r="H29" s="236"/>
    </row>
    <row r="30" spans="1:8">
      <c r="A30" s="217" t="s">
        <v>349</v>
      </c>
      <c r="B30" s="218"/>
      <c r="C30" s="218"/>
      <c r="D30" s="219"/>
      <c r="E30" s="236"/>
      <c r="F30" s="236"/>
      <c r="G30" s="236"/>
      <c r="H30" s="236" t="s">
        <v>272</v>
      </c>
    </row>
    <row r="31" spans="1:8">
      <c r="A31" s="217" t="s">
        <v>291</v>
      </c>
      <c r="B31" s="218"/>
      <c r="C31" s="218"/>
      <c r="D31" s="219"/>
      <c r="E31" s="236"/>
      <c r="F31" s="236"/>
      <c r="G31" s="236" t="s">
        <v>272</v>
      </c>
      <c r="H31" s="236"/>
    </row>
    <row r="32" spans="1:8">
      <c r="A32" s="217" t="s">
        <v>305</v>
      </c>
      <c r="B32" s="218"/>
      <c r="C32" s="218"/>
      <c r="D32" s="219"/>
      <c r="E32" s="236"/>
      <c r="F32" s="236"/>
      <c r="G32" s="236"/>
      <c r="H32" s="236" t="s">
        <v>272</v>
      </c>
    </row>
    <row r="33" spans="1:8">
      <c r="A33" s="217" t="s">
        <v>306</v>
      </c>
      <c r="B33" s="218"/>
      <c r="C33" s="218"/>
      <c r="D33" s="219"/>
      <c r="E33" s="236"/>
      <c r="F33" s="236"/>
      <c r="G33" s="236"/>
      <c r="H33" s="236" t="s">
        <v>272</v>
      </c>
    </row>
    <row r="34" spans="1:8">
      <c r="A34" s="217" t="s">
        <v>307</v>
      </c>
      <c r="B34" s="218"/>
      <c r="C34" s="218"/>
      <c r="D34" s="219"/>
      <c r="E34" s="236"/>
      <c r="F34" s="236"/>
      <c r="G34" s="236" t="s">
        <v>272</v>
      </c>
      <c r="H34" s="236"/>
    </row>
    <row r="35" spans="1:8">
      <c r="A35" s="217" t="s">
        <v>308</v>
      </c>
      <c r="B35" s="218"/>
      <c r="C35" s="218"/>
      <c r="D35" s="219"/>
      <c r="E35" s="236"/>
      <c r="F35" s="236"/>
      <c r="G35" s="236"/>
      <c r="H35" s="236" t="s">
        <v>272</v>
      </c>
    </row>
    <row r="36" spans="1:8">
      <c r="A36" s="217" t="s">
        <v>350</v>
      </c>
      <c r="B36" s="218"/>
      <c r="C36" s="218"/>
      <c r="D36" s="219"/>
      <c r="E36" s="236"/>
      <c r="F36" s="236"/>
      <c r="G36" s="236" t="s">
        <v>272</v>
      </c>
      <c r="H36" s="236"/>
    </row>
    <row r="37" spans="1:8">
      <c r="A37" s="217" t="s">
        <v>309</v>
      </c>
      <c r="B37" s="218"/>
      <c r="C37" s="218"/>
      <c r="D37" s="219"/>
      <c r="E37" s="236"/>
      <c r="F37" s="236"/>
      <c r="G37" s="236"/>
      <c r="H37" s="236" t="s">
        <v>272</v>
      </c>
    </row>
    <row r="38" spans="1:8">
      <c r="A38" s="217"/>
      <c r="B38" s="218"/>
      <c r="C38" s="218"/>
      <c r="D38" s="219"/>
      <c r="E38" s="236"/>
      <c r="F38" s="236"/>
      <c r="G38" s="236"/>
      <c r="H38" s="236"/>
    </row>
    <row r="39" spans="1:8">
      <c r="A39" s="237" t="s">
        <v>310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6D3B4-BBBF-4A52-AD65-27179D8F0BAC}">
  <sheetPr>
    <tabColor theme="0" tint="-0.14999847407452621"/>
  </sheetPr>
  <dimension ref="A1:H33"/>
  <sheetViews>
    <sheetView workbookViewId="0">
      <selection activeCell="J19" sqref="J19"/>
    </sheetView>
  </sheetViews>
  <sheetFormatPr defaultRowHeight="15"/>
  <cols>
    <col min="1" max="3" width="9.140625" style="205"/>
    <col min="4" max="4" width="22.5703125" style="205" customWidth="1"/>
    <col min="5" max="8" width="7.28515625" style="205" customWidth="1"/>
    <col min="9" max="259" width="9.140625" style="205"/>
    <col min="260" max="260" width="22.5703125" style="205" customWidth="1"/>
    <col min="261" max="264" width="7.28515625" style="205" customWidth="1"/>
    <col min="265" max="515" width="9.140625" style="205"/>
    <col min="516" max="516" width="22.5703125" style="205" customWidth="1"/>
    <col min="517" max="520" width="7.28515625" style="205" customWidth="1"/>
    <col min="521" max="771" width="9.140625" style="205"/>
    <col min="772" max="772" width="22.5703125" style="205" customWidth="1"/>
    <col min="773" max="776" width="7.28515625" style="205" customWidth="1"/>
    <col min="777" max="1027" width="9.140625" style="205"/>
    <col min="1028" max="1028" width="22.5703125" style="205" customWidth="1"/>
    <col min="1029" max="1032" width="7.28515625" style="205" customWidth="1"/>
    <col min="1033" max="1283" width="9.140625" style="205"/>
    <col min="1284" max="1284" width="22.5703125" style="205" customWidth="1"/>
    <col min="1285" max="1288" width="7.28515625" style="205" customWidth="1"/>
    <col min="1289" max="1539" width="9.140625" style="205"/>
    <col min="1540" max="1540" width="22.5703125" style="205" customWidth="1"/>
    <col min="1541" max="1544" width="7.28515625" style="205" customWidth="1"/>
    <col min="1545" max="1795" width="9.140625" style="205"/>
    <col min="1796" max="1796" width="22.5703125" style="205" customWidth="1"/>
    <col min="1797" max="1800" width="7.28515625" style="205" customWidth="1"/>
    <col min="1801" max="2051" width="9.140625" style="205"/>
    <col min="2052" max="2052" width="22.5703125" style="205" customWidth="1"/>
    <col min="2053" max="2056" width="7.28515625" style="205" customWidth="1"/>
    <col min="2057" max="2307" width="9.140625" style="205"/>
    <col min="2308" max="2308" width="22.5703125" style="205" customWidth="1"/>
    <col min="2309" max="2312" width="7.28515625" style="205" customWidth="1"/>
    <col min="2313" max="2563" width="9.140625" style="205"/>
    <col min="2564" max="2564" width="22.5703125" style="205" customWidth="1"/>
    <col min="2565" max="2568" width="7.28515625" style="205" customWidth="1"/>
    <col min="2569" max="2819" width="9.140625" style="205"/>
    <col min="2820" max="2820" width="22.5703125" style="205" customWidth="1"/>
    <col min="2821" max="2824" width="7.28515625" style="205" customWidth="1"/>
    <col min="2825" max="3075" width="9.140625" style="205"/>
    <col min="3076" max="3076" width="22.5703125" style="205" customWidth="1"/>
    <col min="3077" max="3080" width="7.28515625" style="205" customWidth="1"/>
    <col min="3081" max="3331" width="9.140625" style="205"/>
    <col min="3332" max="3332" width="22.5703125" style="205" customWidth="1"/>
    <col min="3333" max="3336" width="7.28515625" style="205" customWidth="1"/>
    <col min="3337" max="3587" width="9.140625" style="205"/>
    <col min="3588" max="3588" width="22.5703125" style="205" customWidth="1"/>
    <col min="3589" max="3592" width="7.28515625" style="205" customWidth="1"/>
    <col min="3593" max="3843" width="9.140625" style="205"/>
    <col min="3844" max="3844" width="22.5703125" style="205" customWidth="1"/>
    <col min="3845" max="3848" width="7.28515625" style="205" customWidth="1"/>
    <col min="3849" max="4099" width="9.140625" style="205"/>
    <col min="4100" max="4100" width="22.5703125" style="205" customWidth="1"/>
    <col min="4101" max="4104" width="7.28515625" style="205" customWidth="1"/>
    <col min="4105" max="4355" width="9.140625" style="205"/>
    <col min="4356" max="4356" width="22.5703125" style="205" customWidth="1"/>
    <col min="4357" max="4360" width="7.28515625" style="205" customWidth="1"/>
    <col min="4361" max="4611" width="9.140625" style="205"/>
    <col min="4612" max="4612" width="22.5703125" style="205" customWidth="1"/>
    <col min="4613" max="4616" width="7.28515625" style="205" customWidth="1"/>
    <col min="4617" max="4867" width="9.140625" style="205"/>
    <col min="4868" max="4868" width="22.5703125" style="205" customWidth="1"/>
    <col min="4869" max="4872" width="7.28515625" style="205" customWidth="1"/>
    <col min="4873" max="5123" width="9.140625" style="205"/>
    <col min="5124" max="5124" width="22.5703125" style="205" customWidth="1"/>
    <col min="5125" max="5128" width="7.28515625" style="205" customWidth="1"/>
    <col min="5129" max="5379" width="9.140625" style="205"/>
    <col min="5380" max="5380" width="22.5703125" style="205" customWidth="1"/>
    <col min="5381" max="5384" width="7.28515625" style="205" customWidth="1"/>
    <col min="5385" max="5635" width="9.140625" style="205"/>
    <col min="5636" max="5636" width="22.5703125" style="205" customWidth="1"/>
    <col min="5637" max="5640" width="7.28515625" style="205" customWidth="1"/>
    <col min="5641" max="5891" width="9.140625" style="205"/>
    <col min="5892" max="5892" width="22.5703125" style="205" customWidth="1"/>
    <col min="5893" max="5896" width="7.28515625" style="205" customWidth="1"/>
    <col min="5897" max="6147" width="9.140625" style="205"/>
    <col min="6148" max="6148" width="22.5703125" style="205" customWidth="1"/>
    <col min="6149" max="6152" width="7.28515625" style="205" customWidth="1"/>
    <col min="6153" max="6403" width="9.140625" style="205"/>
    <col min="6404" max="6404" width="22.5703125" style="205" customWidth="1"/>
    <col min="6405" max="6408" width="7.28515625" style="205" customWidth="1"/>
    <col min="6409" max="6659" width="9.140625" style="205"/>
    <col min="6660" max="6660" width="22.5703125" style="205" customWidth="1"/>
    <col min="6661" max="6664" width="7.28515625" style="205" customWidth="1"/>
    <col min="6665" max="6915" width="9.140625" style="205"/>
    <col min="6916" max="6916" width="22.5703125" style="205" customWidth="1"/>
    <col min="6917" max="6920" width="7.28515625" style="205" customWidth="1"/>
    <col min="6921" max="7171" width="9.140625" style="205"/>
    <col min="7172" max="7172" width="22.5703125" style="205" customWidth="1"/>
    <col min="7173" max="7176" width="7.28515625" style="205" customWidth="1"/>
    <col min="7177" max="7427" width="9.140625" style="205"/>
    <col min="7428" max="7428" width="22.5703125" style="205" customWidth="1"/>
    <col min="7429" max="7432" width="7.28515625" style="205" customWidth="1"/>
    <col min="7433" max="7683" width="9.140625" style="205"/>
    <col min="7684" max="7684" width="22.5703125" style="205" customWidth="1"/>
    <col min="7685" max="7688" width="7.28515625" style="205" customWidth="1"/>
    <col min="7689" max="7939" width="9.140625" style="205"/>
    <col min="7940" max="7940" width="22.5703125" style="205" customWidth="1"/>
    <col min="7941" max="7944" width="7.28515625" style="205" customWidth="1"/>
    <col min="7945" max="8195" width="9.140625" style="205"/>
    <col min="8196" max="8196" width="22.5703125" style="205" customWidth="1"/>
    <col min="8197" max="8200" width="7.28515625" style="205" customWidth="1"/>
    <col min="8201" max="8451" width="9.140625" style="205"/>
    <col min="8452" max="8452" width="22.5703125" style="205" customWidth="1"/>
    <col min="8453" max="8456" width="7.28515625" style="205" customWidth="1"/>
    <col min="8457" max="8707" width="9.140625" style="205"/>
    <col min="8708" max="8708" width="22.5703125" style="205" customWidth="1"/>
    <col min="8709" max="8712" width="7.28515625" style="205" customWidth="1"/>
    <col min="8713" max="8963" width="9.140625" style="205"/>
    <col min="8964" max="8964" width="22.5703125" style="205" customWidth="1"/>
    <col min="8965" max="8968" width="7.28515625" style="205" customWidth="1"/>
    <col min="8969" max="9219" width="9.140625" style="205"/>
    <col min="9220" max="9220" width="22.5703125" style="205" customWidth="1"/>
    <col min="9221" max="9224" width="7.28515625" style="205" customWidth="1"/>
    <col min="9225" max="9475" width="9.140625" style="205"/>
    <col min="9476" max="9476" width="22.5703125" style="205" customWidth="1"/>
    <col min="9477" max="9480" width="7.28515625" style="205" customWidth="1"/>
    <col min="9481" max="9731" width="9.140625" style="205"/>
    <col min="9732" max="9732" width="22.5703125" style="205" customWidth="1"/>
    <col min="9733" max="9736" width="7.28515625" style="205" customWidth="1"/>
    <col min="9737" max="9987" width="9.140625" style="205"/>
    <col min="9988" max="9988" width="22.5703125" style="205" customWidth="1"/>
    <col min="9989" max="9992" width="7.28515625" style="205" customWidth="1"/>
    <col min="9993" max="10243" width="9.140625" style="205"/>
    <col min="10244" max="10244" width="22.5703125" style="205" customWidth="1"/>
    <col min="10245" max="10248" width="7.28515625" style="205" customWidth="1"/>
    <col min="10249" max="10499" width="9.140625" style="205"/>
    <col min="10500" max="10500" width="22.5703125" style="205" customWidth="1"/>
    <col min="10501" max="10504" width="7.28515625" style="205" customWidth="1"/>
    <col min="10505" max="10755" width="9.140625" style="205"/>
    <col min="10756" max="10756" width="22.5703125" style="205" customWidth="1"/>
    <col min="10757" max="10760" width="7.28515625" style="205" customWidth="1"/>
    <col min="10761" max="11011" width="9.140625" style="205"/>
    <col min="11012" max="11012" width="22.5703125" style="205" customWidth="1"/>
    <col min="11013" max="11016" width="7.28515625" style="205" customWidth="1"/>
    <col min="11017" max="11267" width="9.140625" style="205"/>
    <col min="11268" max="11268" width="22.5703125" style="205" customWidth="1"/>
    <col min="11269" max="11272" width="7.28515625" style="205" customWidth="1"/>
    <col min="11273" max="11523" width="9.140625" style="205"/>
    <col min="11524" max="11524" width="22.5703125" style="205" customWidth="1"/>
    <col min="11525" max="11528" width="7.28515625" style="205" customWidth="1"/>
    <col min="11529" max="11779" width="9.140625" style="205"/>
    <col min="11780" max="11780" width="22.5703125" style="205" customWidth="1"/>
    <col min="11781" max="11784" width="7.28515625" style="205" customWidth="1"/>
    <col min="11785" max="12035" width="9.140625" style="205"/>
    <col min="12036" max="12036" width="22.5703125" style="205" customWidth="1"/>
    <col min="12037" max="12040" width="7.28515625" style="205" customWidth="1"/>
    <col min="12041" max="12291" width="9.140625" style="205"/>
    <col min="12292" max="12292" width="22.5703125" style="205" customWidth="1"/>
    <col min="12293" max="12296" width="7.28515625" style="205" customWidth="1"/>
    <col min="12297" max="12547" width="9.140625" style="205"/>
    <col min="12548" max="12548" width="22.5703125" style="205" customWidth="1"/>
    <col min="12549" max="12552" width="7.28515625" style="205" customWidth="1"/>
    <col min="12553" max="12803" width="9.140625" style="205"/>
    <col min="12804" max="12804" width="22.5703125" style="205" customWidth="1"/>
    <col min="12805" max="12808" width="7.28515625" style="205" customWidth="1"/>
    <col min="12809" max="13059" width="9.140625" style="205"/>
    <col min="13060" max="13060" width="22.5703125" style="205" customWidth="1"/>
    <col min="13061" max="13064" width="7.28515625" style="205" customWidth="1"/>
    <col min="13065" max="13315" width="9.140625" style="205"/>
    <col min="13316" max="13316" width="22.5703125" style="205" customWidth="1"/>
    <col min="13317" max="13320" width="7.28515625" style="205" customWidth="1"/>
    <col min="13321" max="13571" width="9.140625" style="205"/>
    <col min="13572" max="13572" width="22.5703125" style="205" customWidth="1"/>
    <col min="13573" max="13576" width="7.28515625" style="205" customWidth="1"/>
    <col min="13577" max="13827" width="9.140625" style="205"/>
    <col min="13828" max="13828" width="22.5703125" style="205" customWidth="1"/>
    <col min="13829" max="13832" width="7.28515625" style="205" customWidth="1"/>
    <col min="13833" max="14083" width="9.140625" style="205"/>
    <col min="14084" max="14084" width="22.5703125" style="205" customWidth="1"/>
    <col min="14085" max="14088" width="7.28515625" style="205" customWidth="1"/>
    <col min="14089" max="14339" width="9.140625" style="205"/>
    <col min="14340" max="14340" width="22.5703125" style="205" customWidth="1"/>
    <col min="14341" max="14344" width="7.28515625" style="205" customWidth="1"/>
    <col min="14345" max="14595" width="9.140625" style="205"/>
    <col min="14596" max="14596" width="22.5703125" style="205" customWidth="1"/>
    <col min="14597" max="14600" width="7.28515625" style="205" customWidth="1"/>
    <col min="14601" max="14851" width="9.140625" style="205"/>
    <col min="14852" max="14852" width="22.5703125" style="205" customWidth="1"/>
    <col min="14853" max="14856" width="7.28515625" style="205" customWidth="1"/>
    <col min="14857" max="15107" width="9.140625" style="205"/>
    <col min="15108" max="15108" width="22.5703125" style="205" customWidth="1"/>
    <col min="15109" max="15112" width="7.28515625" style="205" customWidth="1"/>
    <col min="15113" max="15363" width="9.140625" style="205"/>
    <col min="15364" max="15364" width="22.5703125" style="205" customWidth="1"/>
    <col min="15365" max="15368" width="7.28515625" style="205" customWidth="1"/>
    <col min="15369" max="15619" width="9.140625" style="205"/>
    <col min="15620" max="15620" width="22.5703125" style="205" customWidth="1"/>
    <col min="15621" max="15624" width="7.28515625" style="205" customWidth="1"/>
    <col min="15625" max="15875" width="9.140625" style="205"/>
    <col min="15876" max="15876" width="22.5703125" style="205" customWidth="1"/>
    <col min="15877" max="15880" width="7.28515625" style="205" customWidth="1"/>
    <col min="15881" max="16131" width="9.140625" style="205"/>
    <col min="16132" max="16132" width="22.5703125" style="205" customWidth="1"/>
    <col min="16133" max="16136" width="7.28515625" style="205" customWidth="1"/>
    <col min="16137" max="16384" width="9.140625" style="205"/>
  </cols>
  <sheetData>
    <row r="1" spans="1:8" ht="20.25">
      <c r="A1" s="202" t="s">
        <v>266</v>
      </c>
      <c r="B1" s="203"/>
      <c r="C1" s="203"/>
      <c r="D1" s="203"/>
      <c r="E1" s="204" t="s">
        <v>267</v>
      </c>
      <c r="F1" s="204" t="s">
        <v>267</v>
      </c>
      <c r="G1" s="204" t="s">
        <v>267</v>
      </c>
      <c r="H1" s="204" t="s">
        <v>267</v>
      </c>
    </row>
    <row r="2" spans="1:8">
      <c r="A2" s="206" t="s">
        <v>351</v>
      </c>
      <c r="B2" s="207"/>
      <c r="C2" s="207"/>
      <c r="D2" s="207"/>
      <c r="E2" s="208">
        <v>730</v>
      </c>
      <c r="F2" s="208">
        <v>104</v>
      </c>
      <c r="G2" s="208">
        <v>52</v>
      </c>
      <c r="H2" s="208">
        <v>12</v>
      </c>
    </row>
    <row r="3" spans="1:8">
      <c r="A3" s="209" t="s">
        <v>352</v>
      </c>
      <c r="B3" s="210"/>
      <c r="C3" s="210"/>
      <c r="D3" s="210"/>
      <c r="E3" s="211"/>
      <c r="F3" s="211"/>
      <c r="G3" s="211"/>
      <c r="H3" s="211"/>
    </row>
    <row r="4" spans="1:8">
      <c r="A4" s="212" t="s">
        <v>270</v>
      </c>
      <c r="B4" s="213"/>
      <c r="C4" s="213"/>
      <c r="D4" s="213"/>
      <c r="E4" s="214"/>
      <c r="F4" s="214"/>
      <c r="G4" s="214"/>
      <c r="H4" s="214"/>
    </row>
    <row r="5" spans="1:8">
      <c r="A5" s="215" t="s">
        <v>313</v>
      </c>
      <c r="B5" s="216"/>
      <c r="C5" s="216"/>
      <c r="D5" s="216"/>
      <c r="E5" s="239"/>
      <c r="F5" s="239"/>
      <c r="G5" s="239"/>
      <c r="H5" s="239"/>
    </row>
    <row r="6" spans="1:8">
      <c r="A6" s="215" t="s">
        <v>314</v>
      </c>
      <c r="B6" s="216"/>
      <c r="C6" s="216"/>
      <c r="D6" s="216"/>
      <c r="E6" s="208" t="s">
        <v>272</v>
      </c>
      <c r="F6" s="208"/>
      <c r="G6" s="208"/>
      <c r="H6" s="208"/>
    </row>
    <row r="7" spans="1:8">
      <c r="A7" s="217" t="s">
        <v>353</v>
      </c>
      <c r="B7" s="218"/>
      <c r="C7" s="218"/>
      <c r="D7" s="219"/>
      <c r="E7" s="220" t="s">
        <v>272</v>
      </c>
      <c r="F7" s="220"/>
      <c r="G7" s="220"/>
      <c r="H7" s="220"/>
    </row>
    <row r="8" spans="1:8">
      <c r="A8" s="217" t="s">
        <v>354</v>
      </c>
      <c r="B8" s="218"/>
      <c r="C8" s="218"/>
      <c r="D8" s="219"/>
      <c r="E8" s="220" t="s">
        <v>272</v>
      </c>
      <c r="F8" s="220"/>
      <c r="G8" s="220"/>
      <c r="H8" s="220"/>
    </row>
    <row r="9" spans="1:8">
      <c r="A9" s="217" t="s">
        <v>355</v>
      </c>
      <c r="B9" s="218"/>
      <c r="C9" s="218"/>
      <c r="D9" s="219"/>
      <c r="E9" s="220" t="s">
        <v>272</v>
      </c>
      <c r="F9" s="220"/>
      <c r="G9" s="220"/>
      <c r="H9" s="220"/>
    </row>
    <row r="10" spans="1:8">
      <c r="A10" s="217" t="s">
        <v>356</v>
      </c>
      <c r="B10" s="218"/>
      <c r="C10" s="218"/>
      <c r="D10" s="219"/>
      <c r="E10" s="220" t="s">
        <v>272</v>
      </c>
      <c r="F10" s="220"/>
      <c r="G10" s="220"/>
      <c r="H10" s="220"/>
    </row>
    <row r="11" spans="1:8">
      <c r="A11" s="215"/>
      <c r="B11" s="216"/>
      <c r="C11" s="216"/>
      <c r="D11" s="216"/>
      <c r="E11" s="225"/>
      <c r="F11" s="225"/>
      <c r="G11" s="225"/>
      <c r="H11" s="225"/>
    </row>
    <row r="12" spans="1:8">
      <c r="A12" s="212" t="s">
        <v>282</v>
      </c>
      <c r="B12" s="226"/>
      <c r="C12" s="226"/>
      <c r="D12" s="226"/>
      <c r="E12" s="227"/>
      <c r="F12" s="227"/>
      <c r="G12" s="227"/>
      <c r="H12" s="227"/>
    </row>
    <row r="13" spans="1:8">
      <c r="A13" s="224" t="s">
        <v>357</v>
      </c>
      <c r="B13" s="224"/>
      <c r="C13" s="224"/>
      <c r="D13" s="224"/>
      <c r="E13" s="220"/>
      <c r="F13" s="220" t="s">
        <v>272</v>
      </c>
      <c r="G13" s="220"/>
      <c r="H13" s="220"/>
    </row>
    <row r="14" spans="1:8">
      <c r="A14" s="224" t="s">
        <v>315</v>
      </c>
      <c r="B14" s="218"/>
      <c r="C14" s="218"/>
      <c r="D14" s="219"/>
      <c r="E14" s="220"/>
      <c r="F14" s="220" t="s">
        <v>272</v>
      </c>
      <c r="G14" s="220"/>
      <c r="H14" s="220"/>
    </row>
    <row r="15" spans="1:8">
      <c r="A15" s="224" t="s">
        <v>292</v>
      </c>
      <c r="B15" s="224"/>
      <c r="C15" s="217"/>
      <c r="D15" s="219"/>
      <c r="E15" s="220"/>
      <c r="F15" s="220" t="s">
        <v>272</v>
      </c>
      <c r="G15" s="220"/>
      <c r="H15" s="220"/>
    </row>
    <row r="16" spans="1:8">
      <c r="A16" s="224" t="s">
        <v>348</v>
      </c>
      <c r="B16" s="218"/>
      <c r="C16" s="218"/>
      <c r="D16" s="219"/>
      <c r="E16" s="220"/>
      <c r="F16" s="220" t="s">
        <v>272</v>
      </c>
      <c r="G16" s="220"/>
      <c r="H16" s="220"/>
    </row>
    <row r="17" spans="1:8">
      <c r="A17" s="224" t="s">
        <v>296</v>
      </c>
      <c r="B17" s="224"/>
      <c r="C17" s="224"/>
      <c r="D17" s="224"/>
      <c r="E17" s="220"/>
      <c r="F17" s="220" t="s">
        <v>272</v>
      </c>
      <c r="G17" s="220"/>
      <c r="H17" s="220"/>
    </row>
    <row r="18" spans="1:8">
      <c r="A18" s="224" t="s">
        <v>297</v>
      </c>
      <c r="B18" s="224"/>
      <c r="C18" s="224"/>
      <c r="D18" s="224"/>
      <c r="E18" s="220"/>
      <c r="F18" s="220" t="s">
        <v>272</v>
      </c>
      <c r="G18" s="220"/>
      <c r="H18" s="220"/>
    </row>
    <row r="19" spans="1:8">
      <c r="A19" s="224" t="s">
        <v>298</v>
      </c>
      <c r="B19" s="224"/>
      <c r="C19" s="224"/>
      <c r="D19" s="224"/>
      <c r="E19" s="220"/>
      <c r="F19" s="220" t="s">
        <v>272</v>
      </c>
      <c r="G19" s="220"/>
      <c r="H19" s="220"/>
    </row>
    <row r="20" spans="1:8">
      <c r="A20" s="224" t="s">
        <v>299</v>
      </c>
      <c r="B20" s="224"/>
      <c r="C20" s="224"/>
      <c r="D20" s="224"/>
      <c r="E20" s="220"/>
      <c r="F20" s="220" t="s">
        <v>272</v>
      </c>
      <c r="G20" s="220"/>
      <c r="H20" s="220"/>
    </row>
    <row r="21" spans="1:8">
      <c r="A21" s="224" t="s">
        <v>301</v>
      </c>
      <c r="B21" s="224"/>
      <c r="C21" s="224"/>
      <c r="D21" s="224"/>
      <c r="E21" s="220"/>
      <c r="F21" s="220" t="s">
        <v>272</v>
      </c>
      <c r="G21" s="220"/>
      <c r="H21" s="220"/>
    </row>
    <row r="22" spans="1:8">
      <c r="A22" s="224" t="s">
        <v>288</v>
      </c>
      <c r="B22" s="218"/>
      <c r="C22" s="218"/>
      <c r="D22" s="219"/>
      <c r="E22" s="220"/>
      <c r="F22" s="220" t="s">
        <v>272</v>
      </c>
      <c r="G22" s="220"/>
      <c r="H22" s="220"/>
    </row>
    <row r="23" spans="1:8">
      <c r="A23" s="217"/>
      <c r="B23" s="218"/>
      <c r="C23" s="218"/>
      <c r="D23" s="218"/>
      <c r="E23" s="220"/>
      <c r="F23" s="220"/>
      <c r="G23" s="220"/>
      <c r="H23" s="220"/>
    </row>
    <row r="24" spans="1:8">
      <c r="A24" s="212" t="s">
        <v>302</v>
      </c>
      <c r="B24" s="226"/>
      <c r="C24" s="226"/>
      <c r="D24" s="226"/>
      <c r="E24" s="227"/>
      <c r="F24" s="227"/>
      <c r="G24" s="227"/>
      <c r="H24" s="227"/>
    </row>
    <row r="25" spans="1:8">
      <c r="A25" s="217" t="s">
        <v>332</v>
      </c>
      <c r="B25" s="218"/>
      <c r="C25" s="218"/>
      <c r="D25" s="219"/>
      <c r="E25" s="236"/>
      <c r="F25" s="236"/>
      <c r="G25" s="236" t="s">
        <v>272</v>
      </c>
      <c r="H25" s="236"/>
    </row>
    <row r="26" spans="1:8">
      <c r="A26" s="217" t="s">
        <v>358</v>
      </c>
      <c r="B26" s="218"/>
      <c r="C26" s="218"/>
      <c r="D26" s="219"/>
      <c r="E26" s="236"/>
      <c r="F26" s="236"/>
      <c r="G26" s="236" t="s">
        <v>272</v>
      </c>
      <c r="H26" s="236"/>
    </row>
    <row r="27" spans="1:8">
      <c r="A27" s="217" t="s">
        <v>291</v>
      </c>
      <c r="B27" s="218"/>
      <c r="C27" s="218"/>
      <c r="D27" s="219"/>
      <c r="E27" s="236"/>
      <c r="F27" s="236"/>
      <c r="G27" s="236" t="s">
        <v>272</v>
      </c>
      <c r="H27" s="236"/>
    </row>
    <row r="28" spans="1:8">
      <c r="A28" s="217" t="s">
        <v>305</v>
      </c>
      <c r="C28" s="218"/>
      <c r="D28" s="219"/>
      <c r="E28" s="236"/>
      <c r="F28" s="236"/>
      <c r="G28" s="236"/>
      <c r="H28" s="236" t="s">
        <v>272</v>
      </c>
    </row>
    <row r="29" spans="1:8">
      <c r="A29" s="217" t="s">
        <v>306</v>
      </c>
      <c r="B29" s="218"/>
      <c r="C29" s="218"/>
      <c r="D29" s="219"/>
      <c r="E29" s="236"/>
      <c r="F29" s="236"/>
      <c r="G29" s="236" t="s">
        <v>272</v>
      </c>
      <c r="H29" s="236"/>
    </row>
    <row r="30" spans="1:8">
      <c r="A30" s="217" t="s">
        <v>307</v>
      </c>
      <c r="B30" s="218"/>
      <c r="C30" s="218"/>
      <c r="D30" s="219"/>
      <c r="E30" s="236"/>
      <c r="F30" s="236"/>
      <c r="G30" s="236" t="s">
        <v>272</v>
      </c>
      <c r="H30" s="236"/>
    </row>
    <row r="31" spans="1:8">
      <c r="A31" s="217" t="s">
        <v>309</v>
      </c>
      <c r="B31" s="240"/>
      <c r="C31" s="240"/>
      <c r="D31" s="241"/>
      <c r="E31" s="236"/>
      <c r="F31" s="236"/>
      <c r="G31" s="236" t="s">
        <v>272</v>
      </c>
      <c r="H31" s="236"/>
    </row>
    <row r="32" spans="1:8">
      <c r="A32" s="217"/>
      <c r="B32" s="218"/>
      <c r="C32" s="218"/>
      <c r="D32" s="219"/>
      <c r="E32" s="236"/>
      <c r="F32" s="236"/>
      <c r="G32" s="236"/>
      <c r="H32" s="236"/>
    </row>
    <row r="33" spans="1:1">
      <c r="A33" s="237" t="s">
        <v>310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B07FE-4FCA-4ECE-9E84-803EB6992146}">
  <sheetPr>
    <tabColor theme="0" tint="-0.14999847407452621"/>
  </sheetPr>
  <dimension ref="A1:H38"/>
  <sheetViews>
    <sheetView workbookViewId="0">
      <selection activeCell="X25" sqref="X25"/>
    </sheetView>
  </sheetViews>
  <sheetFormatPr defaultRowHeight="15"/>
  <cols>
    <col min="1" max="3" width="9.140625" style="205"/>
    <col min="4" max="4" width="25.85546875" style="205" customWidth="1"/>
    <col min="5" max="8" width="7.28515625" style="205" customWidth="1"/>
    <col min="9" max="259" width="9.140625" style="205"/>
    <col min="260" max="260" width="25.85546875" style="205" customWidth="1"/>
    <col min="261" max="264" width="7.28515625" style="205" customWidth="1"/>
    <col min="265" max="515" width="9.140625" style="205"/>
    <col min="516" max="516" width="25.85546875" style="205" customWidth="1"/>
    <col min="517" max="520" width="7.28515625" style="205" customWidth="1"/>
    <col min="521" max="771" width="9.140625" style="205"/>
    <col min="772" max="772" width="25.85546875" style="205" customWidth="1"/>
    <col min="773" max="776" width="7.28515625" style="205" customWidth="1"/>
    <col min="777" max="1027" width="9.140625" style="205"/>
    <col min="1028" max="1028" width="25.85546875" style="205" customWidth="1"/>
    <col min="1029" max="1032" width="7.28515625" style="205" customWidth="1"/>
    <col min="1033" max="1283" width="9.140625" style="205"/>
    <col min="1284" max="1284" width="25.85546875" style="205" customWidth="1"/>
    <col min="1285" max="1288" width="7.28515625" style="205" customWidth="1"/>
    <col min="1289" max="1539" width="9.140625" style="205"/>
    <col min="1540" max="1540" width="25.85546875" style="205" customWidth="1"/>
    <col min="1541" max="1544" width="7.28515625" style="205" customWidth="1"/>
    <col min="1545" max="1795" width="9.140625" style="205"/>
    <col min="1796" max="1796" width="25.85546875" style="205" customWidth="1"/>
    <col min="1797" max="1800" width="7.28515625" style="205" customWidth="1"/>
    <col min="1801" max="2051" width="9.140625" style="205"/>
    <col min="2052" max="2052" width="25.85546875" style="205" customWidth="1"/>
    <col min="2053" max="2056" width="7.28515625" style="205" customWidth="1"/>
    <col min="2057" max="2307" width="9.140625" style="205"/>
    <col min="2308" max="2308" width="25.85546875" style="205" customWidth="1"/>
    <col min="2309" max="2312" width="7.28515625" style="205" customWidth="1"/>
    <col min="2313" max="2563" width="9.140625" style="205"/>
    <col min="2564" max="2564" width="25.85546875" style="205" customWidth="1"/>
    <col min="2565" max="2568" width="7.28515625" style="205" customWidth="1"/>
    <col min="2569" max="2819" width="9.140625" style="205"/>
    <col min="2820" max="2820" width="25.85546875" style="205" customWidth="1"/>
    <col min="2821" max="2824" width="7.28515625" style="205" customWidth="1"/>
    <col min="2825" max="3075" width="9.140625" style="205"/>
    <col min="3076" max="3076" width="25.85546875" style="205" customWidth="1"/>
    <col min="3077" max="3080" width="7.28515625" style="205" customWidth="1"/>
    <col min="3081" max="3331" width="9.140625" style="205"/>
    <col min="3332" max="3332" width="25.85546875" style="205" customWidth="1"/>
    <col min="3333" max="3336" width="7.28515625" style="205" customWidth="1"/>
    <col min="3337" max="3587" width="9.140625" style="205"/>
    <col min="3588" max="3588" width="25.85546875" style="205" customWidth="1"/>
    <col min="3589" max="3592" width="7.28515625" style="205" customWidth="1"/>
    <col min="3593" max="3843" width="9.140625" style="205"/>
    <col min="3844" max="3844" width="25.85546875" style="205" customWidth="1"/>
    <col min="3845" max="3848" width="7.28515625" style="205" customWidth="1"/>
    <col min="3849" max="4099" width="9.140625" style="205"/>
    <col min="4100" max="4100" width="25.85546875" style="205" customWidth="1"/>
    <col min="4101" max="4104" width="7.28515625" style="205" customWidth="1"/>
    <col min="4105" max="4355" width="9.140625" style="205"/>
    <col min="4356" max="4356" width="25.85546875" style="205" customWidth="1"/>
    <col min="4357" max="4360" width="7.28515625" style="205" customWidth="1"/>
    <col min="4361" max="4611" width="9.140625" style="205"/>
    <col min="4612" max="4612" width="25.85546875" style="205" customWidth="1"/>
    <col min="4613" max="4616" width="7.28515625" style="205" customWidth="1"/>
    <col min="4617" max="4867" width="9.140625" style="205"/>
    <col min="4868" max="4868" width="25.85546875" style="205" customWidth="1"/>
    <col min="4869" max="4872" width="7.28515625" style="205" customWidth="1"/>
    <col min="4873" max="5123" width="9.140625" style="205"/>
    <col min="5124" max="5124" width="25.85546875" style="205" customWidth="1"/>
    <col min="5125" max="5128" width="7.28515625" style="205" customWidth="1"/>
    <col min="5129" max="5379" width="9.140625" style="205"/>
    <col min="5380" max="5380" width="25.85546875" style="205" customWidth="1"/>
    <col min="5381" max="5384" width="7.28515625" style="205" customWidth="1"/>
    <col min="5385" max="5635" width="9.140625" style="205"/>
    <col min="5636" max="5636" width="25.85546875" style="205" customWidth="1"/>
    <col min="5637" max="5640" width="7.28515625" style="205" customWidth="1"/>
    <col min="5641" max="5891" width="9.140625" style="205"/>
    <col min="5892" max="5892" width="25.85546875" style="205" customWidth="1"/>
    <col min="5893" max="5896" width="7.28515625" style="205" customWidth="1"/>
    <col min="5897" max="6147" width="9.140625" style="205"/>
    <col min="6148" max="6148" width="25.85546875" style="205" customWidth="1"/>
    <col min="6149" max="6152" width="7.28515625" style="205" customWidth="1"/>
    <col min="6153" max="6403" width="9.140625" style="205"/>
    <col min="6404" max="6404" width="25.85546875" style="205" customWidth="1"/>
    <col min="6405" max="6408" width="7.28515625" style="205" customWidth="1"/>
    <col min="6409" max="6659" width="9.140625" style="205"/>
    <col min="6660" max="6660" width="25.85546875" style="205" customWidth="1"/>
    <col min="6661" max="6664" width="7.28515625" style="205" customWidth="1"/>
    <col min="6665" max="6915" width="9.140625" style="205"/>
    <col min="6916" max="6916" width="25.85546875" style="205" customWidth="1"/>
    <col min="6917" max="6920" width="7.28515625" style="205" customWidth="1"/>
    <col min="6921" max="7171" width="9.140625" style="205"/>
    <col min="7172" max="7172" width="25.85546875" style="205" customWidth="1"/>
    <col min="7173" max="7176" width="7.28515625" style="205" customWidth="1"/>
    <col min="7177" max="7427" width="9.140625" style="205"/>
    <col min="7428" max="7428" width="25.85546875" style="205" customWidth="1"/>
    <col min="7429" max="7432" width="7.28515625" style="205" customWidth="1"/>
    <col min="7433" max="7683" width="9.140625" style="205"/>
    <col min="7684" max="7684" width="25.85546875" style="205" customWidth="1"/>
    <col min="7685" max="7688" width="7.28515625" style="205" customWidth="1"/>
    <col min="7689" max="7939" width="9.140625" style="205"/>
    <col min="7940" max="7940" width="25.85546875" style="205" customWidth="1"/>
    <col min="7941" max="7944" width="7.28515625" style="205" customWidth="1"/>
    <col min="7945" max="8195" width="9.140625" style="205"/>
    <col min="8196" max="8196" width="25.85546875" style="205" customWidth="1"/>
    <col min="8197" max="8200" width="7.28515625" style="205" customWidth="1"/>
    <col min="8201" max="8451" width="9.140625" style="205"/>
    <col min="8452" max="8452" width="25.85546875" style="205" customWidth="1"/>
    <col min="8453" max="8456" width="7.28515625" style="205" customWidth="1"/>
    <col min="8457" max="8707" width="9.140625" style="205"/>
    <col min="8708" max="8708" width="25.85546875" style="205" customWidth="1"/>
    <col min="8709" max="8712" width="7.28515625" style="205" customWidth="1"/>
    <col min="8713" max="8963" width="9.140625" style="205"/>
    <col min="8964" max="8964" width="25.85546875" style="205" customWidth="1"/>
    <col min="8965" max="8968" width="7.28515625" style="205" customWidth="1"/>
    <col min="8969" max="9219" width="9.140625" style="205"/>
    <col min="9220" max="9220" width="25.85546875" style="205" customWidth="1"/>
    <col min="9221" max="9224" width="7.28515625" style="205" customWidth="1"/>
    <col min="9225" max="9475" width="9.140625" style="205"/>
    <col min="9476" max="9476" width="25.85546875" style="205" customWidth="1"/>
    <col min="9477" max="9480" width="7.28515625" style="205" customWidth="1"/>
    <col min="9481" max="9731" width="9.140625" style="205"/>
    <col min="9732" max="9732" width="25.85546875" style="205" customWidth="1"/>
    <col min="9733" max="9736" width="7.28515625" style="205" customWidth="1"/>
    <col min="9737" max="9987" width="9.140625" style="205"/>
    <col min="9988" max="9988" width="25.85546875" style="205" customWidth="1"/>
    <col min="9989" max="9992" width="7.28515625" style="205" customWidth="1"/>
    <col min="9993" max="10243" width="9.140625" style="205"/>
    <col min="10244" max="10244" width="25.85546875" style="205" customWidth="1"/>
    <col min="10245" max="10248" width="7.28515625" style="205" customWidth="1"/>
    <col min="10249" max="10499" width="9.140625" style="205"/>
    <col min="10500" max="10500" width="25.85546875" style="205" customWidth="1"/>
    <col min="10501" max="10504" width="7.28515625" style="205" customWidth="1"/>
    <col min="10505" max="10755" width="9.140625" style="205"/>
    <col min="10756" max="10756" width="25.85546875" style="205" customWidth="1"/>
    <col min="10757" max="10760" width="7.28515625" style="205" customWidth="1"/>
    <col min="10761" max="11011" width="9.140625" style="205"/>
    <col min="11012" max="11012" width="25.85546875" style="205" customWidth="1"/>
    <col min="11013" max="11016" width="7.28515625" style="205" customWidth="1"/>
    <col min="11017" max="11267" width="9.140625" style="205"/>
    <col min="11268" max="11268" width="25.85546875" style="205" customWidth="1"/>
    <col min="11269" max="11272" width="7.28515625" style="205" customWidth="1"/>
    <col min="11273" max="11523" width="9.140625" style="205"/>
    <col min="11524" max="11524" width="25.85546875" style="205" customWidth="1"/>
    <col min="11525" max="11528" width="7.28515625" style="205" customWidth="1"/>
    <col min="11529" max="11779" width="9.140625" style="205"/>
    <col min="11780" max="11780" width="25.85546875" style="205" customWidth="1"/>
    <col min="11781" max="11784" width="7.28515625" style="205" customWidth="1"/>
    <col min="11785" max="12035" width="9.140625" style="205"/>
    <col min="12036" max="12036" width="25.85546875" style="205" customWidth="1"/>
    <col min="12037" max="12040" width="7.28515625" style="205" customWidth="1"/>
    <col min="12041" max="12291" width="9.140625" style="205"/>
    <col min="12292" max="12292" width="25.85546875" style="205" customWidth="1"/>
    <col min="12293" max="12296" width="7.28515625" style="205" customWidth="1"/>
    <col min="12297" max="12547" width="9.140625" style="205"/>
    <col min="12548" max="12548" width="25.85546875" style="205" customWidth="1"/>
    <col min="12549" max="12552" width="7.28515625" style="205" customWidth="1"/>
    <col min="12553" max="12803" width="9.140625" style="205"/>
    <col min="12804" max="12804" width="25.85546875" style="205" customWidth="1"/>
    <col min="12805" max="12808" width="7.28515625" style="205" customWidth="1"/>
    <col min="12809" max="13059" width="9.140625" style="205"/>
    <col min="13060" max="13060" width="25.85546875" style="205" customWidth="1"/>
    <col min="13061" max="13064" width="7.28515625" style="205" customWidth="1"/>
    <col min="13065" max="13315" width="9.140625" style="205"/>
    <col min="13316" max="13316" width="25.85546875" style="205" customWidth="1"/>
    <col min="13317" max="13320" width="7.28515625" style="205" customWidth="1"/>
    <col min="13321" max="13571" width="9.140625" style="205"/>
    <col min="13572" max="13572" width="25.85546875" style="205" customWidth="1"/>
    <col min="13573" max="13576" width="7.28515625" style="205" customWidth="1"/>
    <col min="13577" max="13827" width="9.140625" style="205"/>
    <col min="13828" max="13828" width="25.85546875" style="205" customWidth="1"/>
    <col min="13829" max="13832" width="7.28515625" style="205" customWidth="1"/>
    <col min="13833" max="14083" width="9.140625" style="205"/>
    <col min="14084" max="14084" width="25.85546875" style="205" customWidth="1"/>
    <col min="14085" max="14088" width="7.28515625" style="205" customWidth="1"/>
    <col min="14089" max="14339" width="9.140625" style="205"/>
    <col min="14340" max="14340" width="25.85546875" style="205" customWidth="1"/>
    <col min="14341" max="14344" width="7.28515625" style="205" customWidth="1"/>
    <col min="14345" max="14595" width="9.140625" style="205"/>
    <col min="14596" max="14596" width="25.85546875" style="205" customWidth="1"/>
    <col min="14597" max="14600" width="7.28515625" style="205" customWidth="1"/>
    <col min="14601" max="14851" width="9.140625" style="205"/>
    <col min="14852" max="14852" width="25.85546875" style="205" customWidth="1"/>
    <col min="14853" max="14856" width="7.28515625" style="205" customWidth="1"/>
    <col min="14857" max="15107" width="9.140625" style="205"/>
    <col min="15108" max="15108" width="25.85546875" style="205" customWidth="1"/>
    <col min="15109" max="15112" width="7.28515625" style="205" customWidth="1"/>
    <col min="15113" max="15363" width="9.140625" style="205"/>
    <col min="15364" max="15364" width="25.85546875" style="205" customWidth="1"/>
    <col min="15365" max="15368" width="7.28515625" style="205" customWidth="1"/>
    <col min="15369" max="15619" width="9.140625" style="205"/>
    <col min="15620" max="15620" width="25.85546875" style="205" customWidth="1"/>
    <col min="15621" max="15624" width="7.28515625" style="205" customWidth="1"/>
    <col min="15625" max="15875" width="9.140625" style="205"/>
    <col min="15876" max="15876" width="25.85546875" style="205" customWidth="1"/>
    <col min="15877" max="15880" width="7.28515625" style="205" customWidth="1"/>
    <col min="15881" max="16131" width="9.140625" style="205"/>
    <col min="16132" max="16132" width="25.85546875" style="205" customWidth="1"/>
    <col min="16133" max="16136" width="7.28515625" style="205" customWidth="1"/>
    <col min="16137" max="16384" width="9.140625" style="205"/>
  </cols>
  <sheetData>
    <row r="1" spans="1:8" ht="20.25">
      <c r="A1" s="202" t="s">
        <v>266</v>
      </c>
      <c r="B1" s="203"/>
      <c r="C1" s="203"/>
      <c r="D1" s="203"/>
      <c r="E1" s="204" t="s">
        <v>267</v>
      </c>
      <c r="F1" s="204" t="s">
        <v>267</v>
      </c>
      <c r="G1" s="204" t="s">
        <v>267</v>
      </c>
      <c r="H1" s="204" t="s">
        <v>267</v>
      </c>
    </row>
    <row r="2" spans="1:8">
      <c r="A2" s="206" t="s">
        <v>359</v>
      </c>
      <c r="B2" s="207"/>
      <c r="C2" s="207"/>
      <c r="D2" s="207"/>
      <c r="E2" s="208">
        <v>200</v>
      </c>
      <c r="F2" s="208">
        <v>104</v>
      </c>
      <c r="G2" s="208">
        <v>4</v>
      </c>
      <c r="H2" s="208">
        <v>4</v>
      </c>
    </row>
    <row r="3" spans="1:8">
      <c r="A3" s="209" t="s">
        <v>360</v>
      </c>
      <c r="B3" s="210"/>
      <c r="C3" s="210"/>
      <c r="D3" s="210"/>
      <c r="E3" s="211"/>
      <c r="F3" s="211"/>
      <c r="G3" s="211"/>
      <c r="H3" s="211"/>
    </row>
    <row r="4" spans="1:8">
      <c r="A4" s="212" t="s">
        <v>361</v>
      </c>
      <c r="B4" s="213"/>
      <c r="C4" s="213"/>
      <c r="D4" s="213"/>
      <c r="E4" s="214"/>
      <c r="F4" s="214"/>
      <c r="G4" s="214"/>
      <c r="H4" s="214"/>
    </row>
    <row r="5" spans="1:8">
      <c r="A5" s="215" t="s">
        <v>313</v>
      </c>
      <c r="B5" s="216"/>
      <c r="C5" s="216"/>
      <c r="D5" s="216"/>
      <c r="E5" s="239"/>
      <c r="F5" s="239"/>
      <c r="G5" s="239"/>
      <c r="H5" s="239"/>
    </row>
    <row r="6" spans="1:8">
      <c r="A6" s="215" t="s">
        <v>314</v>
      </c>
      <c r="B6" s="216"/>
      <c r="C6" s="216"/>
      <c r="D6" s="216"/>
      <c r="E6" s="208" t="s">
        <v>272</v>
      </c>
      <c r="F6" s="208"/>
      <c r="G6" s="208"/>
      <c r="H6" s="208"/>
    </row>
    <row r="7" spans="1:8">
      <c r="A7" s="217" t="s">
        <v>362</v>
      </c>
      <c r="B7" s="218"/>
      <c r="C7" s="218"/>
      <c r="D7" s="219"/>
      <c r="E7" s="220" t="s">
        <v>272</v>
      </c>
      <c r="F7" s="220"/>
      <c r="G7" s="220"/>
      <c r="H7" s="220"/>
    </row>
    <row r="8" spans="1:8">
      <c r="A8" s="217" t="s">
        <v>342</v>
      </c>
      <c r="B8" s="218"/>
      <c r="C8" s="218"/>
      <c r="D8" s="219"/>
      <c r="E8" s="220" t="s">
        <v>272</v>
      </c>
      <c r="F8" s="220"/>
      <c r="G8" s="220"/>
      <c r="H8" s="220"/>
    </row>
    <row r="9" spans="1:8">
      <c r="A9" s="217" t="s">
        <v>355</v>
      </c>
      <c r="B9" s="218"/>
      <c r="C9" s="218"/>
      <c r="D9" s="219"/>
      <c r="E9" s="220" t="s">
        <v>272</v>
      </c>
      <c r="F9" s="220"/>
      <c r="G9" s="220"/>
      <c r="H9" s="220"/>
    </row>
    <row r="10" spans="1:8">
      <c r="A10" s="217" t="s">
        <v>363</v>
      </c>
      <c r="B10" s="218"/>
      <c r="C10" s="218"/>
      <c r="D10" s="219"/>
      <c r="E10" s="220" t="s">
        <v>272</v>
      </c>
      <c r="F10" s="220"/>
      <c r="G10" s="220"/>
      <c r="H10" s="220"/>
    </row>
    <row r="11" spans="1:8">
      <c r="A11" s="217" t="s">
        <v>280</v>
      </c>
      <c r="B11" s="218"/>
      <c r="C11" s="218"/>
      <c r="D11" s="219"/>
      <c r="E11" s="220" t="s">
        <v>272</v>
      </c>
      <c r="F11" s="220"/>
      <c r="G11" s="220"/>
      <c r="H11" s="220"/>
    </row>
    <row r="12" spans="1:8">
      <c r="A12" s="215"/>
      <c r="B12" s="216"/>
      <c r="C12" s="216"/>
      <c r="D12" s="216"/>
      <c r="E12" s="225"/>
      <c r="F12" s="225"/>
      <c r="G12" s="225"/>
      <c r="H12" s="225"/>
    </row>
    <row r="13" spans="1:8">
      <c r="A13" s="212" t="s">
        <v>345</v>
      </c>
      <c r="B13" s="226"/>
      <c r="C13" s="226"/>
      <c r="D13" s="226"/>
      <c r="E13" s="227"/>
      <c r="F13" s="227"/>
      <c r="G13" s="227"/>
      <c r="H13" s="227"/>
    </row>
    <row r="14" spans="1:8">
      <c r="A14" s="217" t="s">
        <v>346</v>
      </c>
      <c r="B14" s="218"/>
      <c r="C14" s="218"/>
      <c r="D14" s="218"/>
      <c r="E14" s="220"/>
      <c r="F14" s="220" t="s">
        <v>272</v>
      </c>
      <c r="G14" s="220"/>
      <c r="H14" s="220"/>
    </row>
    <row r="15" spans="1:8">
      <c r="A15" s="217" t="s">
        <v>364</v>
      </c>
      <c r="B15" s="218"/>
      <c r="C15" s="218"/>
      <c r="D15" s="218"/>
      <c r="E15" s="220"/>
      <c r="F15" s="220" t="s">
        <v>272</v>
      </c>
      <c r="G15" s="220"/>
      <c r="H15" s="220"/>
    </row>
    <row r="16" spans="1:8">
      <c r="A16" s="217" t="s">
        <v>293</v>
      </c>
      <c r="B16" s="218"/>
      <c r="C16" s="218"/>
      <c r="D16" s="219"/>
      <c r="E16" s="220"/>
      <c r="F16" s="220" t="s">
        <v>272</v>
      </c>
      <c r="G16" s="220"/>
      <c r="H16" s="220"/>
    </row>
    <row r="17" spans="1:8">
      <c r="A17" s="217" t="s">
        <v>365</v>
      </c>
      <c r="B17" s="218"/>
      <c r="C17" s="218"/>
      <c r="D17" s="219"/>
      <c r="E17" s="220"/>
      <c r="F17" s="220" t="s">
        <v>272</v>
      </c>
      <c r="G17" s="220"/>
      <c r="H17" s="220"/>
    </row>
    <row r="18" spans="1:8">
      <c r="A18" s="217" t="s">
        <v>348</v>
      </c>
      <c r="B18" s="218"/>
      <c r="C18" s="218"/>
      <c r="D18" s="219"/>
      <c r="E18" s="220"/>
      <c r="F18" s="220" t="s">
        <v>272</v>
      </c>
      <c r="G18" s="220"/>
      <c r="H18" s="220"/>
    </row>
    <row r="19" spans="1:8">
      <c r="A19" s="224" t="s">
        <v>296</v>
      </c>
      <c r="B19" s="224"/>
      <c r="C19" s="224"/>
      <c r="D19" s="224"/>
      <c r="E19" s="220"/>
      <c r="F19" s="220" t="s">
        <v>272</v>
      </c>
      <c r="G19" s="220"/>
      <c r="H19" s="220"/>
    </row>
    <row r="20" spans="1:8">
      <c r="A20" s="224" t="s">
        <v>297</v>
      </c>
      <c r="B20" s="224"/>
      <c r="C20" s="224"/>
      <c r="D20" s="224"/>
      <c r="E20" s="220"/>
      <c r="F20" s="220" t="s">
        <v>272</v>
      </c>
      <c r="G20" s="220"/>
      <c r="H20" s="220"/>
    </row>
    <row r="21" spans="1:8">
      <c r="A21" s="224" t="s">
        <v>298</v>
      </c>
      <c r="B21" s="224"/>
      <c r="C21" s="224"/>
      <c r="D21" s="224"/>
      <c r="E21" s="220"/>
      <c r="F21" s="220" t="s">
        <v>272</v>
      </c>
      <c r="G21" s="220"/>
      <c r="H21" s="220"/>
    </row>
    <row r="22" spans="1:8">
      <c r="A22" s="224" t="s">
        <v>299</v>
      </c>
      <c r="B22" s="224"/>
      <c r="C22" s="224"/>
      <c r="D22" s="224"/>
      <c r="E22" s="220"/>
      <c r="F22" s="220" t="s">
        <v>272</v>
      </c>
      <c r="G22" s="220"/>
      <c r="H22" s="220"/>
    </row>
    <row r="23" spans="1:8">
      <c r="A23" s="224" t="s">
        <v>301</v>
      </c>
      <c r="B23" s="224"/>
      <c r="C23" s="224"/>
      <c r="D23" s="224"/>
      <c r="E23" s="220"/>
      <c r="F23" s="220" t="s">
        <v>272</v>
      </c>
      <c r="G23" s="220"/>
      <c r="H23" s="220"/>
    </row>
    <row r="24" spans="1:8">
      <c r="A24" s="224" t="s">
        <v>286</v>
      </c>
      <c r="B24" s="224"/>
      <c r="C24" s="224"/>
      <c r="D24" s="224"/>
      <c r="E24" s="220"/>
      <c r="F24" s="220" t="s">
        <v>272</v>
      </c>
      <c r="G24" s="220"/>
      <c r="H24" s="220"/>
    </row>
    <row r="25" spans="1:8">
      <c r="A25" s="217" t="s">
        <v>287</v>
      </c>
      <c r="B25" s="218"/>
      <c r="C25" s="218"/>
      <c r="D25" s="219"/>
      <c r="E25" s="220"/>
      <c r="F25" s="220" t="s">
        <v>272</v>
      </c>
      <c r="G25" s="220"/>
      <c r="H25" s="220"/>
    </row>
    <row r="26" spans="1:8">
      <c r="A26" s="217"/>
      <c r="B26" s="218"/>
      <c r="C26" s="218"/>
      <c r="D26" s="218"/>
      <c r="E26" s="220"/>
      <c r="F26" s="220"/>
      <c r="G26" s="220"/>
      <c r="H26" s="220"/>
    </row>
    <row r="27" spans="1:8">
      <c r="A27" s="212" t="s">
        <v>302</v>
      </c>
      <c r="B27" s="226"/>
      <c r="C27" s="226"/>
      <c r="D27" s="226"/>
      <c r="E27" s="227"/>
      <c r="F27" s="227"/>
      <c r="G27" s="227"/>
      <c r="H27" s="227"/>
    </row>
    <row r="28" spans="1:8">
      <c r="A28" s="217" t="s">
        <v>332</v>
      </c>
      <c r="B28" s="218"/>
      <c r="C28" s="218"/>
      <c r="D28" s="219"/>
      <c r="E28" s="236"/>
      <c r="F28" s="236"/>
      <c r="G28" s="236" t="s">
        <v>272</v>
      </c>
      <c r="H28" s="236"/>
    </row>
    <row r="29" spans="1:8">
      <c r="A29" s="217" t="s">
        <v>349</v>
      </c>
      <c r="B29" s="218"/>
      <c r="C29" s="218"/>
      <c r="D29" s="219"/>
      <c r="E29" s="236"/>
      <c r="F29" s="236"/>
      <c r="G29" s="236"/>
      <c r="H29" s="236" t="s">
        <v>272</v>
      </c>
    </row>
    <row r="30" spans="1:8">
      <c r="A30" s="217" t="s">
        <v>291</v>
      </c>
      <c r="B30" s="218"/>
      <c r="C30" s="218"/>
      <c r="D30" s="219"/>
      <c r="E30" s="236"/>
      <c r="F30" s="236"/>
      <c r="G30" s="236" t="s">
        <v>272</v>
      </c>
      <c r="H30" s="236"/>
    </row>
    <row r="31" spans="1:8">
      <c r="A31" s="217" t="s">
        <v>305</v>
      </c>
      <c r="B31" s="218"/>
      <c r="C31" s="218"/>
      <c r="D31" s="219"/>
      <c r="E31" s="236"/>
      <c r="F31" s="236"/>
      <c r="G31" s="236"/>
      <c r="H31" s="236" t="s">
        <v>272</v>
      </c>
    </row>
    <row r="32" spans="1:8">
      <c r="A32" s="217" t="s">
        <v>306</v>
      </c>
      <c r="B32" s="218"/>
      <c r="C32" s="218"/>
      <c r="D32" s="219"/>
      <c r="E32" s="236"/>
      <c r="F32" s="236"/>
      <c r="G32" s="236"/>
      <c r="H32" s="236" t="s">
        <v>272</v>
      </c>
    </row>
    <row r="33" spans="1:8">
      <c r="A33" s="217" t="s">
        <v>307</v>
      </c>
      <c r="B33" s="218"/>
      <c r="C33" s="218"/>
      <c r="D33" s="219"/>
      <c r="E33" s="236"/>
      <c r="F33" s="236"/>
      <c r="G33" s="236" t="s">
        <v>272</v>
      </c>
      <c r="H33" s="236"/>
    </row>
    <row r="34" spans="1:8">
      <c r="A34" s="217" t="s">
        <v>308</v>
      </c>
      <c r="B34" s="218"/>
      <c r="C34" s="218"/>
      <c r="D34" s="219"/>
      <c r="E34" s="236"/>
      <c r="F34" s="236"/>
      <c r="G34" s="236"/>
      <c r="H34" s="236" t="s">
        <v>272</v>
      </c>
    </row>
    <row r="35" spans="1:8">
      <c r="A35" s="217" t="s">
        <v>350</v>
      </c>
      <c r="B35" s="218"/>
      <c r="C35" s="218"/>
      <c r="D35" s="219"/>
      <c r="E35" s="236"/>
      <c r="F35" s="236"/>
      <c r="G35" s="236" t="s">
        <v>272</v>
      </c>
      <c r="H35" s="236"/>
    </row>
    <row r="36" spans="1:8">
      <c r="A36" s="217" t="s">
        <v>366</v>
      </c>
      <c r="B36" s="218"/>
      <c r="C36" s="218"/>
      <c r="D36" s="219"/>
      <c r="E36" s="236"/>
      <c r="F36" s="236"/>
      <c r="G36" s="236" t="s">
        <v>272</v>
      </c>
      <c r="H36" s="236"/>
    </row>
    <row r="37" spans="1:8">
      <c r="A37" s="217"/>
      <c r="B37" s="218"/>
      <c r="C37" s="218"/>
      <c r="D37" s="219"/>
      <c r="E37" s="236"/>
      <c r="F37" s="236"/>
      <c r="G37" s="236"/>
      <c r="H37" s="236"/>
    </row>
    <row r="38" spans="1:8">
      <c r="A38" s="237" t="s">
        <v>310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450F7-6E52-40BA-B508-4B5CFDE5E9A5}">
  <sheetPr>
    <tabColor theme="0" tint="-0.14999847407452621"/>
  </sheetPr>
  <dimension ref="A1:H40"/>
  <sheetViews>
    <sheetView workbookViewId="0">
      <selection activeCell="L14" sqref="L14"/>
    </sheetView>
  </sheetViews>
  <sheetFormatPr defaultRowHeight="15"/>
  <cols>
    <col min="1" max="3" width="9.140625" style="205"/>
    <col min="4" max="4" width="34.5703125" style="205" customWidth="1"/>
    <col min="5" max="8" width="7.28515625" style="205" customWidth="1"/>
    <col min="9" max="259" width="9.140625" style="205"/>
    <col min="260" max="260" width="34.5703125" style="205" customWidth="1"/>
    <col min="261" max="264" width="7.28515625" style="205" customWidth="1"/>
    <col min="265" max="515" width="9.140625" style="205"/>
    <col min="516" max="516" width="34.5703125" style="205" customWidth="1"/>
    <col min="517" max="520" width="7.28515625" style="205" customWidth="1"/>
    <col min="521" max="771" width="9.140625" style="205"/>
    <col min="772" max="772" width="34.5703125" style="205" customWidth="1"/>
    <col min="773" max="776" width="7.28515625" style="205" customWidth="1"/>
    <col min="777" max="1027" width="9.140625" style="205"/>
    <col min="1028" max="1028" width="34.5703125" style="205" customWidth="1"/>
    <col min="1029" max="1032" width="7.28515625" style="205" customWidth="1"/>
    <col min="1033" max="1283" width="9.140625" style="205"/>
    <col min="1284" max="1284" width="34.5703125" style="205" customWidth="1"/>
    <col min="1285" max="1288" width="7.28515625" style="205" customWidth="1"/>
    <col min="1289" max="1539" width="9.140625" style="205"/>
    <col min="1540" max="1540" width="34.5703125" style="205" customWidth="1"/>
    <col min="1541" max="1544" width="7.28515625" style="205" customWidth="1"/>
    <col min="1545" max="1795" width="9.140625" style="205"/>
    <col min="1796" max="1796" width="34.5703125" style="205" customWidth="1"/>
    <col min="1797" max="1800" width="7.28515625" style="205" customWidth="1"/>
    <col min="1801" max="2051" width="9.140625" style="205"/>
    <col min="2052" max="2052" width="34.5703125" style="205" customWidth="1"/>
    <col min="2053" max="2056" width="7.28515625" style="205" customWidth="1"/>
    <col min="2057" max="2307" width="9.140625" style="205"/>
    <col min="2308" max="2308" width="34.5703125" style="205" customWidth="1"/>
    <col min="2309" max="2312" width="7.28515625" style="205" customWidth="1"/>
    <col min="2313" max="2563" width="9.140625" style="205"/>
    <col min="2564" max="2564" width="34.5703125" style="205" customWidth="1"/>
    <col min="2565" max="2568" width="7.28515625" style="205" customWidth="1"/>
    <col min="2569" max="2819" width="9.140625" style="205"/>
    <col min="2820" max="2820" width="34.5703125" style="205" customWidth="1"/>
    <col min="2821" max="2824" width="7.28515625" style="205" customWidth="1"/>
    <col min="2825" max="3075" width="9.140625" style="205"/>
    <col min="3076" max="3076" width="34.5703125" style="205" customWidth="1"/>
    <col min="3077" max="3080" width="7.28515625" style="205" customWidth="1"/>
    <col min="3081" max="3331" width="9.140625" style="205"/>
    <col min="3332" max="3332" width="34.5703125" style="205" customWidth="1"/>
    <col min="3333" max="3336" width="7.28515625" style="205" customWidth="1"/>
    <col min="3337" max="3587" width="9.140625" style="205"/>
    <col min="3588" max="3588" width="34.5703125" style="205" customWidth="1"/>
    <col min="3589" max="3592" width="7.28515625" style="205" customWidth="1"/>
    <col min="3593" max="3843" width="9.140625" style="205"/>
    <col min="3844" max="3844" width="34.5703125" style="205" customWidth="1"/>
    <col min="3845" max="3848" width="7.28515625" style="205" customWidth="1"/>
    <col min="3849" max="4099" width="9.140625" style="205"/>
    <col min="4100" max="4100" width="34.5703125" style="205" customWidth="1"/>
    <col min="4101" max="4104" width="7.28515625" style="205" customWidth="1"/>
    <col min="4105" max="4355" width="9.140625" style="205"/>
    <col min="4356" max="4356" width="34.5703125" style="205" customWidth="1"/>
    <col min="4357" max="4360" width="7.28515625" style="205" customWidth="1"/>
    <col min="4361" max="4611" width="9.140625" style="205"/>
    <col min="4612" max="4612" width="34.5703125" style="205" customWidth="1"/>
    <col min="4613" max="4616" width="7.28515625" style="205" customWidth="1"/>
    <col min="4617" max="4867" width="9.140625" style="205"/>
    <col min="4868" max="4868" width="34.5703125" style="205" customWidth="1"/>
    <col min="4869" max="4872" width="7.28515625" style="205" customWidth="1"/>
    <col min="4873" max="5123" width="9.140625" style="205"/>
    <col min="5124" max="5124" width="34.5703125" style="205" customWidth="1"/>
    <col min="5125" max="5128" width="7.28515625" style="205" customWidth="1"/>
    <col min="5129" max="5379" width="9.140625" style="205"/>
    <col min="5380" max="5380" width="34.5703125" style="205" customWidth="1"/>
    <col min="5381" max="5384" width="7.28515625" style="205" customWidth="1"/>
    <col min="5385" max="5635" width="9.140625" style="205"/>
    <col min="5636" max="5636" width="34.5703125" style="205" customWidth="1"/>
    <col min="5637" max="5640" width="7.28515625" style="205" customWidth="1"/>
    <col min="5641" max="5891" width="9.140625" style="205"/>
    <col min="5892" max="5892" width="34.5703125" style="205" customWidth="1"/>
    <col min="5893" max="5896" width="7.28515625" style="205" customWidth="1"/>
    <col min="5897" max="6147" width="9.140625" style="205"/>
    <col min="6148" max="6148" width="34.5703125" style="205" customWidth="1"/>
    <col min="6149" max="6152" width="7.28515625" style="205" customWidth="1"/>
    <col min="6153" max="6403" width="9.140625" style="205"/>
    <col min="6404" max="6404" width="34.5703125" style="205" customWidth="1"/>
    <col min="6405" max="6408" width="7.28515625" style="205" customWidth="1"/>
    <col min="6409" max="6659" width="9.140625" style="205"/>
    <col min="6660" max="6660" width="34.5703125" style="205" customWidth="1"/>
    <col min="6661" max="6664" width="7.28515625" style="205" customWidth="1"/>
    <col min="6665" max="6915" width="9.140625" style="205"/>
    <col min="6916" max="6916" width="34.5703125" style="205" customWidth="1"/>
    <col min="6917" max="6920" width="7.28515625" style="205" customWidth="1"/>
    <col min="6921" max="7171" width="9.140625" style="205"/>
    <col min="7172" max="7172" width="34.5703125" style="205" customWidth="1"/>
    <col min="7173" max="7176" width="7.28515625" style="205" customWidth="1"/>
    <col min="7177" max="7427" width="9.140625" style="205"/>
    <col min="7428" max="7428" width="34.5703125" style="205" customWidth="1"/>
    <col min="7429" max="7432" width="7.28515625" style="205" customWidth="1"/>
    <col min="7433" max="7683" width="9.140625" style="205"/>
    <col min="7684" max="7684" width="34.5703125" style="205" customWidth="1"/>
    <col min="7685" max="7688" width="7.28515625" style="205" customWidth="1"/>
    <col min="7689" max="7939" width="9.140625" style="205"/>
    <col min="7940" max="7940" width="34.5703125" style="205" customWidth="1"/>
    <col min="7941" max="7944" width="7.28515625" style="205" customWidth="1"/>
    <col min="7945" max="8195" width="9.140625" style="205"/>
    <col min="8196" max="8196" width="34.5703125" style="205" customWidth="1"/>
    <col min="8197" max="8200" width="7.28515625" style="205" customWidth="1"/>
    <col min="8201" max="8451" width="9.140625" style="205"/>
    <col min="8452" max="8452" width="34.5703125" style="205" customWidth="1"/>
    <col min="8453" max="8456" width="7.28515625" style="205" customWidth="1"/>
    <col min="8457" max="8707" width="9.140625" style="205"/>
    <col min="8708" max="8708" width="34.5703125" style="205" customWidth="1"/>
    <col min="8709" max="8712" width="7.28515625" style="205" customWidth="1"/>
    <col min="8713" max="8963" width="9.140625" style="205"/>
    <col min="8964" max="8964" width="34.5703125" style="205" customWidth="1"/>
    <col min="8965" max="8968" width="7.28515625" style="205" customWidth="1"/>
    <col min="8969" max="9219" width="9.140625" style="205"/>
    <col min="9220" max="9220" width="34.5703125" style="205" customWidth="1"/>
    <col min="9221" max="9224" width="7.28515625" style="205" customWidth="1"/>
    <col min="9225" max="9475" width="9.140625" style="205"/>
    <col min="9476" max="9476" width="34.5703125" style="205" customWidth="1"/>
    <col min="9477" max="9480" width="7.28515625" style="205" customWidth="1"/>
    <col min="9481" max="9731" width="9.140625" style="205"/>
    <col min="9732" max="9732" width="34.5703125" style="205" customWidth="1"/>
    <col min="9733" max="9736" width="7.28515625" style="205" customWidth="1"/>
    <col min="9737" max="9987" width="9.140625" style="205"/>
    <col min="9988" max="9988" width="34.5703125" style="205" customWidth="1"/>
    <col min="9989" max="9992" width="7.28515625" style="205" customWidth="1"/>
    <col min="9993" max="10243" width="9.140625" style="205"/>
    <col min="10244" max="10244" width="34.5703125" style="205" customWidth="1"/>
    <col min="10245" max="10248" width="7.28515625" style="205" customWidth="1"/>
    <col min="10249" max="10499" width="9.140625" style="205"/>
    <col min="10500" max="10500" width="34.5703125" style="205" customWidth="1"/>
    <col min="10501" max="10504" width="7.28515625" style="205" customWidth="1"/>
    <col min="10505" max="10755" width="9.140625" style="205"/>
    <col min="10756" max="10756" width="34.5703125" style="205" customWidth="1"/>
    <col min="10757" max="10760" width="7.28515625" style="205" customWidth="1"/>
    <col min="10761" max="11011" width="9.140625" style="205"/>
    <col min="11012" max="11012" width="34.5703125" style="205" customWidth="1"/>
    <col min="11013" max="11016" width="7.28515625" style="205" customWidth="1"/>
    <col min="11017" max="11267" width="9.140625" style="205"/>
    <col min="11268" max="11268" width="34.5703125" style="205" customWidth="1"/>
    <col min="11269" max="11272" width="7.28515625" style="205" customWidth="1"/>
    <col min="11273" max="11523" width="9.140625" style="205"/>
    <col min="11524" max="11524" width="34.5703125" style="205" customWidth="1"/>
    <col min="11525" max="11528" width="7.28515625" style="205" customWidth="1"/>
    <col min="11529" max="11779" width="9.140625" style="205"/>
    <col min="11780" max="11780" width="34.5703125" style="205" customWidth="1"/>
    <col min="11781" max="11784" width="7.28515625" style="205" customWidth="1"/>
    <col min="11785" max="12035" width="9.140625" style="205"/>
    <col min="12036" max="12036" width="34.5703125" style="205" customWidth="1"/>
    <col min="12037" max="12040" width="7.28515625" style="205" customWidth="1"/>
    <col min="12041" max="12291" width="9.140625" style="205"/>
    <col min="12292" max="12292" width="34.5703125" style="205" customWidth="1"/>
    <col min="12293" max="12296" width="7.28515625" style="205" customWidth="1"/>
    <col min="12297" max="12547" width="9.140625" style="205"/>
    <col min="12548" max="12548" width="34.5703125" style="205" customWidth="1"/>
    <col min="12549" max="12552" width="7.28515625" style="205" customWidth="1"/>
    <col min="12553" max="12803" width="9.140625" style="205"/>
    <col min="12804" max="12804" width="34.5703125" style="205" customWidth="1"/>
    <col min="12805" max="12808" width="7.28515625" style="205" customWidth="1"/>
    <col min="12809" max="13059" width="9.140625" style="205"/>
    <col min="13060" max="13060" width="34.5703125" style="205" customWidth="1"/>
    <col min="13061" max="13064" width="7.28515625" style="205" customWidth="1"/>
    <col min="13065" max="13315" width="9.140625" style="205"/>
    <col min="13316" max="13316" width="34.5703125" style="205" customWidth="1"/>
    <col min="13317" max="13320" width="7.28515625" style="205" customWidth="1"/>
    <col min="13321" max="13571" width="9.140625" style="205"/>
    <col min="13572" max="13572" width="34.5703125" style="205" customWidth="1"/>
    <col min="13573" max="13576" width="7.28515625" style="205" customWidth="1"/>
    <col min="13577" max="13827" width="9.140625" style="205"/>
    <col min="13828" max="13828" width="34.5703125" style="205" customWidth="1"/>
    <col min="13829" max="13832" width="7.28515625" style="205" customWidth="1"/>
    <col min="13833" max="14083" width="9.140625" style="205"/>
    <col min="14084" max="14084" width="34.5703125" style="205" customWidth="1"/>
    <col min="14085" max="14088" width="7.28515625" style="205" customWidth="1"/>
    <col min="14089" max="14339" width="9.140625" style="205"/>
    <col min="14340" max="14340" width="34.5703125" style="205" customWidth="1"/>
    <col min="14341" max="14344" width="7.28515625" style="205" customWidth="1"/>
    <col min="14345" max="14595" width="9.140625" style="205"/>
    <col min="14596" max="14596" width="34.5703125" style="205" customWidth="1"/>
    <col min="14597" max="14600" width="7.28515625" style="205" customWidth="1"/>
    <col min="14601" max="14851" width="9.140625" style="205"/>
    <col min="14852" max="14852" width="34.5703125" style="205" customWidth="1"/>
    <col min="14853" max="14856" width="7.28515625" style="205" customWidth="1"/>
    <col min="14857" max="15107" width="9.140625" style="205"/>
    <col min="15108" max="15108" width="34.5703125" style="205" customWidth="1"/>
    <col min="15109" max="15112" width="7.28515625" style="205" customWidth="1"/>
    <col min="15113" max="15363" width="9.140625" style="205"/>
    <col min="15364" max="15364" width="34.5703125" style="205" customWidth="1"/>
    <col min="15365" max="15368" width="7.28515625" style="205" customWidth="1"/>
    <col min="15369" max="15619" width="9.140625" style="205"/>
    <col min="15620" max="15620" width="34.5703125" style="205" customWidth="1"/>
    <col min="15621" max="15624" width="7.28515625" style="205" customWidth="1"/>
    <col min="15625" max="15875" width="9.140625" style="205"/>
    <col min="15876" max="15876" width="34.5703125" style="205" customWidth="1"/>
    <col min="15877" max="15880" width="7.28515625" style="205" customWidth="1"/>
    <col min="15881" max="16131" width="9.140625" style="205"/>
    <col min="16132" max="16132" width="34.5703125" style="205" customWidth="1"/>
    <col min="16133" max="16136" width="7.28515625" style="205" customWidth="1"/>
    <col min="16137" max="16384" width="9.140625" style="205"/>
  </cols>
  <sheetData>
    <row r="1" spans="1:8" ht="20.25">
      <c r="A1" s="202" t="s">
        <v>266</v>
      </c>
      <c r="B1" s="203"/>
      <c r="C1" s="203"/>
      <c r="D1" s="203"/>
      <c r="E1" s="204" t="s">
        <v>267</v>
      </c>
      <c r="F1" s="204" t="s">
        <v>267</v>
      </c>
      <c r="G1" s="204" t="s">
        <v>267</v>
      </c>
      <c r="H1" s="204" t="s">
        <v>267</v>
      </c>
    </row>
    <row r="2" spans="1:8">
      <c r="A2" s="206" t="s">
        <v>367</v>
      </c>
      <c r="B2" s="207"/>
      <c r="C2" s="207"/>
      <c r="D2" s="207"/>
      <c r="E2" s="208">
        <v>365</v>
      </c>
      <c r="F2" s="208">
        <v>104</v>
      </c>
      <c r="G2" s="208">
        <v>12</v>
      </c>
      <c r="H2" s="208">
        <v>6</v>
      </c>
    </row>
    <row r="3" spans="1:8">
      <c r="A3" s="209" t="s">
        <v>368</v>
      </c>
      <c r="B3" s="210"/>
      <c r="C3" s="210"/>
      <c r="D3" s="210"/>
      <c r="E3" s="211"/>
      <c r="F3" s="211"/>
      <c r="G3" s="211"/>
      <c r="H3" s="211"/>
    </row>
    <row r="4" spans="1:8">
      <c r="A4" s="212" t="s">
        <v>270</v>
      </c>
      <c r="B4" s="213"/>
      <c r="C4" s="213"/>
      <c r="D4" s="213"/>
      <c r="E4" s="214"/>
      <c r="F4" s="214"/>
      <c r="G4" s="214"/>
      <c r="H4" s="214"/>
    </row>
    <row r="5" spans="1:8">
      <c r="A5" s="215" t="s">
        <v>313</v>
      </c>
      <c r="B5" s="216"/>
      <c r="C5" s="216"/>
      <c r="D5" s="216"/>
      <c r="E5" s="239"/>
      <c r="F5" s="239"/>
      <c r="G5" s="239"/>
      <c r="H5" s="239"/>
    </row>
    <row r="6" spans="1:8">
      <c r="A6" s="215" t="s">
        <v>314</v>
      </c>
      <c r="B6" s="216"/>
      <c r="C6" s="216"/>
      <c r="D6" s="216"/>
      <c r="E6" s="208" t="s">
        <v>272</v>
      </c>
      <c r="F6" s="208"/>
      <c r="G6" s="208"/>
      <c r="H6" s="208"/>
    </row>
    <row r="7" spans="1:8">
      <c r="A7" s="217" t="s">
        <v>362</v>
      </c>
      <c r="B7" s="218"/>
      <c r="C7" s="218"/>
      <c r="D7" s="219"/>
      <c r="E7" s="220" t="s">
        <v>272</v>
      </c>
      <c r="F7" s="220"/>
      <c r="G7" s="220"/>
      <c r="H7" s="220"/>
    </row>
    <row r="8" spans="1:8">
      <c r="A8" s="217" t="s">
        <v>342</v>
      </c>
      <c r="B8" s="218"/>
      <c r="C8" s="218"/>
      <c r="D8" s="219"/>
      <c r="E8" s="220" t="s">
        <v>272</v>
      </c>
      <c r="F8" s="220"/>
      <c r="G8" s="220"/>
      <c r="H8" s="220"/>
    </row>
    <row r="9" spans="1:8">
      <c r="A9" s="217" t="s">
        <v>369</v>
      </c>
      <c r="B9" s="218"/>
      <c r="C9" s="218"/>
      <c r="D9" s="219"/>
      <c r="E9" s="220" t="s">
        <v>272</v>
      </c>
      <c r="F9" s="220"/>
      <c r="G9" s="220"/>
      <c r="H9" s="220"/>
    </row>
    <row r="10" spans="1:8">
      <c r="A10" s="217" t="s">
        <v>355</v>
      </c>
      <c r="B10" s="218"/>
      <c r="C10" s="218"/>
      <c r="D10" s="219"/>
      <c r="E10" s="220" t="s">
        <v>272</v>
      </c>
      <c r="F10" s="220"/>
      <c r="G10" s="220"/>
      <c r="H10" s="220"/>
    </row>
    <row r="11" spans="1:8">
      <c r="A11" s="217" t="s">
        <v>363</v>
      </c>
      <c r="B11" s="218"/>
      <c r="C11" s="218"/>
      <c r="D11" s="219"/>
      <c r="E11" s="220" t="s">
        <v>272</v>
      </c>
      <c r="F11" s="220"/>
      <c r="G11" s="220"/>
      <c r="H11" s="220"/>
    </row>
    <row r="12" spans="1:8">
      <c r="A12" s="217" t="s">
        <v>280</v>
      </c>
      <c r="B12" s="218"/>
      <c r="C12" s="218"/>
      <c r="D12" s="219"/>
      <c r="E12" s="220" t="s">
        <v>272</v>
      </c>
      <c r="F12" s="220"/>
      <c r="G12" s="220"/>
      <c r="H12" s="220"/>
    </row>
    <row r="13" spans="1:8">
      <c r="A13" s="215"/>
      <c r="B13" s="216"/>
      <c r="C13" s="216"/>
      <c r="D13" s="216"/>
      <c r="E13" s="220"/>
      <c r="F13" s="220"/>
      <c r="G13" s="220"/>
      <c r="H13" s="220"/>
    </row>
    <row r="14" spans="1:8">
      <c r="A14" s="212" t="s">
        <v>370</v>
      </c>
      <c r="B14" s="226"/>
      <c r="C14" s="226"/>
      <c r="D14" s="226"/>
      <c r="E14" s="227"/>
      <c r="F14" s="227"/>
      <c r="G14" s="227"/>
      <c r="H14" s="227"/>
    </row>
    <row r="15" spans="1:8">
      <c r="A15" s="242" t="s">
        <v>315</v>
      </c>
      <c r="B15" s="243"/>
      <c r="C15" s="243"/>
      <c r="D15" s="244"/>
      <c r="E15" s="245"/>
      <c r="F15" s="245" t="s">
        <v>272</v>
      </c>
      <c r="G15" s="245"/>
      <c r="H15" s="245"/>
    </row>
    <row r="16" spans="1:8">
      <c r="A16" s="224" t="s">
        <v>326</v>
      </c>
      <c r="B16" s="224"/>
      <c r="C16" s="224"/>
      <c r="D16" s="224"/>
      <c r="E16" s="220"/>
      <c r="F16" s="220" t="s">
        <v>272</v>
      </c>
      <c r="G16" s="220"/>
      <c r="H16" s="220"/>
    </row>
    <row r="17" spans="1:8">
      <c r="A17" s="224" t="s">
        <v>292</v>
      </c>
      <c r="B17" s="224"/>
      <c r="C17" s="217"/>
      <c r="D17" s="219"/>
      <c r="E17" s="220"/>
      <c r="F17" s="220" t="s">
        <v>272</v>
      </c>
      <c r="G17" s="220"/>
      <c r="H17" s="220"/>
    </row>
    <row r="18" spans="1:8">
      <c r="A18" s="217" t="s">
        <v>341</v>
      </c>
      <c r="B18" s="224"/>
      <c r="C18" s="217"/>
      <c r="D18" s="219"/>
      <c r="E18" s="220"/>
      <c r="F18" s="220" t="s">
        <v>272</v>
      </c>
      <c r="G18" s="220"/>
      <c r="H18" s="220"/>
    </row>
    <row r="19" spans="1:8">
      <c r="A19" s="217" t="s">
        <v>347</v>
      </c>
      <c r="B19" s="218"/>
      <c r="C19" s="218"/>
      <c r="D19" s="219"/>
      <c r="E19" s="220"/>
      <c r="F19" s="220" t="s">
        <v>272</v>
      </c>
      <c r="G19" s="220"/>
      <c r="H19" s="220"/>
    </row>
    <row r="20" spans="1:8">
      <c r="A20" s="217" t="s">
        <v>348</v>
      </c>
      <c r="B20" s="218"/>
      <c r="C20" s="218"/>
      <c r="D20" s="219"/>
      <c r="E20" s="220"/>
      <c r="F20" s="220" t="s">
        <v>272</v>
      </c>
      <c r="G20" s="220"/>
      <c r="H20" s="220"/>
    </row>
    <row r="21" spans="1:8">
      <c r="A21" s="224" t="s">
        <v>296</v>
      </c>
      <c r="B21" s="224"/>
      <c r="C21" s="224"/>
      <c r="D21" s="224"/>
      <c r="E21" s="220"/>
      <c r="F21" s="220" t="s">
        <v>272</v>
      </c>
      <c r="G21" s="220"/>
      <c r="H21" s="220"/>
    </row>
    <row r="22" spans="1:8">
      <c r="A22" s="224" t="s">
        <v>297</v>
      </c>
      <c r="B22" s="224"/>
      <c r="C22" s="224"/>
      <c r="D22" s="224"/>
      <c r="E22" s="220"/>
      <c r="F22" s="220" t="s">
        <v>272</v>
      </c>
      <c r="G22" s="220"/>
      <c r="H22" s="220"/>
    </row>
    <row r="23" spans="1:8">
      <c r="A23" s="217" t="s">
        <v>371</v>
      </c>
      <c r="B23" s="218"/>
      <c r="C23" s="218"/>
      <c r="D23" s="219"/>
      <c r="E23" s="220"/>
      <c r="F23" s="220" t="s">
        <v>272</v>
      </c>
      <c r="G23" s="220"/>
      <c r="H23" s="220"/>
    </row>
    <row r="24" spans="1:8">
      <c r="A24" s="224" t="s">
        <v>301</v>
      </c>
      <c r="B24" s="224"/>
      <c r="C24" s="224"/>
      <c r="D24" s="224"/>
      <c r="E24" s="220"/>
      <c r="F24" s="220" t="s">
        <v>272</v>
      </c>
      <c r="G24" s="220"/>
      <c r="H24" s="220"/>
    </row>
    <row r="25" spans="1:8">
      <c r="A25" s="217" t="s">
        <v>372</v>
      </c>
      <c r="B25" s="218"/>
      <c r="C25" s="218"/>
      <c r="D25" s="219"/>
      <c r="E25" s="220"/>
      <c r="F25" s="220" t="s">
        <v>272</v>
      </c>
      <c r="G25" s="220"/>
      <c r="H25" s="220"/>
    </row>
    <row r="26" spans="1:8">
      <c r="A26" s="224" t="s">
        <v>286</v>
      </c>
      <c r="B26" s="224"/>
      <c r="C26" s="224"/>
      <c r="D26" s="224"/>
      <c r="E26" s="220"/>
      <c r="F26" s="220" t="s">
        <v>272</v>
      </c>
      <c r="G26" s="220"/>
      <c r="H26" s="220"/>
    </row>
    <row r="27" spans="1:8">
      <c r="A27" s="217"/>
      <c r="B27" s="218"/>
      <c r="C27" s="218"/>
      <c r="D27" s="218"/>
      <c r="E27" s="220"/>
      <c r="F27" s="220"/>
      <c r="G27" s="220"/>
      <c r="H27" s="220"/>
    </row>
    <row r="28" spans="1:8">
      <c r="A28" s="212" t="s">
        <v>302</v>
      </c>
      <c r="B28" s="226"/>
      <c r="C28" s="226"/>
      <c r="D28" s="226"/>
      <c r="E28" s="227"/>
      <c r="F28" s="227"/>
      <c r="G28" s="227"/>
      <c r="H28" s="227"/>
    </row>
    <row r="29" spans="1:8">
      <c r="A29" s="217" t="s">
        <v>332</v>
      </c>
      <c r="B29" s="218"/>
      <c r="C29" s="218"/>
      <c r="D29" s="219"/>
      <c r="E29" s="236"/>
      <c r="F29" s="236"/>
      <c r="G29" s="236" t="s">
        <v>272</v>
      </c>
      <c r="H29" s="236"/>
    </row>
    <row r="30" spans="1:8">
      <c r="A30" s="217" t="s">
        <v>373</v>
      </c>
      <c r="B30" s="218"/>
      <c r="C30" s="218"/>
      <c r="D30" s="219"/>
      <c r="E30" s="236"/>
      <c r="F30" s="236"/>
      <c r="G30" s="236"/>
      <c r="H30" s="236" t="s">
        <v>272</v>
      </c>
    </row>
    <row r="31" spans="1:8">
      <c r="A31" s="217" t="s">
        <v>291</v>
      </c>
      <c r="B31" s="218"/>
      <c r="C31" s="218"/>
      <c r="D31" s="219"/>
      <c r="E31" s="236"/>
      <c r="F31" s="236"/>
      <c r="G31" s="236" t="s">
        <v>272</v>
      </c>
      <c r="H31" s="236"/>
    </row>
    <row r="32" spans="1:8">
      <c r="A32" s="217" t="s">
        <v>305</v>
      </c>
      <c r="B32" s="218"/>
      <c r="C32" s="218"/>
      <c r="D32" s="219"/>
      <c r="E32" s="236"/>
      <c r="F32" s="236"/>
      <c r="G32" s="236"/>
      <c r="H32" s="236" t="s">
        <v>272</v>
      </c>
    </row>
    <row r="33" spans="1:8">
      <c r="A33" s="217" t="s">
        <v>306</v>
      </c>
      <c r="B33" s="218"/>
      <c r="C33" s="218"/>
      <c r="D33" s="219"/>
      <c r="E33" s="236"/>
      <c r="F33" s="236"/>
      <c r="G33" s="236"/>
      <c r="H33" s="236" t="s">
        <v>272</v>
      </c>
    </row>
    <row r="34" spans="1:8">
      <c r="A34" s="217" t="s">
        <v>307</v>
      </c>
      <c r="B34" s="218"/>
      <c r="C34" s="218"/>
      <c r="D34" s="219"/>
      <c r="E34" s="236"/>
      <c r="F34" s="236"/>
      <c r="G34" s="236" t="s">
        <v>272</v>
      </c>
      <c r="H34" s="236"/>
    </row>
    <row r="35" spans="1:8">
      <c r="A35" s="217" t="s">
        <v>308</v>
      </c>
      <c r="B35" s="218"/>
      <c r="C35" s="218"/>
      <c r="D35" s="219"/>
      <c r="E35" s="236"/>
      <c r="F35" s="236"/>
      <c r="G35" s="236"/>
      <c r="H35" s="236" t="s">
        <v>272</v>
      </c>
    </row>
    <row r="36" spans="1:8">
      <c r="A36" s="217" t="s">
        <v>350</v>
      </c>
      <c r="B36" s="218"/>
      <c r="C36" s="218"/>
      <c r="D36" s="219"/>
      <c r="E36" s="236"/>
      <c r="F36" s="236"/>
      <c r="G36" s="236" t="s">
        <v>272</v>
      </c>
      <c r="H36" s="236"/>
    </row>
    <row r="37" spans="1:8">
      <c r="A37" s="217" t="s">
        <v>309</v>
      </c>
      <c r="B37" s="218"/>
      <c r="C37" s="218"/>
      <c r="D37" s="219"/>
      <c r="E37" s="236"/>
      <c r="F37" s="236"/>
      <c r="G37" s="236" t="s">
        <v>272</v>
      </c>
      <c r="H37" s="236"/>
    </row>
    <row r="38" spans="1:8">
      <c r="A38" s="217" t="s">
        <v>374</v>
      </c>
      <c r="B38" s="218"/>
      <c r="C38" s="218"/>
      <c r="D38" s="219"/>
      <c r="E38" s="236"/>
      <c r="F38" s="236"/>
      <c r="G38" s="236" t="s">
        <v>272</v>
      </c>
      <c r="H38" s="236"/>
    </row>
    <row r="39" spans="1:8">
      <c r="A39" s="217"/>
      <c r="B39" s="218"/>
      <c r="C39" s="218"/>
      <c r="D39" s="219"/>
      <c r="E39" s="236"/>
      <c r="F39" s="236"/>
      <c r="G39" s="236"/>
      <c r="H39" s="236"/>
    </row>
    <row r="40" spans="1:8">
      <c r="A40" s="237" t="s">
        <v>310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6" ma:contentTypeDescription="Een nieuw document maken." ma:contentTypeScope="" ma:versionID="c6d9403666d96ba40324e184694503c2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62d1ebe47228ed999d61fc3cbe4d7595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07127-6dfe-4777-9fc9-8a2ccfc388c3">
      <Terms xmlns="http://schemas.microsoft.com/office/infopath/2007/PartnerControls"/>
    </lcf76f155ced4ddcb4097134ff3c332f>
    <TaxCatchAll xmlns="46c995e6-7f53-48aa-a5ad-a9d38912b46a" xsi:nil="true"/>
  </documentManagement>
</p:properties>
</file>

<file path=customXml/itemProps1.xml><?xml version="1.0" encoding="utf-8"?>
<ds:datastoreItem xmlns:ds="http://schemas.openxmlformats.org/officeDocument/2006/customXml" ds:itemID="{79952470-B124-415D-8014-2581EF5533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D36DAE-196B-4873-8487-A0863F5301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01D780-3B97-493C-9478-2802C9533A1F}">
  <ds:schemaRefs>
    <ds:schemaRef ds:uri="http://purl.org/dc/elements/1.1/"/>
    <ds:schemaRef ds:uri="http://schemas.microsoft.com/office/2006/metadata/properties"/>
    <ds:schemaRef ds:uri="8a351851-b85b-4421-a4f3-4d825cd192a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d866c54-a63f-439b-b1c2-0c5e18d4cf6c"/>
    <ds:schemaRef ds:uri="http://schemas.microsoft.com/office/infopath/2007/PartnerControls"/>
    <ds:schemaRef ds:uri="http://www.w3.org/XML/1998/namespace"/>
    <ds:schemaRef ds:uri="http://purl.org/dc/dcmitype/"/>
    <ds:schemaRef ds:uri="5d807127-6dfe-4777-9fc9-8a2ccfc388c3"/>
    <ds:schemaRef ds:uri="46c995e6-7f53-48aa-a5ad-a9d38912b4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18</vt:i4>
      </vt:variant>
      <vt:variant>
        <vt:lpstr>Benoemde bereiken</vt:lpstr>
      </vt:variant>
      <vt:variant>
        <vt:i4>25</vt:i4>
      </vt:variant>
    </vt:vector>
  </HeadingPairs>
  <TitlesOfParts>
    <vt:vector size="43" baseType="lpstr">
      <vt:lpstr>Overnamegegevens</vt:lpstr>
      <vt:lpstr>Locatie</vt:lpstr>
      <vt:lpstr>Minimale wp Verkeersruimten</vt:lpstr>
      <vt:lpstr>Minimale wp Toiletten</vt:lpstr>
      <vt:lpstr>Minimale wp Wasruimten</vt:lpstr>
      <vt:lpstr>Minimale wp Kantoren</vt:lpstr>
      <vt:lpstr>Minimale wp restaurant</vt:lpstr>
      <vt:lpstr>Minimale wp leslokaal</vt:lpstr>
      <vt:lpstr>Minimale wp Activiteitenr</vt:lpstr>
      <vt:lpstr>Minimale wp Vergaderruimte</vt:lpstr>
      <vt:lpstr>Tariefsopbouw</vt:lpstr>
      <vt:lpstr>Dieptereinigen sanitair</vt:lpstr>
      <vt:lpstr>Vloeronderhoud</vt:lpstr>
      <vt:lpstr>dagelijkse inzet aan uren</vt:lpstr>
      <vt:lpstr>Sanitaire voorzieningen</vt:lpstr>
      <vt:lpstr>Glasbewassing</vt:lpstr>
      <vt:lpstr>Regie en afroep</vt:lpstr>
      <vt:lpstr>Totalisatie</vt:lpstr>
      <vt:lpstr>'Minimale wp Verkeersruimten'!_Toc534973915</vt:lpstr>
      <vt:lpstr>'Minimale wp Verkeersruimten'!_Toc534973916</vt:lpstr>
      <vt:lpstr>'Minimale wp Verkeersruimten'!_Toc534973917</vt:lpstr>
      <vt:lpstr>'Minimale wp Verkeersruimten'!_Toc534973919</vt:lpstr>
      <vt:lpstr>'Minimale wp Verkeersruimten'!_Toc534973920</vt:lpstr>
      <vt:lpstr>'Minimale wp Verkeersruimten'!_Toc534973921</vt:lpstr>
      <vt:lpstr>'Minimale wp Verkeersruimten'!_Toc534973922</vt:lpstr>
      <vt:lpstr>'Minimale wp Verkeersruimten'!_Toc534973923</vt:lpstr>
      <vt:lpstr>'Minimale wp Verkeersruimten'!_Toc534973924</vt:lpstr>
      <vt:lpstr>'Minimale wp Verkeersruimten'!_Toc534973926</vt:lpstr>
      <vt:lpstr>'Minimale wp Verkeersruimten'!_Toc534973927</vt:lpstr>
      <vt:lpstr>'Minimale wp Verkeersruimten'!_Toc534973929</vt:lpstr>
      <vt:lpstr>'Minimale wp Verkeersruimten'!_Toc534973930</vt:lpstr>
      <vt:lpstr>'Minimale wp Verkeersruimten'!_Toc534973931</vt:lpstr>
      <vt:lpstr>'Minimale wp Verkeersruimten'!_Toc534973932</vt:lpstr>
      <vt:lpstr>'Minimale wp Verkeersruimten'!_Toc534973933</vt:lpstr>
      <vt:lpstr>'Minimale wp Verkeersruimten'!_Toc534973934</vt:lpstr>
      <vt:lpstr>'Dieptereinigen sanitair'!Afdrukbereik</vt:lpstr>
      <vt:lpstr>Glasbewassing!Afdrukbereik</vt:lpstr>
      <vt:lpstr>'Regie en afroep'!Afdrukbereik</vt:lpstr>
      <vt:lpstr>Tariefsopbouw!Afdrukbereik</vt:lpstr>
      <vt:lpstr>Totalisatie!Afdrukbereik</vt:lpstr>
      <vt:lpstr>Vloeronderhoud!Afdrukbereik</vt:lpstr>
      <vt:lpstr>Invulglas1</vt:lpstr>
      <vt:lpstr>Vloeronderhoud!Invulvloer1</vt:lpstr>
    </vt:vector>
  </TitlesOfParts>
  <Company>Facet Facilitaire Diensten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calculatiesysteem</dc:title>
  <dc:creator>Mark Reichenfeld</dc:creator>
  <cp:lastModifiedBy>Bente Boonk | Inkada</cp:lastModifiedBy>
  <cp:lastPrinted>2022-11-21T08:55:42Z</cp:lastPrinted>
  <dcterms:created xsi:type="dcterms:W3CDTF">1999-03-23T11:24:21Z</dcterms:created>
  <dcterms:modified xsi:type="dcterms:W3CDTF">2022-11-24T13:55:24Z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  <property fmtid="{D5CDD505-2E9C-101B-9397-08002B2CF9AE}" pid="3" name="MediaServiceImageTags">
    <vt:lpwstr/>
  </property>
</Properties>
</file>