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356" documentId="8_{A648D2E4-0A47-4DB4-9E80-D4AA80B11620}" xr6:coauthVersionLast="47" xr6:coauthVersionMax="47" xr10:uidLastSave="{7F214E12-AFBF-475A-A851-7B6461F76D94}"/>
  <bookViews>
    <workbookView xWindow="28680" yWindow="-120" windowWidth="29040" windowHeight="15720" tabRatio="786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2" r:id="rId12"/>
    <sheet name="Logistiek" sheetId="33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'Ruimtestaat'!$B$4:$S$79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'Ruimtestaat'!$A$1:$AG$79</definedName>
    <definedName name="_xlnm.Print_Area" localSheetId="4">Tariefsopbouw!$A$1:$Q$42</definedName>
    <definedName name="_xlnm.Print_Area" localSheetId="14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9" l="1"/>
  <c r="H12" i="19"/>
  <c r="G11" i="19"/>
  <c r="G12" i="19"/>
  <c r="H13" i="19" l="1"/>
  <c r="I12" i="19"/>
  <c r="H5" i="33"/>
  <c r="H4" i="33"/>
  <c r="H3" i="33"/>
  <c r="B13" i="32"/>
  <c r="J54" i="31"/>
  <c r="I51" i="31"/>
  <c r="K51" i="31" s="1"/>
  <c r="I50" i="31"/>
  <c r="K50" i="31" s="1"/>
  <c r="I49" i="31"/>
  <c r="K49" i="31" s="1"/>
  <c r="I48" i="31"/>
  <c r="K48" i="31" s="1"/>
  <c r="I47" i="31"/>
  <c r="K47" i="31" s="1"/>
  <c r="I46" i="31"/>
  <c r="K46" i="31" s="1"/>
  <c r="I45" i="31"/>
  <c r="K45" i="31" s="1"/>
  <c r="I44" i="31"/>
  <c r="K44" i="31" s="1"/>
  <c r="I43" i="31"/>
  <c r="K43" i="31" s="1"/>
  <c r="I42" i="31"/>
  <c r="K42" i="31" s="1"/>
  <c r="I41" i="31"/>
  <c r="K41" i="31" s="1"/>
  <c r="I40" i="31"/>
  <c r="K40" i="31" s="1"/>
  <c r="I39" i="31"/>
  <c r="K39" i="31" s="1"/>
  <c r="I38" i="31"/>
  <c r="K38" i="31" s="1"/>
  <c r="I37" i="31"/>
  <c r="K37" i="31" s="1"/>
  <c r="I36" i="31"/>
  <c r="K36" i="31" s="1"/>
  <c r="I35" i="31"/>
  <c r="K35" i="31" s="1"/>
  <c r="I34" i="31"/>
  <c r="K34" i="31" s="1"/>
  <c r="I33" i="31"/>
  <c r="K33" i="31" s="1"/>
  <c r="I32" i="31"/>
  <c r="K32" i="31" s="1"/>
  <c r="I31" i="31"/>
  <c r="K31" i="31" s="1"/>
  <c r="I30" i="31"/>
  <c r="K30" i="31" s="1"/>
  <c r="I29" i="31"/>
  <c r="K29" i="31" s="1"/>
  <c r="I28" i="31"/>
  <c r="K28" i="31" s="1"/>
  <c r="I27" i="31"/>
  <c r="K27" i="31" s="1"/>
  <c r="I26" i="31"/>
  <c r="K26" i="31" s="1"/>
  <c r="I25" i="31"/>
  <c r="K25" i="31" s="1"/>
  <c r="I24" i="31"/>
  <c r="K24" i="31" s="1"/>
  <c r="I23" i="31"/>
  <c r="K23" i="31" s="1"/>
  <c r="K22" i="31"/>
  <c r="I22" i="31"/>
  <c r="I21" i="31"/>
  <c r="K21" i="31" s="1"/>
  <c r="I20" i="31"/>
  <c r="K20" i="31" s="1"/>
  <c r="I19" i="31"/>
  <c r="K19" i="31" s="1"/>
  <c r="K18" i="31"/>
  <c r="I18" i="31"/>
  <c r="I17" i="31"/>
  <c r="K17" i="31" s="1"/>
  <c r="I16" i="31"/>
  <c r="K16" i="31" s="1"/>
  <c r="I15" i="31"/>
  <c r="K15" i="31" s="1"/>
  <c r="I14" i="31"/>
  <c r="K14" i="31" s="1"/>
  <c r="I13" i="31"/>
  <c r="K13" i="31" s="1"/>
  <c r="I12" i="31"/>
  <c r="K12" i="31" s="1"/>
  <c r="K11" i="31"/>
  <c r="I11" i="31"/>
  <c r="I10" i="31"/>
  <c r="K10" i="31" s="1"/>
  <c r="I9" i="31"/>
  <c r="K9" i="31" s="1"/>
  <c r="I8" i="31"/>
  <c r="K8" i="31" s="1"/>
  <c r="K7" i="31"/>
  <c r="I7" i="31"/>
  <c r="I6" i="31"/>
  <c r="K6" i="31" s="1"/>
  <c r="I5" i="31"/>
  <c r="K5" i="31" s="1"/>
  <c r="G13" i="19"/>
  <c r="K53" i="31" l="1"/>
  <c r="E10" i="26"/>
  <c r="H14" i="26"/>
  <c r="Z77" i="13"/>
  <c r="AA77" i="13" s="1"/>
  <c r="T77" i="13"/>
  <c r="V77" i="13" s="1"/>
  <c r="P77" i="13"/>
  <c r="K77" i="13"/>
  <c r="E77" i="13"/>
  <c r="D77" i="13"/>
  <c r="C77" i="13"/>
  <c r="B77" i="13"/>
  <c r="Z49" i="13"/>
  <c r="AB49" i="13" s="1"/>
  <c r="T49" i="13"/>
  <c r="U49" i="13" s="1"/>
  <c r="W49" i="13" s="1"/>
  <c r="X49" i="13" s="1"/>
  <c r="P49" i="13"/>
  <c r="K49" i="13"/>
  <c r="E49" i="13"/>
  <c r="D49" i="13"/>
  <c r="C49" i="13"/>
  <c r="B49" i="13"/>
  <c r="AB77" i="13" l="1"/>
  <c r="U77" i="13"/>
  <c r="W77" i="13" s="1"/>
  <c r="X77" i="13" s="1"/>
  <c r="AC49" i="13"/>
  <c r="AA49" i="13"/>
  <c r="V49" i="13"/>
  <c r="AE49" i="13" s="1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AE77" i="13" l="1"/>
  <c r="AC77" i="13"/>
  <c r="AF49" i="13"/>
  <c r="AD49" i="13"/>
  <c r="AG49" i="13" s="1"/>
  <c r="G29" i="29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4" i="13"/>
  <c r="AB44" i="13" s="1"/>
  <c r="T44" i="13"/>
  <c r="V44" i="13" s="1"/>
  <c r="P44" i="13"/>
  <c r="K44" i="13"/>
  <c r="E44" i="13"/>
  <c r="D44" i="13"/>
  <c r="C44" i="13"/>
  <c r="B44" i="13"/>
  <c r="AF77" i="13" l="1"/>
  <c r="AD77" i="13"/>
  <c r="AG77" i="13" s="1"/>
  <c r="G30" i="29"/>
  <c r="H24" i="29"/>
  <c r="H30" i="29" s="1"/>
  <c r="AE44" i="13"/>
  <c r="AC44" i="13"/>
  <c r="AA44" i="13"/>
  <c r="U44" i="13"/>
  <c r="W44" i="13" s="1"/>
  <c r="X44" i="13" s="1"/>
  <c r="AF44" i="13" l="1"/>
  <c r="AD44" i="13"/>
  <c r="AG44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59" i="13" l="1"/>
  <c r="AB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V58" i="13" s="1"/>
  <c r="P58" i="13"/>
  <c r="K58" i="13"/>
  <c r="E58" i="13"/>
  <c r="D58" i="13"/>
  <c r="C58" i="13"/>
  <c r="B58" i="13"/>
  <c r="Z57" i="13"/>
  <c r="AA57" i="13" s="1"/>
  <c r="T57" i="13"/>
  <c r="U57" i="13" s="1"/>
  <c r="P57" i="13"/>
  <c r="K57" i="13"/>
  <c r="E57" i="13"/>
  <c r="D57" i="13"/>
  <c r="C57" i="13"/>
  <c r="B57" i="13"/>
  <c r="Z56" i="13"/>
  <c r="AB56" i="13" s="1"/>
  <c r="T56" i="13"/>
  <c r="V56" i="13" s="1"/>
  <c r="P56" i="13"/>
  <c r="K56" i="13"/>
  <c r="E56" i="13"/>
  <c r="D56" i="13"/>
  <c r="C56" i="13"/>
  <c r="B56" i="13"/>
  <c r="Z60" i="13"/>
  <c r="AB60" i="13" s="1"/>
  <c r="T60" i="13"/>
  <c r="V60" i="13" s="1"/>
  <c r="P60" i="13"/>
  <c r="K60" i="13"/>
  <c r="E60" i="13"/>
  <c r="D60" i="13"/>
  <c r="C60" i="13"/>
  <c r="B60" i="13"/>
  <c r="U56" i="13" l="1"/>
  <c r="W56" i="13" s="1"/>
  <c r="X56" i="13" s="1"/>
  <c r="U59" i="13"/>
  <c r="W59" i="13" s="1"/>
  <c r="X59" i="13" s="1"/>
  <c r="AB57" i="13"/>
  <c r="AC57" i="13" s="1"/>
  <c r="AD57" i="13" s="1"/>
  <c r="AA56" i="13"/>
  <c r="V57" i="13"/>
  <c r="W57" i="13" s="1"/>
  <c r="X57" i="13" s="1"/>
  <c r="AB58" i="13"/>
  <c r="AC58" i="13" s="1"/>
  <c r="AD58" i="13" s="1"/>
  <c r="AC56" i="13"/>
  <c r="AD56" i="13" s="1"/>
  <c r="AE56" i="13"/>
  <c r="AC59" i="13"/>
  <c r="AD59" i="13" s="1"/>
  <c r="AE59" i="13"/>
  <c r="U58" i="13"/>
  <c r="W58" i="13" s="1"/>
  <c r="X58" i="13" s="1"/>
  <c r="AA59" i="13"/>
  <c r="U60" i="13"/>
  <c r="W60" i="13" s="1"/>
  <c r="X60" i="13" s="1"/>
  <c r="AC60" i="13"/>
  <c r="AD60" i="13" s="1"/>
  <c r="AE60" i="13"/>
  <c r="AA60" i="13"/>
  <c r="Z47" i="13"/>
  <c r="AA47" i="13" s="1"/>
  <c r="T47" i="13"/>
  <c r="V47" i="13" s="1"/>
  <c r="P47" i="13"/>
  <c r="K47" i="13"/>
  <c r="E47" i="13"/>
  <c r="D47" i="13"/>
  <c r="C47" i="13"/>
  <c r="B47" i="13"/>
  <c r="Z46" i="13"/>
  <c r="AB46" i="13" s="1"/>
  <c r="T46" i="13"/>
  <c r="V46" i="13" s="1"/>
  <c r="P46" i="13"/>
  <c r="K46" i="13"/>
  <c r="E46" i="13"/>
  <c r="D46" i="13"/>
  <c r="C46" i="13"/>
  <c r="B46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E58" i="13" l="1"/>
  <c r="AE57" i="13"/>
  <c r="AF58" i="13"/>
  <c r="AF57" i="13"/>
  <c r="AF59" i="13"/>
  <c r="AF56" i="13"/>
  <c r="AF60" i="13"/>
  <c r="U47" i="13"/>
  <c r="W47" i="13" s="1"/>
  <c r="X47" i="13" s="1"/>
  <c r="AB47" i="13"/>
  <c r="AA29" i="13"/>
  <c r="AE46" i="13"/>
  <c r="AC46" i="13"/>
  <c r="AD46" i="13" s="1"/>
  <c r="U46" i="13"/>
  <c r="W46" i="13" s="1"/>
  <c r="X46" i="13" s="1"/>
  <c r="AA46" i="13"/>
  <c r="V29" i="13"/>
  <c r="AE29" i="13" s="1"/>
  <c r="D14" i="26"/>
  <c r="D15" i="26"/>
  <c r="W29" i="13" l="1"/>
  <c r="X29" i="13" s="1"/>
  <c r="AC47" i="13"/>
  <c r="AD47" i="13" s="1"/>
  <c r="AE47" i="13"/>
  <c r="AF46" i="13"/>
  <c r="T38" i="13"/>
  <c r="Z38" i="13"/>
  <c r="T39" i="13"/>
  <c r="Z39" i="13"/>
  <c r="T40" i="13"/>
  <c r="Z40" i="13"/>
  <c r="AB40" i="13" s="1"/>
  <c r="T41" i="13"/>
  <c r="U41" i="13" s="1"/>
  <c r="Z41" i="13"/>
  <c r="T42" i="13"/>
  <c r="V42" i="13" s="1"/>
  <c r="Z42" i="13"/>
  <c r="AB42" i="13" s="1"/>
  <c r="T43" i="13"/>
  <c r="Z43" i="13"/>
  <c r="T45" i="13"/>
  <c r="Z45" i="13"/>
  <c r="T48" i="13"/>
  <c r="V48" i="13" s="1"/>
  <c r="Z48" i="13"/>
  <c r="T50" i="13"/>
  <c r="Z50" i="13"/>
  <c r="AB50" i="13" s="1"/>
  <c r="T51" i="13"/>
  <c r="V51" i="13" s="1"/>
  <c r="Z51" i="13"/>
  <c r="AB51" i="13" s="1"/>
  <c r="AC51" i="13" s="1"/>
  <c r="AD51" i="13" s="1"/>
  <c r="T52" i="13"/>
  <c r="V52" i="13" s="1"/>
  <c r="Z52" i="13"/>
  <c r="T53" i="13"/>
  <c r="Z53" i="13"/>
  <c r="T54" i="13"/>
  <c r="U54" i="13" s="1"/>
  <c r="Z54" i="13"/>
  <c r="T55" i="13"/>
  <c r="Z55" i="13"/>
  <c r="AB55" i="13" s="1"/>
  <c r="T61" i="13"/>
  <c r="Z61" i="13"/>
  <c r="T62" i="13"/>
  <c r="Z62" i="13"/>
  <c r="T63" i="13"/>
  <c r="U63" i="13" s="1"/>
  <c r="W63" i="13" s="1"/>
  <c r="X63" i="13" s="1"/>
  <c r="Z63" i="13"/>
  <c r="AB63" i="13" s="1"/>
  <c r="T64" i="13"/>
  <c r="U64" i="13" s="1"/>
  <c r="Z64" i="13"/>
  <c r="AB64" i="13" s="1"/>
  <c r="AC64" i="13" s="1"/>
  <c r="AD64" i="13" s="1"/>
  <c r="T65" i="13"/>
  <c r="V65" i="13" s="1"/>
  <c r="Z65" i="13"/>
  <c r="T66" i="13"/>
  <c r="Z66" i="13"/>
  <c r="AB66" i="13" s="1"/>
  <c r="AC66" i="13" s="1"/>
  <c r="AD66" i="13" s="1"/>
  <c r="T67" i="13"/>
  <c r="U67" i="13" s="1"/>
  <c r="Z67" i="13"/>
  <c r="AA67" i="13" s="1"/>
  <c r="T68" i="13"/>
  <c r="U68" i="13" s="1"/>
  <c r="Z68" i="13"/>
  <c r="T69" i="13"/>
  <c r="Z69" i="13"/>
  <c r="T70" i="13"/>
  <c r="Z70" i="13"/>
  <c r="AA70" i="13" s="1"/>
  <c r="T71" i="13"/>
  <c r="Z71" i="13"/>
  <c r="AB71" i="13" s="1"/>
  <c r="T72" i="13"/>
  <c r="V72" i="13" s="1"/>
  <c r="Z72" i="13"/>
  <c r="T73" i="13"/>
  <c r="Z73" i="13"/>
  <c r="T74" i="13"/>
  <c r="Z74" i="13"/>
  <c r="AA74" i="13" s="1"/>
  <c r="T75" i="13"/>
  <c r="V75" i="13" s="1"/>
  <c r="Z75" i="13"/>
  <c r="T76" i="13"/>
  <c r="Z76" i="13"/>
  <c r="T78" i="13"/>
  <c r="Z78" i="13"/>
  <c r="AA78" i="13" s="1"/>
  <c r="T79" i="13"/>
  <c r="U79" i="13" s="1"/>
  <c r="Z79" i="13"/>
  <c r="AB79" i="13" s="1"/>
  <c r="AC79" i="13" s="1"/>
  <c r="AD79" i="13" s="1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7" i="13"/>
  <c r="AA63" i="13"/>
  <c r="AB33" i="13"/>
  <c r="AC33" i="13" s="1"/>
  <c r="AD33" i="13" s="1"/>
  <c r="AA35" i="13"/>
  <c r="V34" i="13"/>
  <c r="AE34" i="13" s="1"/>
  <c r="V16" i="13"/>
  <c r="W16" i="13" s="1"/>
  <c r="X16" i="13" s="1"/>
  <c r="AA66" i="13"/>
  <c r="AB23" i="13"/>
  <c r="AC23" i="13" s="1"/>
  <c r="AD23" i="13" s="1"/>
  <c r="V19" i="13"/>
  <c r="W19" i="13" s="1"/>
  <c r="X19" i="13" s="1"/>
  <c r="AB78" i="13"/>
  <c r="AC78" i="13" s="1"/>
  <c r="AD78" i="13" s="1"/>
  <c r="AB7" i="13"/>
  <c r="AC7" i="13" s="1"/>
  <c r="AD7" i="13" s="1"/>
  <c r="AA24" i="13"/>
  <c r="U72" i="13"/>
  <c r="W72" i="13" s="1"/>
  <c r="X72" i="13" s="1"/>
  <c r="AB70" i="13"/>
  <c r="AC70" i="13" s="1"/>
  <c r="AD70" i="13" s="1"/>
  <c r="AA25" i="13"/>
  <c r="U75" i="13"/>
  <c r="W75" i="13" s="1"/>
  <c r="X75" i="13" s="1"/>
  <c r="U42" i="13"/>
  <c r="W42" i="13" s="1"/>
  <c r="X42" i="13" s="1"/>
  <c r="AA42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79" i="13"/>
  <c r="AA71" i="13"/>
  <c r="V67" i="13"/>
  <c r="W67" i="13" s="1"/>
  <c r="X67" i="13" s="1"/>
  <c r="V54" i="13"/>
  <c r="W54" i="13" s="1"/>
  <c r="X54" i="13" s="1"/>
  <c r="U48" i="13"/>
  <c r="W48" i="13" s="1"/>
  <c r="X48" i="13" s="1"/>
  <c r="V41" i="13"/>
  <c r="AE51" i="13"/>
  <c r="AA50" i="13"/>
  <c r="AB11" i="13"/>
  <c r="AC11" i="13" s="1"/>
  <c r="AD11" i="13" s="1"/>
  <c r="V68" i="13"/>
  <c r="W68" i="13" s="1"/>
  <c r="X68" i="13" s="1"/>
  <c r="AB67" i="13"/>
  <c r="V64" i="13"/>
  <c r="AE64" i="13" s="1"/>
  <c r="AA37" i="13"/>
  <c r="AB18" i="13"/>
  <c r="AC18" i="13" s="1"/>
  <c r="AD18" i="13" s="1"/>
  <c r="AB14" i="13"/>
  <c r="AC14" i="13" s="1"/>
  <c r="AD14" i="13" s="1"/>
  <c r="V7" i="13"/>
  <c r="AA40" i="13"/>
  <c r="V17" i="13"/>
  <c r="U17" i="13"/>
  <c r="U28" i="13"/>
  <c r="V28" i="13"/>
  <c r="AE28" i="13" s="1"/>
  <c r="AB75" i="13"/>
  <c r="AA75" i="13"/>
  <c r="AB48" i="13"/>
  <c r="AA48" i="13"/>
  <c r="V43" i="13"/>
  <c r="U43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V79" i="13"/>
  <c r="AE79" i="13" s="1"/>
  <c r="V73" i="13"/>
  <c r="U73" i="13"/>
  <c r="AA54" i="13"/>
  <c r="AB54" i="13"/>
  <c r="AC54" i="13" s="1"/>
  <c r="AD54" i="13" s="1"/>
  <c r="AC50" i="13"/>
  <c r="AD50" i="13" s="1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AA62" i="13"/>
  <c r="AB62" i="13"/>
  <c r="AC62" i="13" s="1"/>
  <c r="AD62" i="13" s="1"/>
  <c r="AA55" i="13"/>
  <c r="V15" i="13"/>
  <c r="W15" i="13" s="1"/>
  <c r="X15" i="13" s="1"/>
  <c r="AB10" i="13"/>
  <c r="AC10" i="13" s="1"/>
  <c r="AD10" i="13" s="1"/>
  <c r="U9" i="13"/>
  <c r="W9" i="13" s="1"/>
  <c r="X9" i="13" s="1"/>
  <c r="V76" i="13"/>
  <c r="U76" i="13"/>
  <c r="U71" i="13"/>
  <c r="V71" i="13"/>
  <c r="AE71" i="13" s="1"/>
  <c r="V63" i="13"/>
  <c r="AE63" i="13" s="1"/>
  <c r="U55" i="13"/>
  <c r="V55" i="13"/>
  <c r="AE55" i="13" s="1"/>
  <c r="U51" i="13"/>
  <c r="W51" i="13" s="1"/>
  <c r="U50" i="13"/>
  <c r="V50" i="13"/>
  <c r="AE50" i="13" s="1"/>
  <c r="AA45" i="13"/>
  <c r="AB45" i="13"/>
  <c r="AC45" i="13" s="1"/>
  <c r="AD45" i="13" s="1"/>
  <c r="AA41" i="13"/>
  <c r="AB41" i="13"/>
  <c r="AC41" i="13" s="1"/>
  <c r="AD41" i="13" s="1"/>
  <c r="U74" i="13"/>
  <c r="AB72" i="13"/>
  <c r="AA72" i="13"/>
  <c r="AC63" i="13"/>
  <c r="AA53" i="13"/>
  <c r="AB53" i="13"/>
  <c r="AC53" i="13" s="1"/>
  <c r="AD53" i="13" s="1"/>
  <c r="U38" i="13"/>
  <c r="V38" i="13"/>
  <c r="W41" i="13"/>
  <c r="X41" i="13" s="1"/>
  <c r="V69" i="13"/>
  <c r="U69" i="13"/>
  <c r="V39" i="13"/>
  <c r="U39" i="13"/>
  <c r="U78" i="13"/>
  <c r="V78" i="13"/>
  <c r="AC71" i="13"/>
  <c r="AD71" i="13" s="1"/>
  <c r="AA52" i="13"/>
  <c r="AB52" i="13"/>
  <c r="U70" i="13"/>
  <c r="V70" i="13"/>
  <c r="AA76" i="13"/>
  <c r="AB76" i="13"/>
  <c r="AA65" i="13"/>
  <c r="AB65" i="13"/>
  <c r="V61" i="13"/>
  <c r="U61" i="13"/>
  <c r="AA39" i="13"/>
  <c r="AB39" i="13"/>
  <c r="AA69" i="13"/>
  <c r="AB69" i="13"/>
  <c r="U66" i="13"/>
  <c r="V66" i="13"/>
  <c r="AE66" i="13" s="1"/>
  <c r="U53" i="13"/>
  <c r="V53" i="13"/>
  <c r="AC42" i="13"/>
  <c r="AD42" i="13" s="1"/>
  <c r="AE42" i="13"/>
  <c r="AB38" i="13"/>
  <c r="AA38" i="13"/>
  <c r="AB68" i="13"/>
  <c r="AA68" i="13"/>
  <c r="AC55" i="13"/>
  <c r="AD55" i="13" s="1"/>
  <c r="AC40" i="13"/>
  <c r="AD40" i="13" s="1"/>
  <c r="U40" i="13"/>
  <c r="V40" i="13"/>
  <c r="AE40" i="13" s="1"/>
  <c r="U65" i="13"/>
  <c r="W65" i="13" s="1"/>
  <c r="X65" i="13" s="1"/>
  <c r="AA64" i="13"/>
  <c r="U62" i="13"/>
  <c r="V62" i="13"/>
  <c r="AA61" i="13"/>
  <c r="AB61" i="13"/>
  <c r="U52" i="13"/>
  <c r="W52" i="13" s="1"/>
  <c r="X52" i="13" s="1"/>
  <c r="AA51" i="13"/>
  <c r="U45" i="13"/>
  <c r="V45" i="13"/>
  <c r="AA43" i="13"/>
  <c r="AB43" i="13"/>
  <c r="AA73" i="13"/>
  <c r="AB73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AF51" i="13" l="1"/>
  <c r="X51" i="13"/>
  <c r="AF63" i="13"/>
  <c r="AD63" i="13"/>
  <c r="W34" i="13"/>
  <c r="W8" i="13"/>
  <c r="W78" i="13"/>
  <c r="X78" i="13" s="1"/>
  <c r="W66" i="13"/>
  <c r="X66" i="13" s="1"/>
  <c r="W79" i="13"/>
  <c r="W24" i="13"/>
  <c r="W39" i="13"/>
  <c r="X39" i="13" s="1"/>
  <c r="AE45" i="13"/>
  <c r="AF33" i="13"/>
  <c r="W64" i="13"/>
  <c r="W35" i="13"/>
  <c r="AE7" i="13"/>
  <c r="AE23" i="13"/>
  <c r="W73" i="13"/>
  <c r="X73" i="13" s="1"/>
  <c r="AE18" i="13"/>
  <c r="W38" i="13"/>
  <c r="X38" i="13" s="1"/>
  <c r="W17" i="13"/>
  <c r="X17" i="13" s="1"/>
  <c r="W25" i="13"/>
  <c r="AE33" i="13"/>
  <c r="W7" i="13"/>
  <c r="AE53" i="13"/>
  <c r="AE78" i="13"/>
  <c r="AF32" i="13"/>
  <c r="AE62" i="13"/>
  <c r="AE70" i="13"/>
  <c r="AE10" i="13"/>
  <c r="AE14" i="13"/>
  <c r="AF41" i="13"/>
  <c r="AE37" i="13"/>
  <c r="AE32" i="13"/>
  <c r="AE54" i="13"/>
  <c r="AE11" i="13"/>
  <c r="AC67" i="13"/>
  <c r="AE67" i="13"/>
  <c r="AF15" i="13"/>
  <c r="AF37" i="13"/>
  <c r="AF12" i="13"/>
  <c r="AF11" i="13"/>
  <c r="AC75" i="13"/>
  <c r="AD75" i="13" s="1"/>
  <c r="AE75" i="13"/>
  <c r="AE15" i="13"/>
  <c r="W18" i="13"/>
  <c r="W10" i="13"/>
  <c r="X10" i="13" s="1"/>
  <c r="AE41" i="13"/>
  <c r="W62" i="13"/>
  <c r="W40" i="13"/>
  <c r="X40" i="13" s="1"/>
  <c r="W50" i="13"/>
  <c r="X50" i="13" s="1"/>
  <c r="W71" i="13"/>
  <c r="X71" i="13" s="1"/>
  <c r="AF54" i="13"/>
  <c r="AC19" i="13"/>
  <c r="AD19" i="13" s="1"/>
  <c r="AE19" i="13"/>
  <c r="AC48" i="13"/>
  <c r="AD48" i="13" s="1"/>
  <c r="AE48" i="13"/>
  <c r="W28" i="13"/>
  <c r="X28" i="13" s="1"/>
  <c r="W14" i="13"/>
  <c r="W55" i="13"/>
  <c r="X55" i="13" s="1"/>
  <c r="AC16" i="13"/>
  <c r="AD16" i="13" s="1"/>
  <c r="AE16" i="13"/>
  <c r="W61" i="13"/>
  <c r="X61" i="13" s="1"/>
  <c r="AC72" i="13"/>
  <c r="AD72" i="13" s="1"/>
  <c r="AE72" i="13"/>
  <c r="W76" i="13"/>
  <c r="X76" i="13" s="1"/>
  <c r="W43" i="13"/>
  <c r="X43" i="13" s="1"/>
  <c r="AE43" i="13"/>
  <c r="AC43" i="13"/>
  <c r="AD43" i="13" s="1"/>
  <c r="AC68" i="13"/>
  <c r="AD68" i="13" s="1"/>
  <c r="AE68" i="13"/>
  <c r="AC73" i="13"/>
  <c r="AD73" i="13" s="1"/>
  <c r="AE73" i="13"/>
  <c r="W45" i="13"/>
  <c r="X45" i="13" s="1"/>
  <c r="AC38" i="13"/>
  <c r="AD38" i="13" s="1"/>
  <c r="AE38" i="13"/>
  <c r="AE69" i="13"/>
  <c r="AC69" i="13"/>
  <c r="AD69" i="13" s="1"/>
  <c r="W70" i="13"/>
  <c r="X70" i="13" s="1"/>
  <c r="W69" i="13"/>
  <c r="X69" i="13" s="1"/>
  <c r="AE39" i="13"/>
  <c r="AC39" i="13"/>
  <c r="AD39" i="13" s="1"/>
  <c r="AE65" i="13"/>
  <c r="AC65" i="13"/>
  <c r="AD65" i="13" s="1"/>
  <c r="AE76" i="13"/>
  <c r="AC76" i="13"/>
  <c r="AD76" i="13" s="1"/>
  <c r="AE61" i="13"/>
  <c r="AC61" i="13"/>
  <c r="AD61" i="13" s="1"/>
  <c r="AF42" i="13"/>
  <c r="W53" i="13"/>
  <c r="X53" i="13" s="1"/>
  <c r="AE52" i="13"/>
  <c r="AC52" i="13"/>
  <c r="AD52" i="13" s="1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AF78" i="13" l="1"/>
  <c r="AF66" i="13"/>
  <c r="AF18" i="13"/>
  <c r="X18" i="13"/>
  <c r="AF8" i="13"/>
  <c r="X8" i="13"/>
  <c r="AF7" i="13"/>
  <c r="X7" i="13"/>
  <c r="AF34" i="13"/>
  <c r="X34" i="13"/>
  <c r="AF67" i="13"/>
  <c r="AD67" i="13"/>
  <c r="AF25" i="13"/>
  <c r="X25" i="13"/>
  <c r="AF24" i="13"/>
  <c r="X24" i="13"/>
  <c r="AF62" i="13"/>
  <c r="X62" i="13"/>
  <c r="AF35" i="13"/>
  <c r="X35" i="13"/>
  <c r="AF64" i="13"/>
  <c r="X64" i="13"/>
  <c r="AF79" i="13"/>
  <c r="X79" i="13"/>
  <c r="AF14" i="13"/>
  <c r="X14" i="13"/>
  <c r="AF72" i="13"/>
  <c r="AF19" i="13"/>
  <c r="AF10" i="13"/>
  <c r="AF40" i="13"/>
  <c r="AF50" i="13"/>
  <c r="AF75" i="13"/>
  <c r="AF55" i="13"/>
  <c r="AF71" i="13"/>
  <c r="AF16" i="13"/>
  <c r="AF28" i="13"/>
  <c r="AF48" i="13"/>
  <c r="AF73" i="13"/>
  <c r="AF76" i="13"/>
  <c r="AF39" i="13"/>
  <c r="AF43" i="13"/>
  <c r="AF61" i="13"/>
  <c r="AF53" i="13"/>
  <c r="AF65" i="13"/>
  <c r="AF69" i="13"/>
  <c r="AF52" i="13"/>
  <c r="AF70" i="13"/>
  <c r="AF38" i="13"/>
  <c r="AF45" i="13"/>
  <c r="AF68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4" i="13"/>
  <c r="V74" i="13"/>
  <c r="W74" i="13" s="1"/>
  <c r="X74" i="13" s="1"/>
  <c r="AB21" i="13"/>
  <c r="V21" i="13"/>
  <c r="W21" i="13" s="1"/>
  <c r="X21" i="13" s="1"/>
  <c r="AC21" i="13" l="1"/>
  <c r="AD21" i="13" s="1"/>
  <c r="AE21" i="13"/>
  <c r="AC74" i="13"/>
  <c r="AD74" i="13" s="1"/>
  <c r="AE74" i="13"/>
  <c r="AC27" i="13"/>
  <c r="AD27" i="13" s="1"/>
  <c r="AE27" i="13"/>
  <c r="F21" i="25"/>
  <c r="F22" i="25"/>
  <c r="F24" i="25"/>
  <c r="AF27" i="13" l="1"/>
  <c r="AF21" i="13"/>
  <c r="AF74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5" i="13"/>
  <c r="E48" i="13"/>
  <c r="E50" i="13"/>
  <c r="E51" i="13"/>
  <c r="E52" i="13"/>
  <c r="E53" i="13"/>
  <c r="E54" i="13"/>
  <c r="E55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8" i="13"/>
  <c r="E79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5" i="13"/>
  <c r="D48" i="13"/>
  <c r="D50" i="13"/>
  <c r="D51" i="13"/>
  <c r="D52" i="13"/>
  <c r="D53" i="13"/>
  <c r="D54" i="13"/>
  <c r="D55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8" i="13"/>
  <c r="D79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5" i="13"/>
  <c r="C48" i="13"/>
  <c r="C50" i="13"/>
  <c r="C51" i="13"/>
  <c r="C52" i="13"/>
  <c r="C53" i="13"/>
  <c r="C54" i="13"/>
  <c r="C55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8" i="13"/>
  <c r="C79" i="13"/>
  <c r="H15" i="26" l="1"/>
  <c r="B11" i="19" l="1"/>
  <c r="T6" i="13" l="1"/>
  <c r="B24" i="25"/>
  <c r="B22" i="25"/>
  <c r="B21" i="25"/>
  <c r="C6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5" i="13"/>
  <c r="P48" i="13"/>
  <c r="P50" i="13"/>
  <c r="P51" i="13"/>
  <c r="P52" i="13"/>
  <c r="P53" i="13"/>
  <c r="P54" i="13"/>
  <c r="P55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8" i="13"/>
  <c r="P79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5" i="13"/>
  <c r="K48" i="13"/>
  <c r="K50" i="13"/>
  <c r="K51" i="13"/>
  <c r="K52" i="13"/>
  <c r="K53" i="13"/>
  <c r="K54" i="13"/>
  <c r="K55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8" i="13"/>
  <c r="K79" i="13"/>
  <c r="B6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5" i="13"/>
  <c r="B48" i="13"/>
  <c r="B50" i="13"/>
  <c r="B51" i="13"/>
  <c r="B52" i="13"/>
  <c r="B53" i="13"/>
  <c r="B54" i="13"/>
  <c r="B55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8" i="13"/>
  <c r="B79" i="13"/>
  <c r="B6" i="13"/>
  <c r="B24" i="29" l="1"/>
  <c r="B25" i="29"/>
  <c r="B26" i="29"/>
  <c r="B27" i="29"/>
  <c r="B28" i="29"/>
  <c r="B29" i="29"/>
  <c r="D11" i="19"/>
  <c r="H25" i="25"/>
  <c r="F11" i="19" l="1"/>
  <c r="I11" i="19" s="1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F13" i="19" l="1"/>
  <c r="C7" i="19"/>
  <c r="AB6" i="13"/>
  <c r="AC6" i="13" l="1"/>
  <c r="AD6" i="13" s="1"/>
  <c r="AG55" i="13" l="1"/>
  <c r="AG19" i="13"/>
  <c r="AG48" i="13"/>
  <c r="AG29" i="13"/>
  <c r="AG28" i="13"/>
  <c r="AG27" i="13"/>
  <c r="AG76" i="13"/>
  <c r="AG11" i="13"/>
  <c r="AG71" i="13"/>
  <c r="AG70" i="13"/>
  <c r="AG8" i="13"/>
  <c r="AG12" i="13"/>
  <c r="AG67" i="13"/>
  <c r="AG63" i="13"/>
  <c r="AG66" i="13"/>
  <c r="AG62" i="13"/>
  <c r="AG7" i="13"/>
  <c r="AG40" i="13"/>
  <c r="AG50" i="13"/>
  <c r="AG41" i="13"/>
  <c r="AG61" i="13"/>
  <c r="AG75" i="13"/>
  <c r="AG36" i="13"/>
  <c r="AG73" i="13"/>
  <c r="AG16" i="13"/>
  <c r="AG69" i="13"/>
  <c r="AG38" i="13"/>
  <c r="AG33" i="13"/>
  <c r="AG14" i="13"/>
  <c r="AG23" i="13"/>
  <c r="AG51" i="13"/>
  <c r="E11" i="19"/>
  <c r="E13" i="19" s="1"/>
  <c r="H16" i="26"/>
  <c r="AG17" i="13"/>
  <c r="AG21" i="13"/>
  <c r="AG24" i="13"/>
  <c r="V6" i="13"/>
  <c r="AE6" i="13" s="1"/>
  <c r="U6" i="13"/>
  <c r="AG72" i="13" l="1"/>
  <c r="AG15" i="13"/>
  <c r="AG43" i="13"/>
  <c r="AG64" i="13"/>
  <c r="AG31" i="13"/>
  <c r="AG18" i="13"/>
  <c r="AG74" i="13"/>
  <c r="AG32" i="13"/>
  <c r="AG65" i="13"/>
  <c r="AG37" i="13"/>
  <c r="AG10" i="13"/>
  <c r="AG52" i="13"/>
  <c r="AG68" i="13"/>
  <c r="AG53" i="13"/>
  <c r="AG22" i="13"/>
  <c r="AG45" i="13"/>
  <c r="AG25" i="13"/>
  <c r="AG30" i="13"/>
  <c r="AG59" i="13"/>
  <c r="AG60" i="13"/>
  <c r="AG56" i="13"/>
  <c r="AG20" i="13"/>
  <c r="AG58" i="13"/>
  <c r="AG47" i="13"/>
  <c r="AG46" i="13"/>
  <c r="AG57" i="13"/>
  <c r="AG5" i="13"/>
  <c r="AG78" i="13"/>
  <c r="AG35" i="13"/>
  <c r="AG79" i="13"/>
  <c r="AG34" i="13"/>
  <c r="AG13" i="13"/>
  <c r="AG54" i="13"/>
  <c r="AG9" i="13"/>
  <c r="AG39" i="13"/>
  <c r="AG42" i="13"/>
  <c r="AG26" i="13"/>
  <c r="W6" i="13"/>
  <c r="X6" i="13" l="1"/>
  <c r="AG6" i="13" s="1"/>
  <c r="AF6" i="13"/>
  <c r="D6" i="19" l="1"/>
  <c r="D7" i="19" s="1"/>
  <c r="G6" i="19" l="1"/>
  <c r="E6" i="19" l="1"/>
  <c r="E7" i="19" s="1"/>
  <c r="C11" i="19"/>
  <c r="G7" i="19"/>
  <c r="H6" i="19"/>
  <c r="I13" i="19" l="1"/>
  <c r="F7" i="19"/>
  <c r="H7" i="19"/>
  <c r="C13" i="19"/>
  <c r="F6" i="19"/>
</calcChain>
</file>

<file path=xl/sharedStrings.xml><?xml version="1.0" encoding="utf-8"?>
<sst xmlns="http://schemas.openxmlformats.org/spreadsheetml/2006/main" count="1636" uniqueCount="715">
  <si>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</si>
  <si>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</si>
  <si>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</si>
  <si>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</si>
  <si>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</si>
  <si>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</si>
  <si>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</si>
  <si>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</si>
  <si>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</si>
  <si>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</si>
  <si>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</si>
  <si>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</si>
  <si>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</si>
  <si>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</si>
  <si>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</si>
  <si>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</si>
  <si>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</si>
  <si>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</si>
  <si>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</si>
  <si>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</si>
  <si>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</si>
  <si>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</si>
  <si>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</si>
  <si>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</si>
  <si>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</si>
  <si>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</si>
  <si>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</si>
  <si>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</si>
  <si>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</si>
  <si>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</si>
  <si>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</si>
  <si>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</si>
  <si>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</si>
  <si>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</si>
  <si>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</si>
  <si>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</si>
  <si>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</si>
  <si>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</si>
  <si>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</si>
  <si>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</si>
  <si>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</si>
  <si>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</si>
  <si>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</si>
  <si>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</si>
  <si>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</si>
  <si>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</si>
  <si>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</si>
  <si>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</si>
  <si>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</si>
  <si>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</si>
  <si>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</si>
  <si>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</si>
  <si>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</si>
  <si>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</si>
  <si>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</si>
  <si>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</si>
  <si>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</si>
  <si>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</si>
  <si>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</si>
  <si>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</si>
  <si>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</si>
  <si>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</si>
  <si>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</si>
  <si>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</si>
  <si>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</si>
  <si>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</si>
  <si>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</si>
  <si>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</si>
  <si>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</si>
  <si>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</si>
  <si>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</si>
  <si>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</si>
  <si>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</si>
  <si>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</si>
  <si>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</si>
  <si>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</si>
  <si>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</si>
  <si>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</si>
  <si>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</si>
  <si>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</si>
  <si>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</si>
  <si>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</si>
  <si>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</si>
  <si>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</si>
  <si>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</si>
  <si>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</si>
  <si>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</si>
  <si>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</si>
  <si>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</si>
  <si>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</si>
  <si>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</si>
  <si>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</si>
  <si>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</si>
  <si>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</si>
  <si>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</si>
  <si>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</si>
  <si>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</si>
  <si>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</si>
  <si>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</si>
  <si>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</si>
  <si>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</si>
  <si>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</si>
  <si>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</si>
  <si>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</si>
  <si>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</si>
  <si>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</si>
  <si>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</si>
  <si>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</si>
  <si>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</si>
  <si>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</si>
  <si>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</si>
  <si>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</si>
  <si>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</si>
  <si>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</si>
  <si>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</si>
  <si>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</si>
  <si>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</si>
  <si>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</si>
  <si>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</si>
  <si>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</si>
  <si>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</si>
  <si>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</si>
  <si>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</si>
  <si>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</si>
  <si>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</si>
  <si>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</si>
  <si>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</si>
  <si>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</si>
  <si>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</si>
  <si>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</si>
  <si>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</si>
  <si>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</si>
  <si>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</si>
  <si>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</si>
  <si>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</si>
  <si>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</si>
  <si>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</si>
  <si>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</si>
  <si>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</si>
  <si>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</si>
  <si>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</si>
  <si>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</si>
  <si>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</si>
  <si>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</si>
  <si>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</si>
  <si>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</si>
  <si>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</si>
  <si>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</si>
  <si>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</si>
  <si>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</si>
  <si>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</si>
  <si>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</si>
  <si>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</si>
  <si>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</si>
  <si>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</si>
  <si>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</si>
  <si>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</si>
  <si>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</si>
  <si>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</si>
  <si>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</si>
  <si>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</si>
  <si>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</si>
  <si>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</si>
  <si>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</si>
  <si>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</si>
  <si>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</si>
  <si>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</si>
  <si>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</si>
  <si>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</si>
  <si>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</si>
  <si>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</si>
  <si>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</si>
  <si>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</si>
  <si>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</si>
  <si>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</si>
  <si>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</si>
  <si>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</si>
  <si>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</si>
  <si>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</si>
  <si>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</si>
  <si>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</si>
  <si>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</si>
  <si>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</si>
  <si>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</si>
  <si>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</si>
  <si>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</si>
  <si>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</si>
  <si>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</si>
  <si>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</si>
  <si>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</si>
  <si>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</si>
  <si>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</si>
  <si>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</si>
  <si>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</si>
  <si>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</si>
  <si>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</si>
  <si>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</si>
  <si>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</si>
  <si>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</si>
  <si>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</si>
  <si>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</si>
  <si>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</si>
  <si>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</si>
  <si>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</si>
  <si>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</si>
  <si>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</si>
  <si>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</si>
  <si>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</si>
  <si>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</si>
  <si>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</si>
  <si>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</si>
  <si>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</si>
  <si>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</si>
  <si>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</si>
  <si>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</si>
  <si>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</si>
  <si>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</si>
  <si>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</si>
  <si>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</si>
  <si>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</si>
  <si>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</si>
  <si>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</si>
  <si>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</si>
  <si>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</si>
  <si>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</si>
  <si>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</si>
  <si>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</si>
  <si>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</si>
  <si>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</si>
  <si>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</si>
  <si>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</si>
  <si>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</si>
  <si>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</si>
  <si>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</si>
  <si>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</si>
  <si>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</si>
  <si>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</si>
  <si>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</si>
  <si>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</si>
  <si>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</si>
  <si>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</si>
  <si>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</si>
  <si>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</si>
  <si>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</si>
  <si>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</si>
  <si>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</si>
  <si>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</si>
  <si>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</si>
  <si>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</si>
  <si>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</si>
  <si>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</si>
  <si>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</si>
  <si>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</si>
  <si>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</si>
  <si>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</si>
  <si>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</si>
  <si>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</si>
  <si>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</si>
  <si>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</si>
  <si>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</si>
  <si>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</si>
  <si>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</si>
  <si>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</si>
  <si>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</si>
  <si>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</si>
  <si>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</si>
  <si>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</si>
  <si>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</si>
  <si>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</si>
  <si>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</si>
  <si>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</si>
  <si>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</si>
  <si>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</si>
  <si>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</si>
  <si>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</si>
  <si>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</si>
  <si>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</si>
  <si>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</si>
  <si>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</si>
  <si>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</si>
  <si>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</si>
  <si>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</si>
  <si>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</si>
  <si>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</si>
  <si>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</si>
  <si>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</si>
  <si>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</si>
  <si>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</si>
  <si>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</si>
  <si>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</si>
  <si>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</si>
  <si>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</si>
  <si>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</si>
  <si>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</si>
  <si>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</si>
  <si>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</si>
  <si>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</si>
  <si>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</si>
  <si>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</si>
  <si>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</si>
  <si>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</si>
  <si>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</si>
  <si>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</si>
  <si>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</si>
  <si>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</si>
  <si>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</si>
  <si>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</si>
  <si>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</si>
  <si>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</si>
  <si>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</si>
  <si>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</si>
  <si>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</si>
  <si>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</si>
  <si>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</si>
  <si>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</si>
  <si>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</si>
  <si>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</si>
  <si>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</si>
  <si>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</si>
  <si>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</si>
  <si>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</si>
  <si>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</si>
  <si>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</si>
  <si>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</si>
  <si>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</si>
  <si>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</si>
  <si>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</si>
  <si>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</si>
  <si>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</si>
  <si>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</si>
  <si>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</si>
  <si>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</si>
  <si>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</si>
  <si>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</si>
  <si>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</si>
  <si>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</si>
  <si>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</si>
  <si>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</si>
  <si>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</si>
  <si>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</si>
  <si>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</si>
  <si>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</si>
  <si>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</si>
  <si>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</si>
  <si>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</si>
  <si>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</si>
  <si>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</si>
  <si>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</si>
  <si>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</si>
  <si>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</si>
  <si>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</si>
  <si>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</si>
  <si>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</si>
  <si>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</si>
  <si>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</si>
  <si>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</si>
  <si>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</si>
  <si>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</si>
  <si>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</si>
  <si>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</si>
  <si>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</si>
  <si>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</si>
  <si>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</si>
  <si>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</si>
  <si>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</si>
  <si>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</si>
  <si>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</si>
  <si>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</si>
  <si>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</si>
  <si>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</si>
  <si>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</si>
  <si>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</si>
  <si>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</si>
  <si>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</si>
  <si>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</si>
  <si>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</si>
  <si>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</si>
  <si>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</si>
  <si>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</si>
  <si>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</si>
  <si>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</si>
  <si>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</si>
  <si>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</si>
  <si>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</si>
  <si>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</si>
  <si>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</si>
  <si>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</si>
  <si>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</si>
  <si>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</si>
  <si>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</si>
  <si>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</si>
  <si>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</si>
  <si>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</si>
  <si>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</si>
  <si>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</si>
  <si>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</si>
  <si>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</si>
  <si>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</si>
  <si>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</si>
  <si>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</si>
  <si>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</si>
  <si>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</si>
  <si>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</si>
  <si>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</si>
  <si>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</si>
  <si>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</si>
  <si>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</si>
  <si>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</si>
  <si>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</si>
  <si>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</si>
  <si>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</si>
  <si>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</si>
  <si>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</si>
  <si>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Flotex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</si>
  <si>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</si>
  <si>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</si>
  <si>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</si>
  <si>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</si>
  <si>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</si>
  <si>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</si>
  <si>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</si>
  <si>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</si>
  <si>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</si>
  <si>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</si>
  <si>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</si>
  <si>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</si>
  <si>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</si>
  <si>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</si>
  <si>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</si>
  <si>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</si>
  <si>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</si>
  <si>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</si>
  <si>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</si>
  <si>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</si>
  <si>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</si>
  <si>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Frequentie</t>
  </si>
  <si>
    <t>Kosten/jaar incl. BTW</t>
  </si>
  <si>
    <t>Zonnepanelen</t>
  </si>
  <si>
    <t>Hoornbeeck College Apeldoorn</t>
  </si>
  <si>
    <t>Musschenbroekstraat 11</t>
  </si>
  <si>
    <t>7316 JD</t>
  </si>
  <si>
    <t>Apeldoorn</t>
  </si>
  <si>
    <t>2e verdieping</t>
  </si>
  <si>
    <t>A2.29</t>
  </si>
  <si>
    <t>Hal 2</t>
  </si>
  <si>
    <t>A2.30</t>
  </si>
  <si>
    <t>Studie Zorg</t>
  </si>
  <si>
    <t>B2.31</t>
  </si>
  <si>
    <t>Handelcentrum</t>
  </si>
  <si>
    <t>B2.32</t>
  </si>
  <si>
    <t>Tutor</t>
  </si>
  <si>
    <t>B2.33</t>
  </si>
  <si>
    <t>Leslokaal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</si>
  <si>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</si>
  <si>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</si>
  <si>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</si>
  <si>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</si>
  <si>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</si>
  <si>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</si>
  <si>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</si>
  <si>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</si>
  <si>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</si>
  <si>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Gang</t>
  </si>
  <si>
    <t>B2.43</t>
  </si>
  <si>
    <t>B2.44</t>
  </si>
  <si>
    <t>B2.45</t>
  </si>
  <si>
    <t>1e verdieping</t>
  </si>
  <si>
    <t>A1.01</t>
  </si>
  <si>
    <t>A1.02</t>
  </si>
  <si>
    <t>A1.03</t>
  </si>
  <si>
    <t>Verdeelkast</t>
  </si>
  <si>
    <t>VK</t>
  </si>
  <si>
    <t>A1.05</t>
  </si>
  <si>
    <t>Toiletten Jongens</t>
  </si>
  <si>
    <t>A1.06</t>
  </si>
  <si>
    <t>Toiletten Meisjes</t>
  </si>
  <si>
    <t>A1.07</t>
  </si>
  <si>
    <t>Miva Toilet</t>
  </si>
  <si>
    <t>Toilet</t>
  </si>
  <si>
    <t>A1.08</t>
  </si>
  <si>
    <t>Werkkast</t>
  </si>
  <si>
    <t>A1.09</t>
  </si>
  <si>
    <t>Berging</t>
  </si>
  <si>
    <t>A1.10</t>
  </si>
  <si>
    <t>A1.11</t>
  </si>
  <si>
    <t>A1.12</t>
  </si>
  <si>
    <t>Leslokaal Muziek</t>
  </si>
  <si>
    <t>A1.14</t>
  </si>
  <si>
    <t>A1.15</t>
  </si>
  <si>
    <t>Neven trappenhuis</t>
  </si>
  <si>
    <t>A1.16</t>
  </si>
  <si>
    <t>A1.17</t>
  </si>
  <si>
    <t>Creatieve vak lokaal</t>
  </si>
  <si>
    <t>A1.18</t>
  </si>
  <si>
    <t>A1.19</t>
  </si>
  <si>
    <t>A1.20</t>
  </si>
  <si>
    <t>Leslokaal ICT</t>
  </si>
  <si>
    <t>A1.21</t>
  </si>
  <si>
    <t>A1.22</t>
  </si>
  <si>
    <t>Dakterras</t>
  </si>
  <si>
    <t>A1.24</t>
  </si>
  <si>
    <t>A1.26</t>
  </si>
  <si>
    <t>A1.27</t>
  </si>
  <si>
    <t>Patch kast</t>
  </si>
  <si>
    <t>A2.01</t>
  </si>
  <si>
    <t>A2.02</t>
  </si>
  <si>
    <t>A2.03</t>
  </si>
  <si>
    <t>A2.04</t>
  </si>
  <si>
    <t>Vk</t>
  </si>
  <si>
    <t>A2.05</t>
  </si>
  <si>
    <t>A2.06</t>
  </si>
  <si>
    <t>A2.07</t>
  </si>
  <si>
    <t>Docent toilet dames</t>
  </si>
  <si>
    <t>A2.08</t>
  </si>
  <si>
    <t>Docent toilet heren</t>
  </si>
  <si>
    <t>A2.09</t>
  </si>
  <si>
    <t>A2.10</t>
  </si>
  <si>
    <t>Magazijn/server</t>
  </si>
  <si>
    <t>A2.11</t>
  </si>
  <si>
    <t>A2.12</t>
  </si>
  <si>
    <t>Installatieruimte</t>
  </si>
  <si>
    <t>A2.13</t>
  </si>
  <si>
    <t>A2.14</t>
  </si>
  <si>
    <t>A2.15</t>
  </si>
  <si>
    <t>A2.16</t>
  </si>
  <si>
    <t>A2.17</t>
  </si>
  <si>
    <t>A2.18</t>
  </si>
  <si>
    <t>Kantoor tuin</t>
  </si>
  <si>
    <t>A2.19</t>
  </si>
  <si>
    <t>Kantoor tuin 2</t>
  </si>
  <si>
    <t>A2.20</t>
  </si>
  <si>
    <t>A2.21</t>
  </si>
  <si>
    <t>A2.22</t>
  </si>
  <si>
    <t>Gangzone</t>
  </si>
  <si>
    <t>A2.23</t>
  </si>
  <si>
    <t>A2.25</t>
  </si>
  <si>
    <t>A2.26</t>
  </si>
  <si>
    <t>A2.27</t>
  </si>
  <si>
    <t>A2.28</t>
  </si>
  <si>
    <t>Gietvloer</t>
  </si>
  <si>
    <t>Glasbewassing
Kosten / jaar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</si>
  <si>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</si>
  <si>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</si>
  <si>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</si>
  <si>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</si>
  <si>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</si>
  <si>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</si>
  <si>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</si>
  <si>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</si>
  <si>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</si>
  <si>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</si>
  <si>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</si>
  <si>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</si>
  <si>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</si>
  <si>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</si>
  <si>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</si>
  <si>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Oppervlakte, dagen of stuks</t>
  </si>
  <si>
    <t>A1.29</t>
  </si>
  <si>
    <t>A1.28</t>
  </si>
  <si>
    <t>A1.34</t>
  </si>
  <si>
    <t>Doc werkkamer welzijn</t>
  </si>
  <si>
    <t>Vergaderruimte</t>
  </si>
  <si>
    <t>Zorgkunde</t>
  </si>
  <si>
    <t>Leerplein</t>
  </si>
  <si>
    <t>A1.23</t>
  </si>
  <si>
    <t>Collegezaal</t>
  </si>
  <si>
    <t>Werkkamer gez zorg</t>
  </si>
  <si>
    <t>Werkkamer</t>
  </si>
  <si>
    <t>Technische ruimte</t>
  </si>
  <si>
    <t>A2.24b</t>
  </si>
  <si>
    <t>OLC ICT</t>
  </si>
  <si>
    <t>A2.24a</t>
  </si>
  <si>
    <t>Talenprakticum</t>
  </si>
  <si>
    <t>Techniek</t>
  </si>
  <si>
    <t>Opleverstaat schoonmaak periodiek (tijdens vakanties uitvoeren) 1 x per jaar</t>
  </si>
  <si>
    <t>Dieptereiniging afzuigkappen</t>
  </si>
  <si>
    <t>prijs per uur</t>
  </si>
  <si>
    <t>Aantal stuks/ uren</t>
  </si>
  <si>
    <t>Vervanging eigendienst medewerkers*</t>
  </si>
  <si>
    <t>*</t>
  </si>
  <si>
    <t>Bij ziekte of verlof van de eigendienst medewerkers wordt opdrachtnemer gevraagd om deze te vervangen. Aan de genoemde uren kunnen geen rechten worden ontleent</t>
  </si>
  <si>
    <t>ja</t>
  </si>
  <si>
    <t>nee</t>
  </si>
  <si>
    <t>onbepaalde tijd</t>
  </si>
  <si>
    <t>interieurverzorger</t>
  </si>
  <si>
    <t>Reinigingsmiddelen</t>
  </si>
  <si>
    <t>Reinigingsmiddelen Kosten / jaar</t>
  </si>
  <si>
    <t>Artikelnr</t>
  </si>
  <si>
    <t>Categorie</t>
  </si>
  <si>
    <t>Artikelomschrijving</t>
  </si>
  <si>
    <t>verpakking</t>
  </si>
  <si>
    <t>Afname Hoeveelheid</t>
  </si>
  <si>
    <t>eenheid</t>
  </si>
  <si>
    <t>prijs per eenheid bruto</t>
  </si>
  <si>
    <t>Totaal kosten excl korting</t>
  </si>
  <si>
    <t>Kortings percentage</t>
  </si>
  <si>
    <t>Totaal kosten</t>
  </si>
  <si>
    <t>materiaal</t>
  </si>
  <si>
    <t xml:space="preserve"> per stuk     </t>
  </si>
  <si>
    <t xml:space="preserve"> st</t>
  </si>
  <si>
    <t xml:space="preserve"> ds</t>
  </si>
  <si>
    <t>ds</t>
  </si>
  <si>
    <t>Afvalzak 70x110cm T70 bl 200st</t>
  </si>
  <si>
    <t xml:space="preserve"> ds/200 st    </t>
  </si>
  <si>
    <t>Afvalzak HDPE 63x70 transp.</t>
  </si>
  <si>
    <t xml:space="preserve"> ds/40x25 st  </t>
  </si>
  <si>
    <t>Afvalzak MAX LDPE 70x110bl dik</t>
  </si>
  <si>
    <t xml:space="preserve"> ds/10x20 st  </t>
  </si>
  <si>
    <t xml:space="preserve"> 6x750ml      </t>
  </si>
  <si>
    <t>sanitair</t>
  </si>
  <si>
    <t xml:space="preserve"> 10x750 ml    </t>
  </si>
  <si>
    <t xml:space="preserve"> st           </t>
  </si>
  <si>
    <t>Grease Superclean C fles Tana</t>
  </si>
  <si>
    <t xml:space="preserve"> 4x2 lt       </t>
  </si>
  <si>
    <t xml:space="preserve"> pk/100 st    </t>
  </si>
  <si>
    <t xml:space="preserve"> pk</t>
  </si>
  <si>
    <t>Handschoen Nitril XL</t>
  </si>
  <si>
    <t>Handsprayer compleet bl</t>
  </si>
  <si>
    <t xml:space="preserve"> cn/10 lt     </t>
  </si>
  <si>
    <t>cn</t>
  </si>
  <si>
    <t xml:space="preserve"> 2x5 lt       </t>
  </si>
  <si>
    <t>Miraclean spons Vileda groot</t>
  </si>
  <si>
    <t xml:space="preserve"> pk/ 8st      </t>
  </si>
  <si>
    <t>keuken</t>
  </si>
  <si>
    <t>Pad 11" rood</t>
  </si>
  <si>
    <t xml:space="preserve"> st (5/ds)    </t>
  </si>
  <si>
    <t>Pers + hendel Ultraspeed Pro</t>
  </si>
  <si>
    <t xml:space="preserve"> st (8/ds)    </t>
  </si>
  <si>
    <t xml:space="preserve"> st/ 10 ds    </t>
  </si>
  <si>
    <t>Sanikal-Eco Kiehl</t>
  </si>
  <si>
    <t xml:space="preserve"> 6x1lt        </t>
  </si>
  <si>
    <t>Steel COP alu 1500x32mm bl</t>
  </si>
  <si>
    <t>Stofzak Numatic NVM-01C Hepa</t>
  </si>
  <si>
    <t xml:space="preserve"> pk/10 st     </t>
  </si>
  <si>
    <t>Tanex Power Greencare</t>
  </si>
  <si>
    <t>Telescoopsteel Vileda 100-180</t>
  </si>
  <si>
    <t xml:space="preserve"> st (10st/ds) </t>
  </si>
  <si>
    <t xml:space="preserve"> 10x750ml     </t>
  </si>
  <si>
    <t>Werkdoek Micro heavy blauw</t>
  </si>
  <si>
    <t xml:space="preserve"> st (10/pk)   </t>
  </si>
  <si>
    <t>pk</t>
  </si>
  <si>
    <t>Werkdoek Micro heavy rood</t>
  </si>
  <si>
    <t>gemiddelde korting op assortiment</t>
  </si>
  <si>
    <t>kortingspercentage per productgroep</t>
  </si>
  <si>
    <t>assortiments groep</t>
  </si>
  <si>
    <t>Kortingspercentage op bruto prijslijst per groep</t>
  </si>
  <si>
    <t>sanitaire reinigingsmiddelen</t>
  </si>
  <si>
    <t>sanitaire hulpmaterialen</t>
  </si>
  <si>
    <t>interieur reinigingsmiddelen</t>
  </si>
  <si>
    <t>interieur hulpmaterialen</t>
  </si>
  <si>
    <t>vloer reinigingsmiddelen</t>
  </si>
  <si>
    <t>vloer hulpmaterialen</t>
  </si>
  <si>
    <t>vloeronderhoud machines</t>
  </si>
  <si>
    <t>Totaal kortingspercentage</t>
  </si>
  <si>
    <t>bestellingen moeten herkenbaar aangeleverd worden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</si>
  <si>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</si>
  <si>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</si>
  <si>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</si>
  <si>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</si>
  <si>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</si>
  <si>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</si>
  <si>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</si>
  <si>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Kosten per drop</t>
  </si>
  <si>
    <t>Totaal kosten drops</t>
  </si>
  <si>
    <t>Hoornbeeck College Kampen</t>
  </si>
  <si>
    <t>intereur</t>
  </si>
  <si>
    <t>Afvalzak MAX HDPE 80x100transp</t>
  </si>
  <si>
    <t xml:space="preserve"> ds/20x20 st  </t>
  </si>
  <si>
    <t>Afvalzak MAX LDPE 80x110 bl</t>
  </si>
  <si>
    <t>Avenis Foam Kiehl</t>
  </si>
  <si>
    <t>Emmer Ultraspeed 15lt los</t>
  </si>
  <si>
    <t>Fiora Clean Kiehl</t>
  </si>
  <si>
    <t>overige</t>
  </si>
  <si>
    <t>Geurkorrels Numatic set</t>
  </si>
  <si>
    <t xml:space="preserve"> set/3 stuks  </t>
  </si>
  <si>
    <t>Glansspoelmiddel Winner</t>
  </si>
  <si>
    <t>Glasdoek Microvezel blauw</t>
  </si>
  <si>
    <t>Handsprayer compleet ro</t>
  </si>
  <si>
    <t>Handveger cocos gelakt extra</t>
  </si>
  <si>
    <t>Legnodur Satina Kiehl</t>
  </si>
  <si>
    <t>Mopemmer 25 lt Ultraspeed</t>
  </si>
  <si>
    <t xml:space="preserve"> st (10/ds)   </t>
  </si>
  <si>
    <t>Optima Kiehl</t>
  </si>
  <si>
    <t>Pad Numatic NuPad SQ pa</t>
  </si>
  <si>
    <t xml:space="preserve"> st (5st/ds)  </t>
  </si>
  <si>
    <t>Parkettin Concentrate Kiehl</t>
  </si>
  <si>
    <t xml:space="preserve"> 6x1 lt       </t>
  </si>
  <si>
    <t>Ped.emmerzak 50x55 15my tr rol</t>
  </si>
  <si>
    <t xml:space="preserve"> rl/50st      </t>
  </si>
  <si>
    <t>Pedaalemmerzak 50x55 15my tr</t>
  </si>
  <si>
    <t xml:space="preserve"> ds/20x50 st  </t>
  </si>
  <si>
    <t>Schuurspons groot</t>
  </si>
  <si>
    <t>Schuurspons klein</t>
  </si>
  <si>
    <t>Steel COP alu 1500x32mm ro</t>
  </si>
  <si>
    <t>Stofblik + veger soft grip</t>
  </si>
  <si>
    <t xml:space="preserve"> st (6/ ds)   </t>
  </si>
  <si>
    <t>Stofblik Vikan 5660 or</t>
  </si>
  <si>
    <t>Stofzak F350E/F450E grijs</t>
  </si>
  <si>
    <t xml:space="preserve"> per 10 stuks </t>
  </si>
  <si>
    <t>Torvan Concentrate Kiehl</t>
  </si>
  <si>
    <t>Vaatwasmiddel Winner 2100 ZW</t>
  </si>
  <si>
    <t xml:space="preserve"> cn/12,5kg    </t>
  </si>
  <si>
    <t>Veroclean-plus Kiehl</t>
  </si>
  <si>
    <t>Vlakmop Numatic 629088</t>
  </si>
  <si>
    <t>Vlakmop Swep MicroPlus 35cm</t>
  </si>
  <si>
    <t>WC Lemon vloeibaar Greencare</t>
  </si>
  <si>
    <t>Zaalveger COP combi 40cm bl</t>
  </si>
  <si>
    <t xml:space="preserve"> st/ 5 ds     </t>
  </si>
  <si>
    <t xml:space="preserve"> se</t>
  </si>
  <si>
    <t>Willem Hendrik Zwartallee 1</t>
  </si>
  <si>
    <t>8265 TZ</t>
  </si>
  <si>
    <t>Kampen</t>
  </si>
  <si>
    <t>Logistiek Kosten / jaar</t>
  </si>
  <si>
    <t>Fantomatten sanitaire ruimte10 m2</t>
  </si>
  <si>
    <t>Stoomreinigen sanitaire ruimte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</si>
</sst>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</cellStyleXfs>
  <cellXfs count="445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3" fontId="33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Fill="1" applyBorder="1" applyAlignment="1">
      <alignment horizontal="center" vertical="center"/>
    </xf>
    <xf numFmtId="0" fontId="43" fillId="11" borderId="0" xfId="0" applyFont="1" applyFill="1" applyAlignment="1">
      <alignment horizontal="center" vertical="center"/>
    </xf>
    <xf numFmtId="0" fontId="43" fillId="11" borderId="0" xfId="0" applyFont="1" applyFill="1" applyAlignment="1">
      <alignment horizontal="left" vertical="center"/>
    </xf>
    <xf numFmtId="0" fontId="43" fillId="11" borderId="0" xfId="0" applyFont="1" applyFill="1" applyAlignment="1">
      <alignment vertical="center"/>
    </xf>
    <xf numFmtId="4" fontId="43" fillId="11" borderId="0" xfId="0" applyNumberFormat="1" applyFont="1" applyFill="1" applyAlignment="1">
      <alignment horizontal="right" vertical="center"/>
    </xf>
    <xf numFmtId="173" fontId="43" fillId="11" borderId="0" xfId="0" applyNumberFormat="1" applyFont="1" applyFill="1" applyAlignment="1">
      <alignment horizontal="center" vertical="center"/>
    </xf>
    <xf numFmtId="173" fontId="28" fillId="0" borderId="0" xfId="29" applyNumberFormat="1" applyFont="1"/>
    <xf numFmtId="0" fontId="44" fillId="0" borderId="0" xfId="0" applyFont="1" applyFill="1" applyBorder="1" applyAlignment="1">
      <alignment horizontal="left" vertical="center"/>
    </xf>
    <xf numFmtId="177" fontId="44" fillId="0" borderId="0" xfId="0" applyNumberFormat="1" applyFont="1" applyFill="1" applyBorder="1" applyAlignment="1">
      <alignment horizontal="center" vertical="center"/>
    </xf>
    <xf numFmtId="1" fontId="45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8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2" fontId="50" fillId="0" borderId="0" xfId="0" applyNumberFormat="1" applyFont="1" applyAlignment="1" applyProtection="1">
      <alignment horizontal="center"/>
      <protection hidden="1"/>
    </xf>
    <xf numFmtId="0" fontId="50" fillId="0" borderId="0" xfId="0" applyFont="1" applyProtection="1">
      <protection hidden="1"/>
    </xf>
    <xf numFmtId="178" fontId="22" fillId="0" borderId="0" xfId="0" applyNumberFormat="1" applyFont="1" applyAlignment="1">
      <alignment vertical="center"/>
    </xf>
    <xf numFmtId="178" fontId="33" fillId="0" borderId="0" xfId="0" applyNumberFormat="1" applyFont="1" applyAlignment="1">
      <alignment vertical="center"/>
    </xf>
    <xf numFmtId="0" fontId="51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50" fillId="0" borderId="0" xfId="0" applyFont="1" applyFill="1" applyProtection="1">
      <protection hidden="1"/>
    </xf>
    <xf numFmtId="178" fontId="22" fillId="0" borderId="0" xfId="0" applyNumberFormat="1" applyFont="1" applyFill="1" applyAlignment="1">
      <alignment vertical="center"/>
    </xf>
    <xf numFmtId="178" fontId="33" fillId="0" borderId="0" xfId="0" applyNumberFormat="1" applyFont="1" applyFill="1" applyAlignment="1">
      <alignment vertical="center"/>
    </xf>
    <xf numFmtId="2" fontId="50" fillId="0" borderId="0" xfId="0" applyNumberFormat="1" applyFont="1" applyFill="1" applyAlignment="1" applyProtection="1">
      <alignment horizontal="center"/>
      <protection hidden="1"/>
    </xf>
    <xf numFmtId="164" fontId="33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9" fillId="0" borderId="0" xfId="0" applyFont="1" applyAlignment="1">
      <alignment vertical="center"/>
    </xf>
    <xf numFmtId="0" fontId="2" fillId="0" borderId="14" xfId="0" applyFont="1" applyBorder="1"/>
    <xf numFmtId="0" fontId="2" fillId="0" borderId="9" xfId="0" applyFont="1" applyBorder="1"/>
    <xf numFmtId="44" fontId="2" fillId="16" borderId="9" xfId="45" applyFont="1" applyFill="1" applyBorder="1"/>
    <xf numFmtId="44" fontId="2" fillId="0" borderId="7" xfId="45" applyFont="1" applyFill="1" applyBorder="1"/>
    <xf numFmtId="9" fontId="2" fillId="16" borderId="7" xfId="44" applyFont="1" applyFill="1" applyBorder="1"/>
    <xf numFmtId="44" fontId="2" fillId="0" borderId="7" xfId="45" applyFont="1" applyBorder="1"/>
    <xf numFmtId="0" fontId="22" fillId="0" borderId="14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44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39" fillId="0" borderId="24" xfId="45" applyFont="1" applyFill="1" applyBorder="1" applyAlignment="1">
      <alignment vertical="center"/>
    </xf>
    <xf numFmtId="44" fontId="2" fillId="0" borderId="8" xfId="45" applyFont="1" applyFill="1" applyBorder="1" applyAlignment="1">
      <alignment vertical="center"/>
    </xf>
    <xf numFmtId="9" fontId="2" fillId="0" borderId="24" xfId="44" applyFont="1" applyBorder="1" applyAlignment="1">
      <alignment vertical="center"/>
    </xf>
    <xf numFmtId="44" fontId="39" fillId="0" borderId="8" xfId="45" applyFont="1" applyBorder="1" applyAlignment="1">
      <alignment vertical="center"/>
    </xf>
    <xf numFmtId="0" fontId="54" fillId="0" borderId="0" xfId="0" applyFont="1"/>
    <xf numFmtId="44" fontId="55" fillId="0" borderId="11" xfId="45" applyFont="1" applyFill="1" applyBorder="1" applyAlignment="1">
      <alignment horizontal="center"/>
    </xf>
    <xf numFmtId="44" fontId="55" fillId="0" borderId="0" xfId="45" applyFont="1" applyFill="1" applyBorder="1" applyAlignment="1">
      <alignment horizontal="center"/>
    </xf>
    <xf numFmtId="0" fontId="53" fillId="9" borderId="9" xfId="0" applyFont="1" applyFill="1" applyBorder="1"/>
    <xf numFmtId="0" fontId="53" fillId="9" borderId="9" xfId="0" applyFont="1" applyFill="1" applyBorder="1" applyAlignment="1">
      <alignment wrapText="1"/>
    </xf>
    <xf numFmtId="0" fontId="54" fillId="0" borderId="9" xfId="0" applyFont="1" applyBorder="1"/>
    <xf numFmtId="9" fontId="22" fillId="5" borderId="4" xfId="44" applyFont="1" applyFill="1" applyBorder="1" applyAlignment="1">
      <alignment horizontal="center" vertical="center"/>
    </xf>
    <xf numFmtId="9" fontId="53" fillId="9" borderId="9" xfId="44" applyFont="1" applyFill="1" applyBorder="1" applyAlignment="1">
      <alignment horizontal="center"/>
    </xf>
    <xf numFmtId="0" fontId="56" fillId="17" borderId="0" xfId="0" applyFont="1" applyFill="1" applyAlignment="1">
      <alignment horizontal="left" vertical="center"/>
    </xf>
    <xf numFmtId="0" fontId="56" fillId="17" borderId="0" xfId="0" applyFont="1" applyFill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/>
    <xf numFmtId="0" fontId="58" fillId="18" borderId="9" xfId="0" applyFont="1" applyFill="1" applyBorder="1" applyAlignment="1">
      <alignment horizontal="center" vertical="center"/>
    </xf>
    <xf numFmtId="0" fontId="58" fillId="18" borderId="9" xfId="0" applyFont="1" applyFill="1" applyBorder="1" applyAlignment="1">
      <alignment horizontal="center" vertical="center" wrapText="1"/>
    </xf>
    <xf numFmtId="0" fontId="59" fillId="18" borderId="9" xfId="0" applyFont="1" applyFill="1" applyBorder="1" applyAlignment="1">
      <alignment horizontal="center" vertical="center"/>
    </xf>
    <xf numFmtId="44" fontId="58" fillId="18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7" fillId="6" borderId="9" xfId="0" applyFont="1" applyFill="1" applyBorder="1" applyAlignment="1">
      <alignment horizontal="left" vertical="center"/>
    </xf>
    <xf numFmtId="0" fontId="57" fillId="19" borderId="9" xfId="0" applyFont="1" applyFill="1" applyBorder="1" applyAlignment="1">
      <alignment horizontal="center" vertical="center"/>
    </xf>
    <xf numFmtId="44" fontId="20" fillId="16" borderId="9" xfId="45" applyFont="1" applyFill="1" applyBorder="1"/>
    <xf numFmtId="44" fontId="57" fillId="19" borderId="9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44" fontId="57" fillId="18" borderId="9" xfId="0" applyNumberFormat="1" applyFont="1" applyFill="1" applyBorder="1" applyAlignment="1">
      <alignment horizontal="center" vertical="center"/>
    </xf>
    <xf numFmtId="44" fontId="58" fillId="18" borderId="9" xfId="45" applyFont="1" applyFill="1" applyBorder="1" applyAlignment="1">
      <alignment horizontal="center" vertical="center" wrapText="1"/>
    </xf>
    <xf numFmtId="0" fontId="50" fillId="0" borderId="0" xfId="0" applyFont="1"/>
    <xf numFmtId="0" fontId="0" fillId="0" borderId="0" xfId="0" applyAlignment="1">
      <alignment wrapText="1"/>
    </xf>
    <xf numFmtId="173" fontId="32" fillId="0" borderId="9" xfId="0" applyNumberFormat="1" applyFont="1" applyFill="1" applyBorder="1" applyAlignment="1">
      <alignment horizontal="center" vertical="center" wrapText="1"/>
    </xf>
    <xf numFmtId="173" fontId="33" fillId="0" borderId="9" xfId="0" applyNumberFormat="1" applyFont="1" applyFill="1" applyBorder="1" applyAlignment="1">
      <alignment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53" fillId="9" borderId="7" xfId="0" applyFont="1" applyFill="1" applyBorder="1" applyAlignment="1">
      <alignment horizontal="center"/>
    </xf>
    <xf numFmtId="0" fontId="53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105" dataDxfId="104" totalsRowDxfId="103">
  <autoFilter ref="A13:H15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werkzaamheden'!$C14&gt;0,VLOOKUP('Extra werkzaamheden'!$C14,$A$8:$B$10,2,0),"")</calculatedColumnFormula>
    </tableColumn>
    <tableColumn id="5" xr3:uid="{00000000-0010-0000-0A00-000005000000}" name="Eenheid" dataDxfId="94" totalsRowDxfId="93"/>
    <tableColumn id="6" xr3:uid="{00000000-0010-0000-0A00-000006000000}" name="Aantal stuks/ uren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EE31816-121F-4AEC-9A04-6996CC7D72A1}" name="Tabel12" displayName="Tabel12" ref="A4:K54" totalsRowShown="0" headerRowDxfId="86" dataDxfId="84" headerRowBorderDxfId="85" tableBorderDxfId="83" totalsRowBorderDxfId="82">
  <autoFilter ref="A4:K54" xr:uid="{BEE31816-121F-4AEC-9A04-6996CC7D72A1}"/>
  <tableColumns count="11">
    <tableColumn id="1" xr3:uid="{0CC6AFB2-16DD-4552-8CF7-B5BCBC5E229D}" name="Naam" dataDxfId="81" totalsRowDxfId="80"/>
    <tableColumn id="2" xr3:uid="{C806335B-A6CC-4112-B04F-74C55188B70F}" name="Artikelnr" dataDxfId="79" totalsRowDxfId="78"/>
    <tableColumn id="3" xr3:uid="{E8256153-484F-4DD2-BECC-DBA127EBA78B}" name="Categorie" dataDxfId="77" totalsRowDxfId="76"/>
    <tableColumn id="4" xr3:uid="{02A7EE4F-155B-4514-B9F4-725D7FDF4E44}" name="Artikelomschrijving" dataDxfId="75" totalsRowDxfId="74"/>
    <tableColumn id="5" xr3:uid="{46E1224E-AADC-49BA-977B-1A0CF6DF81F8}" name="verpakking" dataDxfId="73" totalsRowDxfId="72"/>
    <tableColumn id="6" xr3:uid="{9D3D7F33-FB78-4DC1-A9CF-75009FBE6C75}" name="Afname Hoeveelheid" dataDxfId="71" totalsRowDxfId="70"/>
    <tableColumn id="7" xr3:uid="{486EF6F8-3614-4314-B1C1-7B26B17AC512}" name="eenheid" dataDxfId="69" totalsRowDxfId="68"/>
    <tableColumn id="8" xr3:uid="{5F61C319-55DD-45FF-A717-DA1756C32F88}" name="prijs per eenheid bruto" dataDxfId="67" totalsRowDxfId="66"/>
    <tableColumn id="11" xr3:uid="{8E52FC6E-8927-43F3-8697-DEEAB7303B63}" name="Totaal kosten excl korting" dataDxfId="65" totalsRowDxfId="64">
      <calculatedColumnFormula>Tabel12[[#This Row],[Afname Hoeveelheid]]*Tabel12[[#This Row],[prijs per eenheid bruto]]</calculatedColumnFormula>
    </tableColumn>
    <tableColumn id="10" xr3:uid="{3E88F0E9-9BAA-419D-9643-82973CB24D43}" name="Kortings percentage" dataDxfId="63" totalsRowDxfId="62"/>
    <tableColumn id="9" xr3:uid="{37D94D22-E5F4-4C7E-A19A-D1B6B4D71C42}" name="Totaal kosten" dataDxfId="61" totalsRowDxfId="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7"/>
    <tableColumn id="2" xr3:uid="{00000000-0010-0000-0B00-000002000000}" name="Eenheid" totalsRowDxfId="6"/>
    <tableColumn id="3" xr3:uid="{00000000-0010-0000-0B00-000003000000}" name="Prijs excl. BTW" totalsRowDxfId="5"/>
    <tableColumn id="4" xr3:uid="{20339242-D37F-45D0-B3A9-D5D0277AA005}" name="2024" dataDxfId="56" totalsRowDxfId="4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5" totalsRowDxfId="3">
      <calculatedColumnFormula>InvulRegie[[#This Row],[2024]]*Tariefsopbouw!$K$37+InvulRegie[[#This Row],[2024]]</calculatedColumnFormula>
    </tableColumn>
    <tableColumn id="6" xr3:uid="{DA4A687B-70D0-4179-B678-42FA080B354F}" name="2026" dataDxfId="54" totalsRowDxfId="2">
      <calculatedColumnFormula>InvulRegie[[#This Row],[2025]]*Tariefsopbouw!$M$37+InvulRegie[[#This Row],[2025]]</calculatedColumnFormula>
    </tableColumn>
    <tableColumn id="7" xr3:uid="{FA946E46-8412-420B-AA1A-C1F4D582105F}" name="2027" dataDxfId="53" totalsRowDxfId="1">
      <calculatedColumnFormula>InvulRegie[[#This Row],[2026]]*Tariefsopbouw!$O$37+InvulRegie[[#This Row],[2026]]</calculatedColumnFormula>
    </tableColumn>
    <tableColumn id="8" xr3:uid="{00A92510-BD5B-4E71-BCF5-F352086DB0C7}" name="2028" dataDxfId="52" totalsRowDxfId="0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5:H7" totalsRowCount="1" headerRowDxfId="51" dataDxfId="49" totalsRowDxfId="47" headerRowBorderDxfId="50" tableBorderDxfId="48">
  <autoFilter ref="A5:H6" xr:uid="{00000000-0009-0000-0100-00000E000000}"/>
  <tableColumns count="8">
    <tableColumn id="8" xr3:uid="{00000000-0010-0000-0C00-000008000000}" name="Code Locatie" dataDxfId="46" totalsRowDxfId="45"/>
    <tableColumn id="1" xr3:uid="{00000000-0010-0000-0C00-000001000000}" name="Locatie" totalsRowLabel="Totaal" dataDxfId="44" totalsRowDxfId="43"/>
    <tableColumn id="2" xr3:uid="{00000000-0010-0000-0C00-000002000000}" name="Oppervlakte i/o" totalsRowFunction="sum" dataDxfId="42" totalsRowDxfId="41"/>
    <tableColumn id="3" xr3:uid="{00000000-0010-0000-0C00-000003000000}" name="Prest. (m2 /jaar)" totalsRowFunction="sum" dataDxfId="40" totalsRowDxfId="39"/>
    <tableColumn id="4" xr3:uid="{00000000-0010-0000-0C00-000004000000}" name="Uren / jaar" totalsRowFunction="sum" dataDxfId="38" totalsRowDxfId="37"/>
    <tableColumn id="5" xr3:uid="{00000000-0010-0000-0C00-000005000000}" name="Norm (m2/uur)" totalsRowFunction="custom" dataDxfId="36" totalsRowDxfId="35">
      <calculatedColumnFormula>D6/E6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4" totalsRowDxfId="33"/>
    <tableColumn id="7" xr3:uid="{00000000-0010-0000-0C00-000007000000}" name="Kosten / m2" totalsRowFunction="custom" dataDxfId="32" totalsRowDxfId="31">
      <calculatedColumnFormula>G6/C6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0:I13" totalsRowCount="1" headerRowDxfId="30" dataDxfId="28" totalsRowDxfId="26" headerRowBorderDxfId="29" tableBorderDxfId="27">
  <autoFilter ref="A10:I12" xr:uid="{00000000-0009-0000-0100-00000F000000}"/>
  <tableColumns count="9">
    <tableColumn id="8" xr3:uid="{00000000-0010-0000-0D00-000008000000}" name="Code Locatie" dataDxfId="25" totalsRowDxfId="24"/>
    <tableColumn id="1" xr3:uid="{00000000-0010-0000-0D00-000001000000}" name="Locaties" totalsRowLabel="Totaal" dataDxfId="23" totalsRowDxfId="22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1" totalsRowDxfId="20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9" totalsRowDxfId="18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7" totalsRowDxfId="16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15" totalsRowDxfId="14">
      <calculatedColumnFormula>SUMIF(OverzichtGlas[[Code Locatie]:[Kosten/jaar excl. BTW]],Totalisatie[[#This Row],[Code Locatie]],OverzichtGlas[Kosten/jaar excl. BTW])</calculatedColumnFormula>
    </tableColumn>
    <tableColumn id="6" xr3:uid="{332F6120-FEC4-48A1-A857-5DFBEFA7C62E}" name="Reinigingsmiddelen Kosten / jaar" totalsRowFunction="sum" dataDxfId="13" totalsRowDxfId="12">
      <calculatedColumnFormula>SUMIF(Reinigingsmiddelen!A5:K51,Totalisatie[[#This Row],[Locaties]],Reinigingsmiddelen!K5:K51)</calculatedColumnFormula>
    </tableColumn>
    <tableColumn id="9" xr3:uid="{AE890922-CC1F-4D34-A7EC-C10B13A709FB}" name="Logistiek Kosten / jaar" totalsRowFunction="sum" dataDxfId="11" totalsRowDxfId="10">
      <calculatedColumnFormula>SUMIF(Logistiek!A3:H4,Totalisatie[[#This Row],[Locaties]],Logistiek!H3:H4)</calculatedColumnFormula>
    </tableColumn>
    <tableColumn id="7" xr3:uid="{00000000-0010-0000-0D00-000007000000}" name="Totaalprijs_x000a_Kosten / jaar" totalsRowFunction="sum" dataDxfId="9" totalsRowDxfId="8">
      <calculatedColumnFormula>SUM(Totalisatie[[#This Row],[Schoonmaakonderhoud
Kosten / jaar]:[Logistiek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79" totalsRowShown="0" headerRowDxfId="209" dataDxfId="208">
  <autoFilter ref="A4:AG79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Locatie]],Totalisatie!$A$6:$B$10,2,FALSE)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, dagen of stuks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8ED7-F9CC-436A-85C7-3F2984A07AEF}">
  <dimension ref="A1:R6"/>
  <sheetViews>
    <sheetView tabSelected="1" workbookViewId="0">
      <selection activeCell="C9" sqref="C9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9" style="166" bestFit="1" customWidth="1"/>
    <col min="5" max="5" width="15.42578125" style="166" bestFit="1" customWidth="1"/>
    <col min="6" max="6" width="14" style="166" bestFit="1" customWidth="1"/>
    <col min="7" max="7" width="10.42578125" style="305" bestFit="1" customWidth="1"/>
    <col min="8" max="8" width="26" style="166" bestFit="1" customWidth="1"/>
    <col min="9" max="9" width="13" style="305" customWidth="1"/>
    <col min="10" max="10" width="11.28515625" style="305" bestFit="1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305" bestFit="1" customWidth="1"/>
    <col min="18" max="18" width="22.28515625" style="166" bestFit="1" customWidth="1"/>
  </cols>
  <sheetData>
    <row r="1" spans="1:18" ht="45">
      <c r="A1" s="296"/>
      <c r="B1" s="212" t="s">
        <v>541</v>
      </c>
      <c r="C1" s="212" t="s">
        <v>542</v>
      </c>
      <c r="D1" s="212" t="s">
        <v>543</v>
      </c>
      <c r="E1" s="212" t="s">
        <v>544</v>
      </c>
      <c r="F1" s="212" t="s">
        <v>545</v>
      </c>
      <c r="G1" s="212" t="s">
        <v>546</v>
      </c>
      <c r="H1" s="212" t="s">
        <v>223</v>
      </c>
      <c r="I1" s="212" t="s">
        <v>547</v>
      </c>
      <c r="J1" s="212" t="s">
        <v>548</v>
      </c>
      <c r="K1" s="212" t="s">
        <v>549</v>
      </c>
      <c r="L1" s="212" t="s">
        <v>550</v>
      </c>
      <c r="M1" s="212" t="s">
        <v>551</v>
      </c>
      <c r="N1" s="212" t="s">
        <v>552</v>
      </c>
      <c r="O1" s="212" t="s">
        <v>553</v>
      </c>
      <c r="P1" s="212" t="s">
        <v>554</v>
      </c>
      <c r="Q1" s="212" t="s">
        <v>555</v>
      </c>
      <c r="R1" s="212" t="s">
        <v>149</v>
      </c>
    </row>
    <row r="2" spans="1:18">
      <c r="A2" s="297">
        <v>1</v>
      </c>
      <c r="B2" s="298">
        <v>31874</v>
      </c>
      <c r="C2" s="298">
        <v>44564</v>
      </c>
      <c r="D2" s="298"/>
      <c r="E2" s="299" t="s">
        <v>583</v>
      </c>
      <c r="F2" s="300">
        <v>14</v>
      </c>
      <c r="G2" s="301" t="s">
        <v>581</v>
      </c>
      <c r="H2" s="299" t="s">
        <v>584</v>
      </c>
      <c r="I2" s="301"/>
      <c r="J2" s="301">
        <v>1</v>
      </c>
      <c r="K2" s="302"/>
      <c r="L2" s="303"/>
      <c r="M2" s="299"/>
      <c r="N2" s="299"/>
      <c r="O2" s="301"/>
      <c r="P2" s="301"/>
      <c r="Q2" s="301"/>
      <c r="R2" s="299" t="s">
        <v>441</v>
      </c>
    </row>
    <row r="3" spans="1:18">
      <c r="A3" s="297">
        <v>2</v>
      </c>
      <c r="B3" s="298">
        <v>29221</v>
      </c>
      <c r="C3" s="298">
        <v>44566</v>
      </c>
      <c r="D3" s="298"/>
      <c r="E3" s="299" t="s">
        <v>583</v>
      </c>
      <c r="F3" s="300">
        <v>14</v>
      </c>
      <c r="G3" s="301" t="s">
        <v>582</v>
      </c>
      <c r="H3" s="299" t="s">
        <v>584</v>
      </c>
      <c r="I3" s="301"/>
      <c r="J3" s="301">
        <v>1</v>
      </c>
      <c r="K3" s="302"/>
      <c r="L3" s="303"/>
      <c r="M3" s="299"/>
      <c r="N3" s="299"/>
      <c r="O3" s="301"/>
      <c r="P3" s="301"/>
      <c r="Q3" s="301"/>
      <c r="R3" s="299" t="s">
        <v>441</v>
      </c>
    </row>
    <row r="4" spans="1:18">
      <c r="A4" s="297">
        <v>3</v>
      </c>
      <c r="B4" s="298">
        <v>27395</v>
      </c>
      <c r="C4" s="298">
        <v>44565</v>
      </c>
      <c r="D4" s="298"/>
      <c r="E4" s="299" t="s">
        <v>583</v>
      </c>
      <c r="F4" s="300">
        <v>14</v>
      </c>
      <c r="G4" s="301" t="s">
        <v>582</v>
      </c>
      <c r="H4" s="299" t="s">
        <v>584</v>
      </c>
      <c r="I4" s="301"/>
      <c r="J4" s="301">
        <v>1</v>
      </c>
      <c r="K4" s="302"/>
      <c r="L4" s="304"/>
      <c r="M4" s="299"/>
      <c r="N4" s="299"/>
      <c r="O4" s="301"/>
      <c r="P4" s="301"/>
      <c r="Q4" s="301"/>
      <c r="R4" s="299" t="s">
        <v>441</v>
      </c>
    </row>
    <row r="5" spans="1:18">
      <c r="A5" s="297">
        <v>4</v>
      </c>
      <c r="B5" s="298"/>
      <c r="C5" s="298"/>
      <c r="D5" s="298"/>
      <c r="E5" s="299"/>
      <c r="F5" s="300"/>
      <c r="G5" s="301"/>
      <c r="H5" s="299"/>
      <c r="I5" s="301"/>
      <c r="J5" s="301"/>
      <c r="K5" s="302"/>
      <c r="L5" s="304"/>
      <c r="M5" s="299"/>
      <c r="N5" s="299"/>
      <c r="O5" s="301"/>
      <c r="P5" s="301"/>
      <c r="Q5" s="301"/>
      <c r="R5" s="299"/>
    </row>
    <row r="6" spans="1:18">
      <c r="A6" s="297">
        <v>5</v>
      </c>
      <c r="B6" s="298"/>
      <c r="C6" s="298"/>
      <c r="D6" s="298"/>
      <c r="E6" s="299"/>
      <c r="F6" s="300"/>
      <c r="G6" s="301"/>
      <c r="H6" s="299"/>
      <c r="I6" s="301"/>
      <c r="J6" s="301"/>
      <c r="K6" s="302"/>
      <c r="L6" s="304"/>
      <c r="M6" s="299"/>
      <c r="N6" s="299"/>
      <c r="O6" s="301"/>
      <c r="P6" s="301"/>
      <c r="Q6" s="301"/>
      <c r="R6" s="29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B7" sqref="B7"/>
    </sheetView>
  </sheetViews>
  <sheetFormatPr defaultColWidth="9.140625" defaultRowHeight="15" customHeight="1"/>
  <cols>
    <col min="1" max="1" width="9.42578125" style="4" customWidth="1"/>
    <col min="2" max="2" width="36" style="4" bestFit="1" customWidth="1"/>
    <col min="3" max="3" width="13" style="4" customWidth="1"/>
    <col min="4" max="4" width="36.7109375" style="33" bestFit="1" customWidth="1"/>
    <col min="5" max="5" width="16.7109375" style="4" customWidth="1"/>
    <col min="6" max="6" width="17.7109375" style="191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406" t="s">
        <v>177</v>
      </c>
      <c r="B1" s="406"/>
      <c r="C1" s="406"/>
      <c r="D1" s="406"/>
      <c r="E1" s="406"/>
      <c r="F1" s="406"/>
      <c r="G1" s="406"/>
      <c r="H1" s="406"/>
      <c r="I1" s="73"/>
    </row>
    <row r="2" spans="1:11" s="7" customFormat="1" ht="15" customHeight="1">
      <c r="A2" s="420" t="s">
        <v>217</v>
      </c>
      <c r="B2" s="405"/>
      <c r="C2" s="405"/>
      <c r="D2" s="405"/>
      <c r="E2" s="405"/>
      <c r="F2" s="405"/>
      <c r="G2" s="405"/>
      <c r="H2" s="418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242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9"/>
      <c r="G7" s="36"/>
      <c r="H7" s="147"/>
    </row>
    <row r="8" spans="1:11" s="31" customFormat="1" ht="26.25" customHeight="1">
      <c r="A8" s="54" t="s">
        <v>215</v>
      </c>
      <c r="B8" s="55" t="s">
        <v>182</v>
      </c>
      <c r="C8" s="54" t="s">
        <v>151</v>
      </c>
      <c r="D8" s="54" t="s">
        <v>210</v>
      </c>
      <c r="E8" s="56" t="s">
        <v>179</v>
      </c>
      <c r="F8" s="231" t="s">
        <v>248</v>
      </c>
      <c r="G8" s="231" t="s">
        <v>250</v>
      </c>
      <c r="H8" s="231" t="s">
        <v>249</v>
      </c>
      <c r="I8" s="231" t="s">
        <v>247</v>
      </c>
      <c r="J8" s="231" t="s">
        <v>260</v>
      </c>
    </row>
    <row r="9" spans="1:11" ht="15" customHeight="1">
      <c r="A9" s="290">
        <v>1</v>
      </c>
      <c r="B9" s="289" t="s">
        <v>575</v>
      </c>
      <c r="C9" s="184" t="s">
        <v>44</v>
      </c>
      <c r="D9" s="184"/>
      <c r="E9" s="59">
        <v>0</v>
      </c>
      <c r="F9" s="232" t="e">
        <f>InvulExtra[[#This Row],[Prijs
Excl. BTW]]*Tariefsopbouw!$I$37+InvulExtra[[#This Row],[Prijs
Excl. BTW]]</f>
        <v>#DIV/0!</v>
      </c>
      <c r="G9" s="232" t="e">
        <f>InvulExtra[[#This Row],[2024]]*Tariefsopbouw!$K$37+InvulExtra[[#This Row],[2024]]</f>
        <v>#DIV/0!</v>
      </c>
      <c r="H9" s="232" t="e">
        <f>InvulExtra[[#This Row],[2025]]*Tariefsopbouw!$M$37+InvulExtra[[#This Row],[2025]]</f>
        <v>#DIV/0!</v>
      </c>
      <c r="I9" s="232" t="e">
        <f>InvulExtra[[#This Row],[2026]]*Tariefsopbouw!$O$37+InvulExtra[[#This Row],[2026]]</f>
        <v>#DIV/0!</v>
      </c>
      <c r="J9" s="232" t="e">
        <f>InvulExtra[[#This Row],[2027]]*Tariefsopbouw!$Q$37+InvulExtra[[#This Row],[2027]]</f>
        <v>#DIV/0!</v>
      </c>
    </row>
    <row r="10" spans="1:11" ht="15" customHeight="1">
      <c r="A10" s="290">
        <v>2</v>
      </c>
      <c r="B10" s="184" t="s">
        <v>578</v>
      </c>
      <c r="C10" s="184" t="s">
        <v>576</v>
      </c>
      <c r="D10" s="184"/>
      <c r="E10" s="312">
        <f>Tariefsopbouw!$E$35</f>
        <v>0</v>
      </c>
      <c r="F10" s="232" t="e">
        <f>InvulExtra[[#This Row],[Prijs
Excl. BTW]]*Tariefsopbouw!$I$37+InvulExtra[[#This Row],[Prijs
Excl. BTW]]</f>
        <v>#DIV/0!</v>
      </c>
      <c r="G10" s="232" t="e">
        <f>InvulExtra[[#This Row],[2024]]*Tariefsopbouw!$K$37+InvulExtra[[#This Row],[2024]]</f>
        <v>#DIV/0!</v>
      </c>
      <c r="H10" s="232" t="e">
        <f>InvulExtra[[#This Row],[2025]]*Tariefsopbouw!$M$37+InvulExtra[[#This Row],[2025]]</f>
        <v>#DIV/0!</v>
      </c>
      <c r="I10" s="232" t="e">
        <f>InvulExtra[[#This Row],[2026]]*Tariefsopbouw!$O$37+InvulExtra[[#This Row],[2026]]</f>
        <v>#DIV/0!</v>
      </c>
      <c r="J10" s="232" t="e">
        <f>InvulExtra[[#This Row],[2027]]*Tariefsopbouw!$Q$37+InvulExtra[[#This Row],[2027]]</f>
        <v>#DIV/0!</v>
      </c>
    </row>
    <row r="11" spans="1:11" ht="15" customHeight="1">
      <c r="B11" s="27"/>
      <c r="C11" s="27"/>
      <c r="D11" s="24"/>
      <c r="E11" s="38"/>
      <c r="F11" s="189"/>
      <c r="G11" s="37"/>
      <c r="H11" s="148"/>
      <c r="I11" s="38"/>
    </row>
    <row r="12" spans="1:11" ht="15" customHeight="1">
      <c r="B12" s="25"/>
      <c r="C12" s="30"/>
      <c r="D12" s="30"/>
      <c r="K12" s="39"/>
    </row>
    <row r="13" spans="1:11" s="32" customFormat="1" ht="26.25" customHeight="1">
      <c r="A13" s="150" t="s">
        <v>214</v>
      </c>
      <c r="B13" s="54" t="s">
        <v>149</v>
      </c>
      <c r="C13" s="54" t="s">
        <v>215</v>
      </c>
      <c r="D13" s="66" t="s">
        <v>182</v>
      </c>
      <c r="E13" s="66" t="s">
        <v>151</v>
      </c>
      <c r="F13" s="66" t="s">
        <v>577</v>
      </c>
      <c r="G13" s="66" t="s">
        <v>238</v>
      </c>
      <c r="H13" s="149" t="s">
        <v>150</v>
      </c>
      <c r="K13" s="40"/>
    </row>
    <row r="14" spans="1:11" ht="15" customHeight="1">
      <c r="A14" s="238">
        <v>1</v>
      </c>
      <c r="B14" s="184" t="str">
        <f>VLOOKUP(OverzichtExtra[[#This Row],[Code Locatie]],Locaties[],2,0)</f>
        <v>Hoornbeeck College Apeldoorn</v>
      </c>
      <c r="C14" s="238">
        <v>1</v>
      </c>
      <c r="D14" s="258" t="str">
        <f>IF('Extra werkzaamheden'!$C14&gt;0,VLOOKUP('Extra werkzaamheden'!$C14,$A$8:$B$10,2,0),"")</f>
        <v>Dieptereiniging afzuigkappen</v>
      </c>
      <c r="E14" s="194" t="str">
        <f>VLOOKUP(OverzichtExtra[[#This Row],[Code Taak]],InvulExtra[#All],3,0)</f>
        <v>prijs per stuk</v>
      </c>
      <c r="F14" s="192">
        <v>8</v>
      </c>
      <c r="G14" s="185">
        <v>1</v>
      </c>
      <c r="H14" s="240">
        <f>IF(G14&gt;0,VLOOKUP(OverzichtExtra[[#This Row],[Code Taak]],InvulExtra[],5,2)*F14*G14,0)</f>
        <v>0</v>
      </c>
      <c r="K14" s="39"/>
    </row>
    <row r="15" spans="1:11" ht="15" customHeight="1">
      <c r="A15" s="238">
        <v>1</v>
      </c>
      <c r="B15" s="184" t="str">
        <f>VLOOKUP(OverzichtExtra[[#This Row],[Code Locatie]],Locaties[],2,0)</f>
        <v>Hoornbeeck College Apeldoorn</v>
      </c>
      <c r="C15" s="238">
        <v>2</v>
      </c>
      <c r="D15" s="258" t="str">
        <f>IF('Extra werkzaamheden'!$C15&gt;0,VLOOKUP('Extra werkzaamheden'!$C15,$A$8:$B$10,2,0),"")</f>
        <v>Vervanging eigendienst medewerkers*</v>
      </c>
      <c r="E15" s="194" t="str">
        <f>VLOOKUP(OverzichtExtra[[#This Row],[Code Taak]],InvulExtra[#All],3,0)</f>
        <v>prijs per uur</v>
      </c>
      <c r="F15" s="192">
        <v>2</v>
      </c>
      <c r="G15" s="185">
        <v>40</v>
      </c>
      <c r="H15" s="240">
        <f>IF(G15&gt;0,VLOOKUP(OverzichtExtra[[#This Row],[Code Taak]],InvulExtra[],5,2)*F15*G15,0)</f>
        <v>0</v>
      </c>
      <c r="K15" s="39"/>
    </row>
    <row r="16" spans="1:11" ht="15" customHeight="1">
      <c r="A16" s="195"/>
      <c r="B16" s="196" t="s">
        <v>33</v>
      </c>
      <c r="C16" s="195"/>
      <c r="D16" s="197"/>
      <c r="E16" s="195"/>
      <c r="F16" s="198"/>
      <c r="G16" s="195"/>
      <c r="H16" s="199">
        <f>SUBTOTAL(109,OverzichtExtra[Kosten/jaar excl. BTW])</f>
        <v>0</v>
      </c>
    </row>
    <row r="17" spans="1:4" ht="15" customHeight="1">
      <c r="C17" s="33"/>
      <c r="D17" s="4"/>
    </row>
    <row r="18" spans="1:4" ht="15" customHeight="1">
      <c r="A18" s="4" t="s">
        <v>579</v>
      </c>
      <c r="B18" s="4" t="s">
        <v>580</v>
      </c>
      <c r="C18" s="33"/>
      <c r="D18" s="4"/>
    </row>
    <row r="19" spans="1:4" ht="15" customHeight="1">
      <c r="C19" s="33"/>
      <c r="D19" s="4"/>
    </row>
    <row r="20" spans="1:4" ht="15" customHeight="1">
      <c r="C20" s="33"/>
      <c r="D20" s="4"/>
    </row>
    <row r="21" spans="1:4" ht="15" customHeight="1">
      <c r="C21" s="33"/>
      <c r="D21" s="4"/>
    </row>
    <row r="22" spans="1:4" ht="15" customHeight="1">
      <c r="C22" s="33"/>
      <c r="D22" s="4"/>
    </row>
    <row r="23" spans="1:4" ht="15" customHeight="1">
      <c r="C23" s="33"/>
      <c r="D23" s="4"/>
    </row>
    <row r="24" spans="1:4" ht="15" customHeight="1">
      <c r="C24" s="33"/>
      <c r="D24" s="4"/>
    </row>
    <row r="25" spans="1:4" ht="15" customHeight="1">
      <c r="C25" s="33"/>
      <c r="D25" s="4"/>
    </row>
    <row r="26" spans="1:4" ht="15" customHeight="1">
      <c r="C26" s="33"/>
      <c r="D26" s="4"/>
    </row>
    <row r="27" spans="1:4" ht="15" customHeight="1">
      <c r="C27" s="33"/>
      <c r="D27" s="4"/>
    </row>
    <row r="28" spans="1:4" ht="15" customHeight="1">
      <c r="C28" s="33"/>
      <c r="D28" s="4"/>
    </row>
    <row r="29" spans="1:4" ht="15" customHeight="1">
      <c r="C29" s="33"/>
      <c r="D29" s="4"/>
    </row>
    <row r="30" spans="1:4" ht="15" customHeight="1">
      <c r="C30" s="33"/>
      <c r="D30" s="4"/>
    </row>
    <row r="31" spans="1:4" ht="15" customHeight="1">
      <c r="C31" s="33"/>
      <c r="D31" s="4"/>
    </row>
    <row r="32" spans="1: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475E-BC19-4A4E-B5C9-F4978B0528AD}">
  <sheetPr>
    <tabColor theme="0" tint="-0.14999847407452621"/>
  </sheetPr>
  <dimension ref="A1:L54"/>
  <sheetViews>
    <sheetView workbookViewId="0">
      <selection activeCell="A3" sqref="A3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33" bestFit="1" customWidth="1"/>
    <col min="6" max="6" width="13" style="4" customWidth="1"/>
    <col min="7" max="7" width="10.5703125" style="146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211" customFormat="1" ht="22.5" customHeight="1">
      <c r="A1" s="421" t="s">
        <v>585</v>
      </c>
      <c r="B1" s="421"/>
      <c r="C1" s="421"/>
      <c r="D1" s="421"/>
      <c r="E1" s="421"/>
      <c r="F1" s="421"/>
      <c r="G1" s="421"/>
      <c r="H1" s="260"/>
      <c r="I1" s="260"/>
      <c r="J1" s="260"/>
    </row>
    <row r="2" spans="1:12" s="211" customFormat="1" ht="15" customHeight="1">
      <c r="A2" s="420" t="s">
        <v>217</v>
      </c>
      <c r="B2" s="405"/>
      <c r="C2" s="405"/>
      <c r="D2" s="405"/>
      <c r="E2" s="405"/>
      <c r="F2" s="405"/>
      <c r="G2" s="418"/>
    </row>
    <row r="3" spans="1:12" ht="15" customHeight="1">
      <c r="B3" s="33"/>
      <c r="C3" s="33"/>
      <c r="E3" s="4"/>
    </row>
    <row r="4" spans="1:12" ht="27" customHeight="1">
      <c r="A4" s="314" t="s">
        <v>135</v>
      </c>
      <c r="B4" s="315" t="s">
        <v>587</v>
      </c>
      <c r="C4" s="315" t="s">
        <v>588</v>
      </c>
      <c r="D4" s="315" t="s">
        <v>589</v>
      </c>
      <c r="E4" s="315" t="s">
        <v>590</v>
      </c>
      <c r="F4" s="316" t="s">
        <v>591</v>
      </c>
      <c r="G4" s="315" t="s">
        <v>592</v>
      </c>
      <c r="H4" s="316" t="s">
        <v>593</v>
      </c>
      <c r="I4" s="317" t="s">
        <v>594</v>
      </c>
      <c r="J4" s="317" t="s">
        <v>595</v>
      </c>
      <c r="K4" s="317" t="s">
        <v>596</v>
      </c>
      <c r="L4" s="318"/>
    </row>
    <row r="5" spans="1:12" ht="12.75">
      <c r="A5" s="319" t="s">
        <v>664</v>
      </c>
      <c r="B5" s="320">
        <v>4050300</v>
      </c>
      <c r="C5" s="320" t="s">
        <v>665</v>
      </c>
      <c r="D5" s="320" t="s">
        <v>602</v>
      </c>
      <c r="E5" s="320" t="s">
        <v>603</v>
      </c>
      <c r="F5" s="320">
        <v>11</v>
      </c>
      <c r="G5" s="320" t="s">
        <v>600</v>
      </c>
      <c r="H5" s="321">
        <v>0</v>
      </c>
      <c r="I5" s="322">
        <f>Tabel12[[#This Row],[Afname Hoeveelheid]]*Tabel12[[#This Row],[prijs per eenheid bruto]]</f>
        <v>0</v>
      </c>
      <c r="J5" s="323">
        <v>0</v>
      </c>
      <c r="K5" s="324">
        <f>Tabel12[[#This Row],[Totaal kosten excl korting]]*(1-Tabel12[[#This Row],[Kortings percentage]])</f>
        <v>0</v>
      </c>
      <c r="L5" s="318"/>
    </row>
    <row r="6" spans="1:12" ht="12.75">
      <c r="A6" s="319" t="s">
        <v>664</v>
      </c>
      <c r="B6" s="320">
        <v>1556820</v>
      </c>
      <c r="C6" s="320" t="s">
        <v>665</v>
      </c>
      <c r="D6" s="320" t="s">
        <v>604</v>
      </c>
      <c r="E6" s="320" t="s">
        <v>605</v>
      </c>
      <c r="F6" s="320">
        <v>1</v>
      </c>
      <c r="G6" s="320" t="s">
        <v>600</v>
      </c>
      <c r="H6" s="321">
        <v>0</v>
      </c>
      <c r="I6" s="322">
        <f>Tabel12[[#This Row],[Afname Hoeveelheid]]*Tabel12[[#This Row],[prijs per eenheid bruto]]</f>
        <v>0</v>
      </c>
      <c r="J6" s="323">
        <v>0</v>
      </c>
      <c r="K6" s="324">
        <f>Tabel12[[#This Row],[Totaal kosten excl korting]]*(1-Tabel12[[#This Row],[Kortings percentage]])</f>
        <v>0</v>
      </c>
      <c r="L6" s="318"/>
    </row>
    <row r="7" spans="1:12" ht="12.75">
      <c r="A7" s="319" t="s">
        <v>664</v>
      </c>
      <c r="B7" s="320">
        <v>1556830</v>
      </c>
      <c r="C7" s="320" t="s">
        <v>665</v>
      </c>
      <c r="D7" s="320" t="s">
        <v>666</v>
      </c>
      <c r="E7" s="320" t="s">
        <v>667</v>
      </c>
      <c r="F7" s="320">
        <v>1</v>
      </c>
      <c r="G7" s="320" t="s">
        <v>600</v>
      </c>
      <c r="H7" s="321">
        <v>0</v>
      </c>
      <c r="I7" s="322">
        <f>Tabel12[[#This Row],[Afname Hoeveelheid]]*Tabel12[[#This Row],[prijs per eenheid bruto]]</f>
        <v>0</v>
      </c>
      <c r="J7" s="323">
        <v>0</v>
      </c>
      <c r="K7" s="324">
        <f>Tabel12[[#This Row],[Totaal kosten excl korting]]*(1-Tabel12[[#This Row],[Kortings percentage]])</f>
        <v>0</v>
      </c>
      <c r="L7" s="318"/>
    </row>
    <row r="8" spans="1:12" ht="12.75">
      <c r="A8" s="319" t="s">
        <v>664</v>
      </c>
      <c r="B8" s="320">
        <v>1556921</v>
      </c>
      <c r="C8" s="320" t="s">
        <v>665</v>
      </c>
      <c r="D8" s="320" t="s">
        <v>606</v>
      </c>
      <c r="E8" s="320" t="s">
        <v>607</v>
      </c>
      <c r="F8" s="320">
        <v>2</v>
      </c>
      <c r="G8" s="320" t="s">
        <v>600</v>
      </c>
      <c r="H8" s="321">
        <v>0</v>
      </c>
      <c r="I8" s="322">
        <f>Tabel12[[#This Row],[Afname Hoeveelheid]]*Tabel12[[#This Row],[prijs per eenheid bruto]]</f>
        <v>0</v>
      </c>
      <c r="J8" s="323">
        <v>0</v>
      </c>
      <c r="K8" s="324">
        <f>Tabel12[[#This Row],[Totaal kosten excl korting]]*(1-Tabel12[[#This Row],[Kortings percentage]])</f>
        <v>0</v>
      </c>
      <c r="L8" s="318"/>
    </row>
    <row r="9" spans="1:12" ht="12.75">
      <c r="A9" s="319" t="s">
        <v>438</v>
      </c>
      <c r="B9" s="320">
        <v>1556930</v>
      </c>
      <c r="C9" s="320" t="s">
        <v>665</v>
      </c>
      <c r="D9" s="320" t="s">
        <v>668</v>
      </c>
      <c r="E9" s="320" t="s">
        <v>607</v>
      </c>
      <c r="F9" s="320">
        <v>1</v>
      </c>
      <c r="G9" s="320" t="s">
        <v>600</v>
      </c>
      <c r="H9" s="321">
        <v>0</v>
      </c>
      <c r="I9" s="322">
        <f>Tabel12[[#This Row],[Afname Hoeveelheid]]*Tabel12[[#This Row],[prijs per eenheid bruto]]</f>
        <v>0</v>
      </c>
      <c r="J9" s="323">
        <v>0</v>
      </c>
      <c r="K9" s="324">
        <f>Tabel12[[#This Row],[Totaal kosten excl korting]]*(1-Tabel12[[#This Row],[Kortings percentage]])</f>
        <v>0</v>
      </c>
      <c r="L9" s="318"/>
    </row>
    <row r="10" spans="1:12" ht="12.75">
      <c r="A10" s="319" t="s">
        <v>664</v>
      </c>
      <c r="B10" s="320">
        <v>628080</v>
      </c>
      <c r="C10" s="320" t="s">
        <v>665</v>
      </c>
      <c r="D10" s="320" t="s">
        <v>669</v>
      </c>
      <c r="E10" s="320" t="s">
        <v>608</v>
      </c>
      <c r="F10" s="320">
        <v>1</v>
      </c>
      <c r="G10" s="320" t="s">
        <v>601</v>
      </c>
      <c r="H10" s="321">
        <v>0</v>
      </c>
      <c r="I10" s="322">
        <f>Tabel12[[#This Row],[Afname Hoeveelheid]]*Tabel12[[#This Row],[prijs per eenheid bruto]]</f>
        <v>0</v>
      </c>
      <c r="J10" s="323">
        <v>0</v>
      </c>
      <c r="K10" s="324">
        <f>Tabel12[[#This Row],[Totaal kosten excl korting]]*(1-Tabel12[[#This Row],[Kortings percentage]])</f>
        <v>0</v>
      </c>
      <c r="L10" s="318"/>
    </row>
    <row r="11" spans="1:12" ht="12.75">
      <c r="A11" s="319" t="s">
        <v>664</v>
      </c>
      <c r="B11" s="320">
        <v>1476800</v>
      </c>
      <c r="C11" s="320" t="s">
        <v>597</v>
      </c>
      <c r="D11" s="320" t="s">
        <v>670</v>
      </c>
      <c r="E11" s="320" t="s">
        <v>598</v>
      </c>
      <c r="F11" s="320">
        <v>2</v>
      </c>
      <c r="G11" s="320" t="s">
        <v>599</v>
      </c>
      <c r="H11" s="321">
        <v>0</v>
      </c>
      <c r="I11" s="322">
        <f>Tabel12[[#This Row],[Afname Hoeveelheid]]*Tabel12[[#This Row],[prijs per eenheid bruto]]</f>
        <v>0</v>
      </c>
      <c r="J11" s="323">
        <v>0</v>
      </c>
      <c r="K11" s="324">
        <f>Tabel12[[#This Row],[Totaal kosten excl korting]]*(1-Tabel12[[#This Row],[Kortings percentage]])</f>
        <v>0</v>
      </c>
      <c r="L11" s="318"/>
    </row>
    <row r="12" spans="1:12" ht="12.75">
      <c r="A12" s="319" t="s">
        <v>664</v>
      </c>
      <c r="B12" s="320">
        <v>627805</v>
      </c>
      <c r="C12" s="320" t="s">
        <v>665</v>
      </c>
      <c r="D12" s="320" t="s">
        <v>671</v>
      </c>
      <c r="E12" s="320" t="s">
        <v>618</v>
      </c>
      <c r="F12" s="320">
        <v>2</v>
      </c>
      <c r="G12" s="320" t="s">
        <v>619</v>
      </c>
      <c r="H12" s="321">
        <v>0</v>
      </c>
      <c r="I12" s="322">
        <f>Tabel12[[#This Row],[Afname Hoeveelheid]]*Tabel12[[#This Row],[prijs per eenheid bruto]]</f>
        <v>0</v>
      </c>
      <c r="J12" s="323">
        <v>0</v>
      </c>
      <c r="K12" s="324">
        <f>Tabel12[[#This Row],[Totaal kosten excl korting]]*(1-Tabel12[[#This Row],[Kortings percentage]])</f>
        <v>0</v>
      </c>
      <c r="L12" s="318"/>
    </row>
    <row r="13" spans="1:12" ht="12.75">
      <c r="A13" s="319" t="s">
        <v>664</v>
      </c>
      <c r="B13" s="320">
        <v>1907500</v>
      </c>
      <c r="C13" s="320" t="s">
        <v>672</v>
      </c>
      <c r="D13" s="320" t="s">
        <v>673</v>
      </c>
      <c r="E13" s="320" t="s">
        <v>674</v>
      </c>
      <c r="F13" s="320">
        <v>2</v>
      </c>
      <c r="G13" s="320" t="s">
        <v>708</v>
      </c>
      <c r="H13" s="321">
        <v>0</v>
      </c>
      <c r="I13" s="322">
        <f>Tabel12[[#This Row],[Afname Hoeveelheid]]*Tabel12[[#This Row],[prijs per eenheid bruto]]</f>
        <v>0</v>
      </c>
      <c r="J13" s="323">
        <v>0</v>
      </c>
      <c r="K13" s="324">
        <f>Tabel12[[#This Row],[Totaal kosten excl korting]]*(1-Tabel12[[#This Row],[Kortings percentage]])</f>
        <v>0</v>
      </c>
      <c r="L13" s="318"/>
    </row>
    <row r="14" spans="1:12" ht="12.75">
      <c r="A14" s="319" t="s">
        <v>664</v>
      </c>
      <c r="B14" s="320">
        <v>1155010</v>
      </c>
      <c r="C14" s="320" t="s">
        <v>623</v>
      </c>
      <c r="D14" s="320" t="s">
        <v>675</v>
      </c>
      <c r="E14" s="320" t="s">
        <v>618</v>
      </c>
      <c r="F14" s="320">
        <v>1</v>
      </c>
      <c r="G14" s="320" t="s">
        <v>619</v>
      </c>
      <c r="H14" s="321">
        <v>0</v>
      </c>
      <c r="I14" s="322">
        <f>Tabel12[[#This Row],[Afname Hoeveelheid]]*Tabel12[[#This Row],[prijs per eenheid bruto]]</f>
        <v>0</v>
      </c>
      <c r="J14" s="323">
        <v>0</v>
      </c>
      <c r="K14" s="324">
        <f>Tabel12[[#This Row],[Totaal kosten excl korting]]*(1-Tabel12[[#This Row],[Kortings percentage]])</f>
        <v>0</v>
      </c>
      <c r="L14" s="318"/>
    </row>
    <row r="15" spans="1:12" ht="12.75">
      <c r="A15" s="319" t="s">
        <v>438</v>
      </c>
      <c r="B15" s="320">
        <v>583300</v>
      </c>
      <c r="C15" s="320" t="s">
        <v>665</v>
      </c>
      <c r="D15" s="320" t="s">
        <v>676</v>
      </c>
      <c r="E15" s="320" t="s">
        <v>639</v>
      </c>
      <c r="F15" s="320">
        <v>13</v>
      </c>
      <c r="G15" s="320" t="s">
        <v>640</v>
      </c>
      <c r="H15" s="321">
        <v>0</v>
      </c>
      <c r="I15" s="322">
        <f>Tabel12[[#This Row],[Afname Hoeveelheid]]*Tabel12[[#This Row],[prijs per eenheid bruto]]</f>
        <v>0</v>
      </c>
      <c r="J15" s="323">
        <v>0</v>
      </c>
      <c r="K15" s="324">
        <f>Tabel12[[#This Row],[Totaal kosten excl korting]]*(1-Tabel12[[#This Row],[Kortings percentage]])</f>
        <v>0</v>
      </c>
      <c r="L15" s="318"/>
    </row>
    <row r="16" spans="1:12" ht="12.75">
      <c r="A16" s="319" t="s">
        <v>664</v>
      </c>
      <c r="B16" s="320">
        <v>653600</v>
      </c>
      <c r="C16" s="320" t="s">
        <v>665</v>
      </c>
      <c r="D16" s="320" t="s">
        <v>612</v>
      </c>
      <c r="E16" s="320" t="s">
        <v>613</v>
      </c>
      <c r="F16" s="320">
        <v>1</v>
      </c>
      <c r="G16" s="320" t="s">
        <v>601</v>
      </c>
      <c r="H16" s="321">
        <v>0</v>
      </c>
      <c r="I16" s="322">
        <f>Tabel12[[#This Row],[Afname Hoeveelheid]]*Tabel12[[#This Row],[prijs per eenheid bruto]]</f>
        <v>0</v>
      </c>
      <c r="J16" s="323">
        <v>0</v>
      </c>
      <c r="K16" s="324">
        <f>Tabel12[[#This Row],[Totaal kosten excl korting]]*(1-Tabel12[[#This Row],[Kortings percentage]])</f>
        <v>0</v>
      </c>
      <c r="L16" s="318"/>
    </row>
    <row r="17" spans="1:12" ht="12.75">
      <c r="A17" s="319" t="s">
        <v>664</v>
      </c>
      <c r="B17" s="320">
        <v>1337331</v>
      </c>
      <c r="C17" s="320" t="s">
        <v>597</v>
      </c>
      <c r="D17" s="320" t="s">
        <v>616</v>
      </c>
      <c r="E17" s="320" t="s">
        <v>614</v>
      </c>
      <c r="F17" s="320">
        <v>20</v>
      </c>
      <c r="G17" s="320" t="s">
        <v>615</v>
      </c>
      <c r="H17" s="321">
        <v>0</v>
      </c>
      <c r="I17" s="322">
        <f>Tabel12[[#This Row],[Afname Hoeveelheid]]*Tabel12[[#This Row],[prijs per eenheid bruto]]</f>
        <v>0</v>
      </c>
      <c r="J17" s="323">
        <v>0</v>
      </c>
      <c r="K17" s="324">
        <f>Tabel12[[#This Row],[Totaal kosten excl korting]]*(1-Tabel12[[#This Row],[Kortings percentage]])</f>
        <v>0</v>
      </c>
      <c r="L17" s="318"/>
    </row>
    <row r="18" spans="1:12" ht="12.75">
      <c r="A18" s="319" t="s">
        <v>664</v>
      </c>
      <c r="B18" s="320">
        <v>404200</v>
      </c>
      <c r="C18" s="320" t="s">
        <v>597</v>
      </c>
      <c r="D18" s="320" t="s">
        <v>617</v>
      </c>
      <c r="E18" s="320" t="s">
        <v>611</v>
      </c>
      <c r="F18" s="320">
        <v>10</v>
      </c>
      <c r="G18" s="320" t="s">
        <v>599</v>
      </c>
      <c r="H18" s="321">
        <v>0</v>
      </c>
      <c r="I18" s="322">
        <f>Tabel12[[#This Row],[Afname Hoeveelheid]]*Tabel12[[#This Row],[prijs per eenheid bruto]]</f>
        <v>0</v>
      </c>
      <c r="J18" s="323">
        <v>0</v>
      </c>
      <c r="K18" s="324">
        <f>Tabel12[[#This Row],[Totaal kosten excl korting]]*(1-Tabel12[[#This Row],[Kortings percentage]])</f>
        <v>0</v>
      </c>
      <c r="L18" s="318"/>
    </row>
    <row r="19" spans="1:12" ht="12.75">
      <c r="A19" s="319" t="s">
        <v>664</v>
      </c>
      <c r="B19" s="320">
        <v>404100</v>
      </c>
      <c r="C19" s="320" t="s">
        <v>597</v>
      </c>
      <c r="D19" s="320" t="s">
        <v>677</v>
      </c>
      <c r="E19" s="320" t="s">
        <v>611</v>
      </c>
      <c r="F19" s="320">
        <v>10</v>
      </c>
      <c r="G19" s="320" t="s">
        <v>599</v>
      </c>
      <c r="H19" s="321">
        <v>0</v>
      </c>
      <c r="I19" s="322">
        <f>Tabel12[[#This Row],[Afname Hoeveelheid]]*Tabel12[[#This Row],[prijs per eenheid bruto]]</f>
        <v>0</v>
      </c>
      <c r="J19" s="323">
        <v>0</v>
      </c>
      <c r="K19" s="324">
        <f>Tabel12[[#This Row],[Totaal kosten excl korting]]*(1-Tabel12[[#This Row],[Kortings percentage]])</f>
        <v>0</v>
      </c>
      <c r="L19" s="318"/>
    </row>
    <row r="20" spans="1:12" ht="12.75">
      <c r="A20" s="319" t="s">
        <v>438</v>
      </c>
      <c r="B20" s="320">
        <v>1210010</v>
      </c>
      <c r="C20" s="320" t="s">
        <v>597</v>
      </c>
      <c r="D20" s="320" t="s">
        <v>678</v>
      </c>
      <c r="E20" s="320" t="s">
        <v>611</v>
      </c>
      <c r="F20" s="320">
        <v>1</v>
      </c>
      <c r="G20" s="320" t="s">
        <v>599</v>
      </c>
      <c r="H20" s="321">
        <v>0</v>
      </c>
      <c r="I20" s="322">
        <f>Tabel12[[#This Row],[Afname Hoeveelheid]]*Tabel12[[#This Row],[prijs per eenheid bruto]]</f>
        <v>0</v>
      </c>
      <c r="J20" s="323">
        <v>0</v>
      </c>
      <c r="K20" s="324">
        <f>Tabel12[[#This Row],[Totaal kosten excl korting]]*(1-Tabel12[[#This Row],[Kortings percentage]])</f>
        <v>0</v>
      </c>
      <c r="L20" s="318"/>
    </row>
    <row r="21" spans="1:12" ht="12.75">
      <c r="A21" s="319" t="s">
        <v>664</v>
      </c>
      <c r="B21" s="320">
        <v>627725</v>
      </c>
      <c r="C21" s="320" t="s">
        <v>665</v>
      </c>
      <c r="D21" s="320" t="s">
        <v>679</v>
      </c>
      <c r="E21" s="320" t="s">
        <v>620</v>
      </c>
      <c r="F21" s="320">
        <v>4</v>
      </c>
      <c r="G21" s="320" t="s">
        <v>601</v>
      </c>
      <c r="H21" s="321">
        <v>0</v>
      </c>
      <c r="I21" s="322">
        <f>Tabel12[[#This Row],[Afname Hoeveelheid]]*Tabel12[[#This Row],[prijs per eenheid bruto]]</f>
        <v>0</v>
      </c>
      <c r="J21" s="323">
        <v>0</v>
      </c>
      <c r="K21" s="324">
        <f>Tabel12[[#This Row],[Totaal kosten excl korting]]*(1-Tabel12[[#This Row],[Kortings percentage]])</f>
        <v>0</v>
      </c>
      <c r="L21" s="318"/>
    </row>
    <row r="22" spans="1:12" ht="12.75">
      <c r="A22" s="319" t="s">
        <v>438</v>
      </c>
      <c r="B22" s="320">
        <v>1365000</v>
      </c>
      <c r="C22" s="320" t="s">
        <v>597</v>
      </c>
      <c r="D22" s="320" t="s">
        <v>621</v>
      </c>
      <c r="E22" s="320" t="s">
        <v>622</v>
      </c>
      <c r="F22" s="320">
        <v>6</v>
      </c>
      <c r="G22" s="320" t="s">
        <v>615</v>
      </c>
      <c r="H22" s="321">
        <v>0</v>
      </c>
      <c r="I22" s="322">
        <f>Tabel12[[#This Row],[Afname Hoeveelheid]]*Tabel12[[#This Row],[prijs per eenheid bruto]]</f>
        <v>0</v>
      </c>
      <c r="J22" s="323">
        <v>0</v>
      </c>
      <c r="K22" s="324">
        <f>Tabel12[[#This Row],[Totaal kosten excl korting]]*(1-Tabel12[[#This Row],[Kortings percentage]])</f>
        <v>0</v>
      </c>
      <c r="L22" s="318"/>
    </row>
    <row r="23" spans="1:12" ht="12.75">
      <c r="A23" s="319" t="s">
        <v>664</v>
      </c>
      <c r="B23" s="320">
        <v>1476300</v>
      </c>
      <c r="C23" s="320" t="s">
        <v>597</v>
      </c>
      <c r="D23" s="320" t="s">
        <v>680</v>
      </c>
      <c r="E23" s="320" t="s">
        <v>681</v>
      </c>
      <c r="F23" s="320">
        <v>2</v>
      </c>
      <c r="G23" s="320" t="s">
        <v>601</v>
      </c>
      <c r="H23" s="321">
        <v>0</v>
      </c>
      <c r="I23" s="322">
        <f>Tabel12[[#This Row],[Afname Hoeveelheid]]*Tabel12[[#This Row],[prijs per eenheid bruto]]</f>
        <v>0</v>
      </c>
      <c r="J23" s="323">
        <v>0</v>
      </c>
      <c r="K23" s="324">
        <f>Tabel12[[#This Row],[Totaal kosten excl korting]]*(1-Tabel12[[#This Row],[Kortings percentage]])</f>
        <v>0</v>
      </c>
      <c r="L23" s="318"/>
    </row>
    <row r="24" spans="1:12" ht="12.75">
      <c r="A24" s="319" t="s">
        <v>664</v>
      </c>
      <c r="B24" s="320">
        <v>627825</v>
      </c>
      <c r="C24" s="320" t="s">
        <v>665</v>
      </c>
      <c r="D24" s="320" t="s">
        <v>682</v>
      </c>
      <c r="E24" s="320" t="s">
        <v>630</v>
      </c>
      <c r="F24" s="320">
        <v>2</v>
      </c>
      <c r="G24" s="320" t="s">
        <v>601</v>
      </c>
      <c r="H24" s="321">
        <v>0</v>
      </c>
      <c r="I24" s="322">
        <f>Tabel12[[#This Row],[Afname Hoeveelheid]]*Tabel12[[#This Row],[prijs per eenheid bruto]]</f>
        <v>0</v>
      </c>
      <c r="J24" s="323">
        <v>0</v>
      </c>
      <c r="K24" s="324">
        <f>Tabel12[[#This Row],[Totaal kosten excl korting]]*(1-Tabel12[[#This Row],[Kortings percentage]])</f>
        <v>0</v>
      </c>
      <c r="L24" s="318"/>
    </row>
    <row r="25" spans="1:12" ht="12.75">
      <c r="A25" s="319" t="s">
        <v>664</v>
      </c>
      <c r="B25" s="320">
        <v>1620000</v>
      </c>
      <c r="C25" s="320" t="s">
        <v>597</v>
      </c>
      <c r="D25" s="320" t="s">
        <v>624</v>
      </c>
      <c r="E25" s="320" t="s">
        <v>625</v>
      </c>
      <c r="F25" s="320">
        <v>6</v>
      </c>
      <c r="G25" s="320" t="s">
        <v>601</v>
      </c>
      <c r="H25" s="321">
        <v>0</v>
      </c>
      <c r="I25" s="322">
        <f>Tabel12[[#This Row],[Afname Hoeveelheid]]*Tabel12[[#This Row],[prijs per eenheid bruto]]</f>
        <v>0</v>
      </c>
      <c r="J25" s="323">
        <v>0</v>
      </c>
      <c r="K25" s="324">
        <f>Tabel12[[#This Row],[Totaal kosten excl korting]]*(1-Tabel12[[#This Row],[Kortings percentage]])</f>
        <v>0</v>
      </c>
      <c r="L25" s="318"/>
    </row>
    <row r="26" spans="1:12" ht="12.75">
      <c r="A26" s="319" t="s">
        <v>664</v>
      </c>
      <c r="B26" s="320">
        <v>1622301</v>
      </c>
      <c r="C26" s="320" t="s">
        <v>597</v>
      </c>
      <c r="D26" s="320" t="s">
        <v>683</v>
      </c>
      <c r="E26" s="320" t="s">
        <v>684</v>
      </c>
      <c r="F26" s="320">
        <v>2</v>
      </c>
      <c r="G26" s="320" t="s">
        <v>601</v>
      </c>
      <c r="H26" s="321">
        <v>0</v>
      </c>
      <c r="I26" s="322">
        <f>Tabel12[[#This Row],[Afname Hoeveelheid]]*Tabel12[[#This Row],[prijs per eenheid bruto]]</f>
        <v>0</v>
      </c>
      <c r="J26" s="323">
        <v>0</v>
      </c>
      <c r="K26" s="324">
        <f>Tabel12[[#This Row],[Totaal kosten excl korting]]*(1-Tabel12[[#This Row],[Kortings percentage]])</f>
        <v>0</v>
      </c>
      <c r="L26" s="318"/>
    </row>
    <row r="27" spans="1:12" ht="12.75">
      <c r="A27" s="319" t="s">
        <v>664</v>
      </c>
      <c r="B27" s="320">
        <v>627705</v>
      </c>
      <c r="C27" s="320" t="s">
        <v>665</v>
      </c>
      <c r="D27" s="320" t="s">
        <v>685</v>
      </c>
      <c r="E27" s="320" t="s">
        <v>686</v>
      </c>
      <c r="F27" s="320">
        <v>1</v>
      </c>
      <c r="G27" s="320" t="s">
        <v>601</v>
      </c>
      <c r="H27" s="321">
        <v>0</v>
      </c>
      <c r="I27" s="322">
        <f>Tabel12[[#This Row],[Afname Hoeveelheid]]*Tabel12[[#This Row],[prijs per eenheid bruto]]</f>
        <v>0</v>
      </c>
      <c r="J27" s="323">
        <v>0</v>
      </c>
      <c r="K27" s="324">
        <f>Tabel12[[#This Row],[Totaal kosten excl korting]]*(1-Tabel12[[#This Row],[Kortings percentage]])</f>
        <v>0</v>
      </c>
      <c r="L27" s="318"/>
    </row>
    <row r="28" spans="1:12" ht="12.75">
      <c r="A28" s="319" t="s">
        <v>664</v>
      </c>
      <c r="B28" s="320">
        <v>1556726</v>
      </c>
      <c r="C28" s="320" t="s">
        <v>665</v>
      </c>
      <c r="D28" s="320" t="s">
        <v>687</v>
      </c>
      <c r="E28" s="320" t="s">
        <v>688</v>
      </c>
      <c r="F28" s="320">
        <v>20</v>
      </c>
      <c r="G28" s="320" t="s">
        <v>601</v>
      </c>
      <c r="H28" s="321">
        <v>0</v>
      </c>
      <c r="I28" s="322">
        <f>Tabel12[[#This Row],[Afname Hoeveelheid]]*Tabel12[[#This Row],[prijs per eenheid bruto]]</f>
        <v>0</v>
      </c>
      <c r="J28" s="323">
        <v>0</v>
      </c>
      <c r="K28" s="324">
        <f>Tabel12[[#This Row],[Totaal kosten excl korting]]*(1-Tabel12[[#This Row],[Kortings percentage]])</f>
        <v>0</v>
      </c>
      <c r="L28" s="318"/>
    </row>
    <row r="29" spans="1:12" ht="12.75">
      <c r="A29" s="319" t="s">
        <v>664</v>
      </c>
      <c r="B29" s="320">
        <v>1556725</v>
      </c>
      <c r="C29" s="320" t="s">
        <v>665</v>
      </c>
      <c r="D29" s="320" t="s">
        <v>689</v>
      </c>
      <c r="E29" s="320" t="s">
        <v>690</v>
      </c>
      <c r="F29" s="320">
        <v>2</v>
      </c>
      <c r="G29" s="320" t="s">
        <v>600</v>
      </c>
      <c r="H29" s="321">
        <v>0</v>
      </c>
      <c r="I29" s="322">
        <f>Tabel12[[#This Row],[Afname Hoeveelheid]]*Tabel12[[#This Row],[prijs per eenheid bruto]]</f>
        <v>0</v>
      </c>
      <c r="J29" s="323">
        <v>0</v>
      </c>
      <c r="K29" s="324">
        <f>Tabel12[[#This Row],[Totaal kosten excl korting]]*(1-Tabel12[[#This Row],[Kortings percentage]])</f>
        <v>0</v>
      </c>
      <c r="L29" s="318"/>
    </row>
    <row r="30" spans="1:12" ht="12.75">
      <c r="A30" s="319" t="s">
        <v>664</v>
      </c>
      <c r="B30" s="320">
        <v>1475415</v>
      </c>
      <c r="C30" s="320" t="s">
        <v>597</v>
      </c>
      <c r="D30" s="320" t="s">
        <v>626</v>
      </c>
      <c r="E30" s="320" t="s">
        <v>627</v>
      </c>
      <c r="F30" s="320">
        <v>2</v>
      </c>
      <c r="G30" s="320" t="s">
        <v>601</v>
      </c>
      <c r="H30" s="321">
        <v>0</v>
      </c>
      <c r="I30" s="322">
        <f>Tabel12[[#This Row],[Afname Hoeveelheid]]*Tabel12[[#This Row],[prijs per eenheid bruto]]</f>
        <v>0</v>
      </c>
      <c r="J30" s="323">
        <v>0</v>
      </c>
      <c r="K30" s="324">
        <f>Tabel12[[#This Row],[Totaal kosten excl korting]]*(1-Tabel12[[#This Row],[Kortings percentage]])</f>
        <v>0</v>
      </c>
      <c r="L30" s="318"/>
    </row>
    <row r="31" spans="1:12" ht="12.75">
      <c r="A31" s="319" t="s">
        <v>664</v>
      </c>
      <c r="B31" s="320">
        <v>628027</v>
      </c>
      <c r="C31" s="320" t="s">
        <v>609</v>
      </c>
      <c r="D31" s="320" t="s">
        <v>629</v>
      </c>
      <c r="E31" s="320" t="s">
        <v>630</v>
      </c>
      <c r="F31" s="320">
        <v>1</v>
      </c>
      <c r="G31" s="320" t="s">
        <v>601</v>
      </c>
      <c r="H31" s="321">
        <v>0</v>
      </c>
      <c r="I31" s="322">
        <f>Tabel12[[#This Row],[Afname Hoeveelheid]]*Tabel12[[#This Row],[prijs per eenheid bruto]]</f>
        <v>0</v>
      </c>
      <c r="J31" s="323">
        <v>0</v>
      </c>
      <c r="K31" s="324">
        <f>Tabel12[[#This Row],[Totaal kosten excl korting]]*(1-Tabel12[[#This Row],[Kortings percentage]])</f>
        <v>0</v>
      </c>
      <c r="L31" s="318"/>
    </row>
    <row r="32" spans="1:12" ht="12.75">
      <c r="A32" s="319" t="s">
        <v>664</v>
      </c>
      <c r="B32" s="320">
        <v>1359000</v>
      </c>
      <c r="C32" s="320" t="s">
        <v>597</v>
      </c>
      <c r="D32" s="320" t="s">
        <v>691</v>
      </c>
      <c r="E32" s="320" t="s">
        <v>639</v>
      </c>
      <c r="F32" s="320">
        <v>20</v>
      </c>
      <c r="G32" s="320" t="s">
        <v>640</v>
      </c>
      <c r="H32" s="321">
        <v>0</v>
      </c>
      <c r="I32" s="322">
        <f>Tabel12[[#This Row],[Afname Hoeveelheid]]*Tabel12[[#This Row],[prijs per eenheid bruto]]</f>
        <v>0</v>
      </c>
      <c r="J32" s="323">
        <v>0</v>
      </c>
      <c r="K32" s="324">
        <f>Tabel12[[#This Row],[Totaal kosten excl korting]]*(1-Tabel12[[#This Row],[Kortings percentage]])</f>
        <v>0</v>
      </c>
      <c r="L32" s="318"/>
    </row>
    <row r="33" spans="1:12" ht="12.75">
      <c r="A33" s="319" t="s">
        <v>664</v>
      </c>
      <c r="B33" s="320">
        <v>1358000</v>
      </c>
      <c r="C33" s="320" t="s">
        <v>597</v>
      </c>
      <c r="D33" s="320" t="s">
        <v>692</v>
      </c>
      <c r="E33" s="320" t="s">
        <v>639</v>
      </c>
      <c r="F33" s="320">
        <v>20</v>
      </c>
      <c r="G33" s="320" t="s">
        <v>640</v>
      </c>
      <c r="H33" s="321">
        <v>0</v>
      </c>
      <c r="I33" s="322">
        <f>Tabel12[[#This Row],[Afname Hoeveelheid]]*Tabel12[[#This Row],[prijs per eenheid bruto]]</f>
        <v>0</v>
      </c>
      <c r="J33" s="323">
        <v>0</v>
      </c>
      <c r="K33" s="324">
        <f>Tabel12[[#This Row],[Totaal kosten excl korting]]*(1-Tabel12[[#This Row],[Kortings percentage]])</f>
        <v>0</v>
      </c>
      <c r="L33" s="318"/>
    </row>
    <row r="34" spans="1:12" ht="12.75">
      <c r="A34" s="319" t="s">
        <v>664</v>
      </c>
      <c r="B34" s="320">
        <v>1223150</v>
      </c>
      <c r="C34" s="320" t="s">
        <v>597</v>
      </c>
      <c r="D34" s="320" t="s">
        <v>631</v>
      </c>
      <c r="E34" s="320" t="s">
        <v>628</v>
      </c>
      <c r="F34" s="320">
        <v>2</v>
      </c>
      <c r="G34" s="320" t="s">
        <v>601</v>
      </c>
      <c r="H34" s="321">
        <v>0</v>
      </c>
      <c r="I34" s="322">
        <f>Tabel12[[#This Row],[Afname Hoeveelheid]]*Tabel12[[#This Row],[prijs per eenheid bruto]]</f>
        <v>0</v>
      </c>
      <c r="J34" s="323">
        <v>0</v>
      </c>
      <c r="K34" s="324">
        <f>Tabel12[[#This Row],[Totaal kosten excl korting]]*(1-Tabel12[[#This Row],[Kortings percentage]])</f>
        <v>0</v>
      </c>
      <c r="L34" s="318"/>
    </row>
    <row r="35" spans="1:12" ht="12.75">
      <c r="A35" s="319" t="s">
        <v>664</v>
      </c>
      <c r="B35" s="320">
        <v>1223250</v>
      </c>
      <c r="C35" s="320" t="s">
        <v>597</v>
      </c>
      <c r="D35" s="320" t="s">
        <v>693</v>
      </c>
      <c r="E35" s="320" t="s">
        <v>628</v>
      </c>
      <c r="F35" s="320">
        <v>2</v>
      </c>
      <c r="G35" s="320" t="s">
        <v>601</v>
      </c>
      <c r="H35" s="321">
        <v>0</v>
      </c>
      <c r="I35" s="322">
        <f>Tabel12[[#This Row],[Afname Hoeveelheid]]*Tabel12[[#This Row],[prijs per eenheid bruto]]</f>
        <v>0</v>
      </c>
      <c r="J35" s="323">
        <v>0</v>
      </c>
      <c r="K35" s="324">
        <f>Tabel12[[#This Row],[Totaal kosten excl korting]]*(1-Tabel12[[#This Row],[Kortings percentage]])</f>
        <v>0</v>
      </c>
      <c r="L35" s="318"/>
    </row>
    <row r="36" spans="1:12" ht="12.75">
      <c r="A36" s="319" t="s">
        <v>438</v>
      </c>
      <c r="B36" s="320">
        <v>2557500</v>
      </c>
      <c r="C36" s="320" t="s">
        <v>597</v>
      </c>
      <c r="D36" s="320" t="s">
        <v>694</v>
      </c>
      <c r="E36" s="320" t="s">
        <v>695</v>
      </c>
      <c r="F36" s="320">
        <v>1</v>
      </c>
      <c r="G36" s="320" t="s">
        <v>601</v>
      </c>
      <c r="H36" s="321">
        <v>0</v>
      </c>
      <c r="I36" s="322">
        <f>Tabel12[[#This Row],[Afname Hoeveelheid]]*Tabel12[[#This Row],[prijs per eenheid bruto]]</f>
        <v>0</v>
      </c>
      <c r="J36" s="323">
        <v>0</v>
      </c>
      <c r="K36" s="324">
        <f>Tabel12[[#This Row],[Totaal kosten excl korting]]*(1-Tabel12[[#This Row],[Kortings percentage]])</f>
        <v>0</v>
      </c>
      <c r="L36" s="318"/>
    </row>
    <row r="37" spans="1:12" ht="12.75">
      <c r="A37" s="319" t="s">
        <v>438</v>
      </c>
      <c r="B37" s="320">
        <v>1273401</v>
      </c>
      <c r="C37" s="320" t="s">
        <v>597</v>
      </c>
      <c r="D37" s="320" t="s">
        <v>696</v>
      </c>
      <c r="E37" s="320" t="s">
        <v>681</v>
      </c>
      <c r="F37" s="320">
        <v>1</v>
      </c>
      <c r="G37" s="320" t="s">
        <v>601</v>
      </c>
      <c r="H37" s="321">
        <v>0</v>
      </c>
      <c r="I37" s="322">
        <f>Tabel12[[#This Row],[Afname Hoeveelheid]]*Tabel12[[#This Row],[prijs per eenheid bruto]]</f>
        <v>0</v>
      </c>
      <c r="J37" s="323">
        <v>0</v>
      </c>
      <c r="K37" s="324">
        <f>Tabel12[[#This Row],[Totaal kosten excl korting]]*(1-Tabel12[[#This Row],[Kortings percentage]])</f>
        <v>0</v>
      </c>
      <c r="L37" s="318"/>
    </row>
    <row r="38" spans="1:12" ht="12.75">
      <c r="A38" s="319" t="s">
        <v>664</v>
      </c>
      <c r="B38" s="320">
        <v>1818200</v>
      </c>
      <c r="C38" s="320" t="s">
        <v>597</v>
      </c>
      <c r="D38" s="320" t="s">
        <v>697</v>
      </c>
      <c r="E38" s="320" t="s">
        <v>698</v>
      </c>
      <c r="F38" s="320">
        <v>1</v>
      </c>
      <c r="G38" s="320" t="s">
        <v>601</v>
      </c>
      <c r="H38" s="321">
        <v>0</v>
      </c>
      <c r="I38" s="322">
        <f>Tabel12[[#This Row],[Afname Hoeveelheid]]*Tabel12[[#This Row],[prijs per eenheid bruto]]</f>
        <v>0</v>
      </c>
      <c r="J38" s="323">
        <v>0</v>
      </c>
      <c r="K38" s="324">
        <f>Tabel12[[#This Row],[Totaal kosten excl korting]]*(1-Tabel12[[#This Row],[Kortings percentage]])</f>
        <v>0</v>
      </c>
      <c r="L38" s="318"/>
    </row>
    <row r="39" spans="1:12" ht="12.75">
      <c r="A39" s="319" t="s">
        <v>664</v>
      </c>
      <c r="B39" s="320">
        <v>1916100</v>
      </c>
      <c r="C39" s="320" t="s">
        <v>597</v>
      </c>
      <c r="D39" s="320" t="s">
        <v>632</v>
      </c>
      <c r="E39" s="320" t="s">
        <v>633</v>
      </c>
      <c r="F39" s="320">
        <v>6</v>
      </c>
      <c r="G39" s="320" t="s">
        <v>615</v>
      </c>
      <c r="H39" s="321">
        <v>0</v>
      </c>
      <c r="I39" s="322">
        <f>Tabel12[[#This Row],[Afname Hoeveelheid]]*Tabel12[[#This Row],[prijs per eenheid bruto]]</f>
        <v>0</v>
      </c>
      <c r="J39" s="323">
        <v>0</v>
      </c>
      <c r="K39" s="324">
        <f>Tabel12[[#This Row],[Totaal kosten excl korting]]*(1-Tabel12[[#This Row],[Kortings percentage]])</f>
        <v>0</v>
      </c>
      <c r="L39" s="318"/>
    </row>
    <row r="40" spans="1:12" ht="12.75">
      <c r="A40" s="319" t="s">
        <v>438</v>
      </c>
      <c r="B40" s="320">
        <v>1916100</v>
      </c>
      <c r="C40" s="320" t="s">
        <v>597</v>
      </c>
      <c r="D40" s="320" t="s">
        <v>632</v>
      </c>
      <c r="E40" s="320" t="s">
        <v>633</v>
      </c>
      <c r="F40" s="320">
        <v>2</v>
      </c>
      <c r="G40" s="320" t="s">
        <v>615</v>
      </c>
      <c r="H40" s="321">
        <v>0</v>
      </c>
      <c r="I40" s="322">
        <f>Tabel12[[#This Row],[Afname Hoeveelheid]]*Tabel12[[#This Row],[prijs per eenheid bruto]]</f>
        <v>0</v>
      </c>
      <c r="J40" s="323">
        <v>0</v>
      </c>
      <c r="K40" s="324">
        <f>Tabel12[[#This Row],[Totaal kosten excl korting]]*(1-Tabel12[[#This Row],[Kortings percentage]])</f>
        <v>0</v>
      </c>
      <c r="L40" s="318"/>
    </row>
    <row r="41" spans="1:12" ht="12.75">
      <c r="A41" s="319" t="s">
        <v>664</v>
      </c>
      <c r="B41" s="320">
        <v>662401</v>
      </c>
      <c r="C41" s="320" t="s">
        <v>665</v>
      </c>
      <c r="D41" s="320" t="s">
        <v>634</v>
      </c>
      <c r="E41" s="320" t="s">
        <v>610</v>
      </c>
      <c r="F41" s="320">
        <v>12</v>
      </c>
      <c r="G41" s="320" t="s">
        <v>601</v>
      </c>
      <c r="H41" s="321">
        <v>0</v>
      </c>
      <c r="I41" s="322">
        <f>Tabel12[[#This Row],[Afname Hoeveelheid]]*Tabel12[[#This Row],[prijs per eenheid bruto]]</f>
        <v>0</v>
      </c>
      <c r="J41" s="323">
        <v>0</v>
      </c>
      <c r="K41" s="324">
        <f>Tabel12[[#This Row],[Totaal kosten excl korting]]*(1-Tabel12[[#This Row],[Kortings percentage]])</f>
        <v>0</v>
      </c>
      <c r="L41" s="318"/>
    </row>
    <row r="42" spans="1:12" ht="12.75">
      <c r="A42" s="319" t="s">
        <v>664</v>
      </c>
      <c r="B42" s="320">
        <v>1475300</v>
      </c>
      <c r="C42" s="320" t="s">
        <v>597</v>
      </c>
      <c r="D42" s="320" t="s">
        <v>635</v>
      </c>
      <c r="E42" s="320" t="s">
        <v>636</v>
      </c>
      <c r="F42" s="320">
        <v>2</v>
      </c>
      <c r="G42" s="320" t="s">
        <v>601</v>
      </c>
      <c r="H42" s="321">
        <v>0</v>
      </c>
      <c r="I42" s="322">
        <f>Tabel12[[#This Row],[Afname Hoeveelheid]]*Tabel12[[#This Row],[prijs per eenheid bruto]]</f>
        <v>0</v>
      </c>
      <c r="J42" s="323">
        <v>0</v>
      </c>
      <c r="K42" s="324">
        <f>Tabel12[[#This Row],[Totaal kosten excl korting]]*(1-Tabel12[[#This Row],[Kortings percentage]])</f>
        <v>0</v>
      </c>
      <c r="L42" s="318"/>
    </row>
    <row r="43" spans="1:12" ht="12.75">
      <c r="A43" s="319" t="s">
        <v>664</v>
      </c>
      <c r="B43" s="320">
        <v>627840</v>
      </c>
      <c r="C43" s="320" t="s">
        <v>665</v>
      </c>
      <c r="D43" s="320" t="s">
        <v>699</v>
      </c>
      <c r="E43" s="320" t="s">
        <v>630</v>
      </c>
      <c r="F43" s="320">
        <v>1</v>
      </c>
      <c r="G43" s="320" t="s">
        <v>601</v>
      </c>
      <c r="H43" s="321">
        <v>0</v>
      </c>
      <c r="I43" s="322">
        <f>Tabel12[[#This Row],[Afname Hoeveelheid]]*Tabel12[[#This Row],[prijs per eenheid bruto]]</f>
        <v>0</v>
      </c>
      <c r="J43" s="323">
        <v>0</v>
      </c>
      <c r="K43" s="324">
        <f>Tabel12[[#This Row],[Totaal kosten excl korting]]*(1-Tabel12[[#This Row],[Kortings percentage]])</f>
        <v>0</v>
      </c>
      <c r="L43" s="318"/>
    </row>
    <row r="44" spans="1:12" ht="12.75">
      <c r="A44" s="319" t="s">
        <v>664</v>
      </c>
      <c r="B44" s="320">
        <v>1156100</v>
      </c>
      <c r="C44" s="320" t="s">
        <v>623</v>
      </c>
      <c r="D44" s="320" t="s">
        <v>700</v>
      </c>
      <c r="E44" s="320" t="s">
        <v>701</v>
      </c>
      <c r="F44" s="320">
        <v>6</v>
      </c>
      <c r="G44" s="320" t="s">
        <v>619</v>
      </c>
      <c r="H44" s="321">
        <v>0</v>
      </c>
      <c r="I44" s="322">
        <f>Tabel12[[#This Row],[Afname Hoeveelheid]]*Tabel12[[#This Row],[prijs per eenheid bruto]]</f>
        <v>0</v>
      </c>
      <c r="J44" s="323">
        <v>0</v>
      </c>
      <c r="K44" s="324">
        <f>Tabel12[[#This Row],[Totaal kosten excl korting]]*(1-Tabel12[[#This Row],[Kortings percentage]])</f>
        <v>0</v>
      </c>
      <c r="L44" s="318"/>
    </row>
    <row r="45" spans="1:12" ht="12.75">
      <c r="A45" s="319" t="s">
        <v>664</v>
      </c>
      <c r="B45" s="320">
        <v>627216</v>
      </c>
      <c r="C45" s="320" t="s">
        <v>665</v>
      </c>
      <c r="D45" s="320" t="s">
        <v>702</v>
      </c>
      <c r="E45" s="320" t="s">
        <v>618</v>
      </c>
      <c r="F45" s="320">
        <v>6</v>
      </c>
      <c r="G45" s="320" t="s">
        <v>619</v>
      </c>
      <c r="H45" s="321">
        <v>0</v>
      </c>
      <c r="I45" s="322">
        <f>Tabel12[[#This Row],[Afname Hoeveelheid]]*Tabel12[[#This Row],[prijs per eenheid bruto]]</f>
        <v>0</v>
      </c>
      <c r="J45" s="323">
        <v>0</v>
      </c>
      <c r="K45" s="324">
        <f>Tabel12[[#This Row],[Totaal kosten excl korting]]*(1-Tabel12[[#This Row],[Kortings percentage]])</f>
        <v>0</v>
      </c>
      <c r="L45" s="318"/>
    </row>
    <row r="46" spans="1:12" ht="12.75">
      <c r="A46" s="319" t="s">
        <v>438</v>
      </c>
      <c r="B46" s="320">
        <v>1445100</v>
      </c>
      <c r="C46" s="320" t="s">
        <v>597</v>
      </c>
      <c r="D46" s="320" t="s">
        <v>703</v>
      </c>
      <c r="E46" s="320" t="s">
        <v>639</v>
      </c>
      <c r="F46" s="320">
        <v>10</v>
      </c>
      <c r="G46" s="320" t="s">
        <v>640</v>
      </c>
      <c r="H46" s="321">
        <v>0</v>
      </c>
      <c r="I46" s="322">
        <f>Tabel12[[#This Row],[Afname Hoeveelheid]]*Tabel12[[#This Row],[prijs per eenheid bruto]]</f>
        <v>0</v>
      </c>
      <c r="J46" s="323">
        <v>0</v>
      </c>
      <c r="K46" s="324">
        <f>Tabel12[[#This Row],[Totaal kosten excl korting]]*(1-Tabel12[[#This Row],[Kortings percentage]])</f>
        <v>0</v>
      </c>
      <c r="L46" s="318"/>
    </row>
    <row r="47" spans="1:12" ht="12.75">
      <c r="A47" s="319" t="s">
        <v>438</v>
      </c>
      <c r="B47" s="320">
        <v>1400700</v>
      </c>
      <c r="C47" s="320" t="s">
        <v>597</v>
      </c>
      <c r="D47" s="320" t="s">
        <v>704</v>
      </c>
      <c r="E47" s="320" t="s">
        <v>681</v>
      </c>
      <c r="F47" s="320">
        <v>10</v>
      </c>
      <c r="G47" s="320" t="s">
        <v>601</v>
      </c>
      <c r="H47" s="321">
        <v>0</v>
      </c>
      <c r="I47" s="322">
        <f>Tabel12[[#This Row],[Afname Hoeveelheid]]*Tabel12[[#This Row],[prijs per eenheid bruto]]</f>
        <v>0</v>
      </c>
      <c r="J47" s="323">
        <v>0</v>
      </c>
      <c r="K47" s="324">
        <f>Tabel12[[#This Row],[Totaal kosten excl korting]]*(1-Tabel12[[#This Row],[Kortings percentage]])</f>
        <v>0</v>
      </c>
      <c r="L47" s="318"/>
    </row>
    <row r="48" spans="1:12" ht="12.75">
      <c r="A48" s="319" t="s">
        <v>664</v>
      </c>
      <c r="B48" s="320">
        <v>658400</v>
      </c>
      <c r="C48" s="320" t="s">
        <v>609</v>
      </c>
      <c r="D48" s="320" t="s">
        <v>705</v>
      </c>
      <c r="E48" s="320" t="s">
        <v>637</v>
      </c>
      <c r="F48" s="320">
        <v>42</v>
      </c>
      <c r="G48" s="320" t="s">
        <v>601</v>
      </c>
      <c r="H48" s="321">
        <v>0</v>
      </c>
      <c r="I48" s="322">
        <f>Tabel12[[#This Row],[Afname Hoeveelheid]]*Tabel12[[#This Row],[prijs per eenheid bruto]]</f>
        <v>0</v>
      </c>
      <c r="J48" s="323">
        <v>0</v>
      </c>
      <c r="K48" s="324">
        <f>Tabel12[[#This Row],[Totaal kosten excl korting]]*(1-Tabel12[[#This Row],[Kortings percentage]])</f>
        <v>0</v>
      </c>
      <c r="L48" s="318"/>
    </row>
    <row r="49" spans="1:12" ht="12.75">
      <c r="A49" s="319" t="s">
        <v>438</v>
      </c>
      <c r="B49" s="320">
        <v>576700</v>
      </c>
      <c r="C49" s="320" t="s">
        <v>665</v>
      </c>
      <c r="D49" s="320" t="s">
        <v>638</v>
      </c>
      <c r="E49" s="320" t="s">
        <v>639</v>
      </c>
      <c r="F49" s="320">
        <v>30</v>
      </c>
      <c r="G49" s="320" t="s">
        <v>640</v>
      </c>
      <c r="H49" s="321">
        <v>0</v>
      </c>
      <c r="I49" s="322">
        <f>Tabel12[[#This Row],[Afname Hoeveelheid]]*Tabel12[[#This Row],[prijs per eenheid bruto]]</f>
        <v>0</v>
      </c>
      <c r="J49" s="323">
        <v>0</v>
      </c>
      <c r="K49" s="324">
        <f>Tabel12[[#This Row],[Totaal kosten excl korting]]*(1-Tabel12[[#This Row],[Kortings percentage]])</f>
        <v>0</v>
      </c>
      <c r="L49" s="318"/>
    </row>
    <row r="50" spans="1:12" ht="12.75">
      <c r="A50" s="319" t="s">
        <v>438</v>
      </c>
      <c r="B50" s="320">
        <v>576600</v>
      </c>
      <c r="C50" s="320" t="s">
        <v>665</v>
      </c>
      <c r="D50" s="320" t="s">
        <v>641</v>
      </c>
      <c r="E50" s="320" t="s">
        <v>639</v>
      </c>
      <c r="F50" s="320">
        <v>30</v>
      </c>
      <c r="G50" s="320" t="s">
        <v>640</v>
      </c>
      <c r="H50" s="321">
        <v>0</v>
      </c>
      <c r="I50" s="322">
        <f>Tabel12[[#This Row],[Afname Hoeveelheid]]*Tabel12[[#This Row],[prijs per eenheid bruto]]</f>
        <v>0</v>
      </c>
      <c r="J50" s="323">
        <v>0</v>
      </c>
      <c r="K50" s="324">
        <f>Tabel12[[#This Row],[Totaal kosten excl korting]]*(1-Tabel12[[#This Row],[Kortings percentage]])</f>
        <v>0</v>
      </c>
      <c r="L50" s="318"/>
    </row>
    <row r="51" spans="1:12" ht="12.75">
      <c r="A51" s="319" t="s">
        <v>664</v>
      </c>
      <c r="B51" s="320">
        <v>1221100</v>
      </c>
      <c r="C51" s="320" t="s">
        <v>597</v>
      </c>
      <c r="D51" s="320" t="s">
        <v>706</v>
      </c>
      <c r="E51" s="320" t="s">
        <v>707</v>
      </c>
      <c r="F51" s="320">
        <v>2</v>
      </c>
      <c r="G51" s="320" t="s">
        <v>601</v>
      </c>
      <c r="H51" s="321">
        <v>0</v>
      </c>
      <c r="I51" s="322">
        <f>Tabel12[[#This Row],[Afname Hoeveelheid]]*Tabel12[[#This Row],[prijs per eenheid bruto]]</f>
        <v>0</v>
      </c>
      <c r="J51" s="323">
        <v>0</v>
      </c>
      <c r="K51" s="324">
        <f>Tabel12[[#This Row],[Totaal kosten excl korting]]*(1-Tabel12[[#This Row],[Kortings percentage]])</f>
        <v>0</v>
      </c>
      <c r="L51" s="318"/>
    </row>
    <row r="52" spans="1:12">
      <c r="A52" s="325"/>
      <c r="B52" s="313"/>
      <c r="C52" s="313"/>
      <c r="D52" s="313"/>
      <c r="E52" s="326"/>
      <c r="F52" s="313"/>
      <c r="G52" s="11"/>
      <c r="H52" s="313"/>
      <c r="I52" s="327"/>
      <c r="J52" s="328"/>
      <c r="K52" s="328"/>
    </row>
    <row r="53" spans="1:12">
      <c r="A53" s="329" t="s">
        <v>596</v>
      </c>
      <c r="B53" s="330"/>
      <c r="C53" s="330"/>
      <c r="D53" s="330"/>
      <c r="E53" s="331"/>
      <c r="F53" s="330"/>
      <c r="G53" s="332"/>
      <c r="H53" s="330"/>
      <c r="I53" s="333"/>
      <c r="J53" s="334"/>
      <c r="K53" s="333">
        <f>SUM(K5:K52)</f>
        <v>0</v>
      </c>
    </row>
    <row r="54" spans="1:12" ht="12.75">
      <c r="A54" s="335" t="s">
        <v>642</v>
      </c>
      <c r="B54" s="336"/>
      <c r="C54" s="336"/>
      <c r="D54" s="336"/>
      <c r="E54" s="337"/>
      <c r="F54" s="336"/>
      <c r="G54" s="338"/>
      <c r="H54" s="339"/>
      <c r="I54" s="340"/>
      <c r="J54" s="341">
        <f>AVERAGE(J5:J51)</f>
        <v>0</v>
      </c>
      <c r="K54" s="342"/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5F61-82EF-44C2-9DB1-61143EB133BF}">
  <sheetPr>
    <tabColor theme="0" tint="-0.14999847407452621"/>
  </sheetPr>
  <dimension ref="A1:E13"/>
  <sheetViews>
    <sheetView workbookViewId="0">
      <selection activeCell="E32" sqref="E32"/>
    </sheetView>
  </sheetViews>
  <sheetFormatPr defaultColWidth="9.140625" defaultRowHeight="15"/>
  <cols>
    <col min="1" max="1" width="96" style="343" customWidth="1"/>
    <col min="2" max="2" width="27.7109375" style="343" customWidth="1"/>
    <col min="3" max="5" width="9.140625" style="343"/>
  </cols>
  <sheetData>
    <row r="1" spans="1:5">
      <c r="A1" s="420" t="s">
        <v>217</v>
      </c>
      <c r="B1" s="405"/>
    </row>
    <row r="2" spans="1:5">
      <c r="A2" s="344"/>
      <c r="B2" s="345"/>
    </row>
    <row r="3" spans="1:5">
      <c r="A3" s="422" t="s">
        <v>643</v>
      </c>
      <c r="B3" s="423"/>
    </row>
    <row r="4" spans="1:5" ht="26.25">
      <c r="A4" s="346" t="s">
        <v>644</v>
      </c>
      <c r="B4" s="347" t="s">
        <v>645</v>
      </c>
      <c r="E4"/>
    </row>
    <row r="5" spans="1:5">
      <c r="A5" s="348" t="s">
        <v>646</v>
      </c>
      <c r="B5" s="349">
        <v>0</v>
      </c>
      <c r="E5"/>
    </row>
    <row r="6" spans="1:5">
      <c r="A6" s="348" t="s">
        <v>647</v>
      </c>
      <c r="B6" s="349">
        <v>0</v>
      </c>
      <c r="E6"/>
    </row>
    <row r="7" spans="1:5">
      <c r="A7" s="348" t="s">
        <v>648</v>
      </c>
      <c r="B7" s="349">
        <v>0</v>
      </c>
      <c r="E7"/>
    </row>
    <row r="8" spans="1:5">
      <c r="A8" s="348" t="s">
        <v>649</v>
      </c>
      <c r="B8" s="349">
        <v>0</v>
      </c>
      <c r="E8"/>
    </row>
    <row r="9" spans="1:5">
      <c r="A9" s="348" t="s">
        <v>650</v>
      </c>
      <c r="B9" s="349">
        <v>0</v>
      </c>
      <c r="E9"/>
    </row>
    <row r="10" spans="1:5">
      <c r="A10" s="348" t="s">
        <v>651</v>
      </c>
      <c r="B10" s="349">
        <v>0</v>
      </c>
      <c r="E10"/>
    </row>
    <row r="11" spans="1:5">
      <c r="A11" s="348" t="s">
        <v>652</v>
      </c>
      <c r="B11" s="349">
        <v>0</v>
      </c>
      <c r="E11"/>
    </row>
    <row r="12" spans="1:5">
      <c r="A12" s="348" t="s">
        <v>623</v>
      </c>
      <c r="B12" s="349">
        <v>0</v>
      </c>
      <c r="E12"/>
    </row>
    <row r="13" spans="1:5">
      <c r="A13" s="346" t="s">
        <v>653</v>
      </c>
      <c r="B13" s="350">
        <f>AVERAGE(B5:B12)</f>
        <v>0</v>
      </c>
      <c r="E13"/>
    </row>
  </sheetData>
  <mergeCells count="2">
    <mergeCell ref="A1:B1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C9A9-0E80-4923-AAC0-880E88BABDCF}">
  <sheetPr>
    <tabColor theme="0" tint="-0.14999847407452621"/>
  </sheetPr>
  <dimension ref="A1:H5"/>
  <sheetViews>
    <sheetView workbookViewId="0">
      <selection activeCell="A4" sqref="A4"/>
    </sheetView>
  </sheetViews>
  <sheetFormatPr defaultRowHeight="15"/>
  <cols>
    <col min="1" max="1" width="31.5703125" customWidth="1"/>
    <col min="2" max="2" width="27.28515625" bestFit="1" customWidth="1"/>
    <col min="3" max="3" width="10.42578125" style="359" bestFit="1" customWidth="1"/>
    <col min="4" max="4" width="11.28515625" style="370" bestFit="1" customWidth="1"/>
    <col min="5" max="5" width="30.7109375" style="371" bestFit="1" customWidth="1"/>
    <col min="6" max="6" width="22" customWidth="1"/>
    <col min="7" max="7" width="21.140625" customWidth="1"/>
    <col min="8" max="8" width="15.42578125" style="371" bestFit="1" customWidth="1"/>
  </cols>
  <sheetData>
    <row r="1" spans="1:8" ht="18">
      <c r="A1" s="351" t="s">
        <v>654</v>
      </c>
      <c r="B1" s="352"/>
      <c r="C1" s="352"/>
      <c r="D1" s="352"/>
      <c r="E1" s="353"/>
      <c r="F1" s="354"/>
      <c r="G1" s="424" t="s">
        <v>655</v>
      </c>
      <c r="H1" s="425"/>
    </row>
    <row r="2" spans="1:8" s="359" customFormat="1" ht="45">
      <c r="A2" s="355" t="s">
        <v>656</v>
      </c>
      <c r="B2" s="355" t="s">
        <v>657</v>
      </c>
      <c r="C2" s="356" t="s">
        <v>658</v>
      </c>
      <c r="D2" s="357" t="s">
        <v>659</v>
      </c>
      <c r="E2" s="356" t="s">
        <v>660</v>
      </c>
      <c r="F2" s="356" t="s">
        <v>661</v>
      </c>
      <c r="G2" s="356" t="s">
        <v>662</v>
      </c>
      <c r="H2" s="358" t="s">
        <v>596</v>
      </c>
    </row>
    <row r="3" spans="1:8" ht="14.25">
      <c r="A3" s="360" t="s">
        <v>438</v>
      </c>
      <c r="B3" s="360" t="s">
        <v>439</v>
      </c>
      <c r="C3" s="360" t="s">
        <v>440</v>
      </c>
      <c r="D3" s="360" t="s">
        <v>441</v>
      </c>
      <c r="E3" s="361">
        <v>1</v>
      </c>
      <c r="F3" s="361">
        <v>40</v>
      </c>
      <c r="G3" s="362">
        <v>0</v>
      </c>
      <c r="H3" s="363">
        <f>E3*F3*G3</f>
        <v>0</v>
      </c>
    </row>
    <row r="4" spans="1:8" ht="14.25">
      <c r="A4" s="360" t="s">
        <v>664</v>
      </c>
      <c r="B4" s="360" t="s">
        <v>709</v>
      </c>
      <c r="C4" s="360" t="s">
        <v>710</v>
      </c>
      <c r="D4" s="360" t="s">
        <v>711</v>
      </c>
      <c r="E4" s="361">
        <v>1</v>
      </c>
      <c r="F4" s="361">
        <v>40</v>
      </c>
      <c r="G4" s="362">
        <v>0</v>
      </c>
      <c r="H4" s="363">
        <f>E4*F4*G4</f>
        <v>0</v>
      </c>
    </row>
    <row r="5" spans="1:8" s="365" customFormat="1">
      <c r="A5" s="364"/>
      <c r="D5" s="366"/>
      <c r="E5" s="367"/>
      <c r="F5" s="355" t="s">
        <v>663</v>
      </c>
      <c r="G5" s="368"/>
      <c r="H5" s="369">
        <f>SUM(H3:H4)</f>
        <v>0</v>
      </c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406" t="s">
        <v>180</v>
      </c>
      <c r="B1" s="406"/>
      <c r="C1" s="406"/>
      <c r="D1" s="406"/>
    </row>
    <row r="2" spans="1:9" s="7" customFormat="1" ht="18.75" customHeight="1">
      <c r="A2" s="420" t="s">
        <v>217</v>
      </c>
      <c r="B2" s="405"/>
      <c r="C2" s="405"/>
      <c r="D2" s="405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231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45" t="s">
        <v>248</v>
      </c>
      <c r="F8" s="245" t="s">
        <v>250</v>
      </c>
      <c r="G8" s="245" t="s">
        <v>249</v>
      </c>
      <c r="H8" s="245" t="s">
        <v>247</v>
      </c>
      <c r="I8" s="245" t="s">
        <v>260</v>
      </c>
    </row>
    <row r="9" spans="1:9" ht="18.75" customHeight="1">
      <c r="A9" s="426" t="s">
        <v>198</v>
      </c>
      <c r="B9" s="75" t="s">
        <v>184</v>
      </c>
      <c r="C9" s="75" t="s">
        <v>183</v>
      </c>
      <c r="D9" s="78">
        <v>0</v>
      </c>
      <c r="E9" s="242" t="e">
        <f>InvulRegie[[#This Row],[Prijs excl. BTW]]*Tariefsopbouw!$I$37+InvulRegie[[#This Row],[Prijs excl. BTW]]</f>
        <v>#DIV/0!</v>
      </c>
      <c r="F9" s="243" t="e">
        <f>InvulRegie[[#This Row],[2024]]*Tariefsopbouw!$K$37+InvulRegie[[#This Row],[2024]]</f>
        <v>#DIV/0!</v>
      </c>
      <c r="G9" s="243" t="e">
        <f>InvulRegie[[#This Row],[2025]]*Tariefsopbouw!$M$37+InvulRegie[[#This Row],[2025]]</f>
        <v>#DIV/0!</v>
      </c>
      <c r="H9" s="243" t="e">
        <f>InvulRegie[[#This Row],[2026]]*Tariefsopbouw!$O$37+InvulRegie[[#This Row],[2026]]</f>
        <v>#DIV/0!</v>
      </c>
      <c r="I9" s="243" t="e">
        <f>InvulRegie[[#This Row],[2027]]*Tariefsopbouw!$Q$37+InvulRegie[[#This Row],[2027]]</f>
        <v>#DIV/0!</v>
      </c>
    </row>
    <row r="10" spans="1:9" ht="18.75" customHeight="1">
      <c r="A10" s="427"/>
      <c r="B10" s="75" t="s">
        <v>185</v>
      </c>
      <c r="C10" s="75" t="s">
        <v>183</v>
      </c>
      <c r="D10" s="78">
        <v>0</v>
      </c>
      <c r="E10" s="242" t="e">
        <f>InvulRegie[[#This Row],[Prijs excl. BTW]]*Tariefsopbouw!$I$37+InvulRegie[[#This Row],[Prijs excl. BTW]]</f>
        <v>#DIV/0!</v>
      </c>
      <c r="F10" s="242" t="e">
        <f>InvulRegie[[#This Row],[2024]]*Tariefsopbouw!$K$37+InvulRegie[[#This Row],[2024]]</f>
        <v>#DIV/0!</v>
      </c>
      <c r="G10" s="242" t="e">
        <f>InvulRegie[[#This Row],[2025]]*Tariefsopbouw!$M$37+InvulRegie[[#This Row],[2025]]</f>
        <v>#DIV/0!</v>
      </c>
      <c r="H10" s="242" t="e">
        <f>InvulRegie[[#This Row],[2026]]*Tariefsopbouw!$O$37+InvulRegie[[#This Row],[2026]]</f>
        <v>#DIV/0!</v>
      </c>
      <c r="I10" s="242" t="e">
        <f>InvulRegie[[#This Row],[2027]]*Tariefsopbouw!$Q$37+InvulRegie[[#This Row],[2027]]</f>
        <v>#DIV/0!</v>
      </c>
    </row>
    <row r="11" spans="1:9" ht="18.75" customHeight="1">
      <c r="A11" s="427"/>
      <c r="B11" s="75" t="s">
        <v>186</v>
      </c>
      <c r="C11" s="75" t="s">
        <v>183</v>
      </c>
      <c r="D11" s="78">
        <v>0</v>
      </c>
      <c r="E11" s="242" t="e">
        <f>InvulRegie[[#This Row],[Prijs excl. BTW]]*Tariefsopbouw!$I$37+InvulRegie[[#This Row],[Prijs excl. BTW]]</f>
        <v>#DIV/0!</v>
      </c>
      <c r="F11" s="242" t="e">
        <f>InvulRegie[[#This Row],[2024]]*Tariefsopbouw!$K$37+InvulRegie[[#This Row],[2024]]</f>
        <v>#DIV/0!</v>
      </c>
      <c r="G11" s="242" t="e">
        <f>InvulRegie[[#This Row],[2025]]*Tariefsopbouw!$M$37+InvulRegie[[#This Row],[2025]]</f>
        <v>#DIV/0!</v>
      </c>
      <c r="H11" s="242" t="e">
        <f>InvulRegie[[#This Row],[2026]]*Tariefsopbouw!$O$37+InvulRegie[[#This Row],[2026]]</f>
        <v>#DIV/0!</v>
      </c>
      <c r="I11" s="242" t="e">
        <f>InvulRegie[[#This Row],[2027]]*Tariefsopbouw!$Q$37+InvulRegie[[#This Row],[2027]]</f>
        <v>#DIV/0!</v>
      </c>
    </row>
    <row r="12" spans="1:9" ht="18.75" customHeight="1">
      <c r="A12" s="427"/>
      <c r="B12" s="74" t="s">
        <v>187</v>
      </c>
      <c r="C12" s="75" t="s">
        <v>183</v>
      </c>
      <c r="D12" s="78">
        <v>0</v>
      </c>
      <c r="E12" s="242" t="e">
        <f>InvulRegie[[#This Row],[Prijs excl. BTW]]*Tariefsopbouw!$I$37+InvulRegie[[#This Row],[Prijs excl. BTW]]</f>
        <v>#DIV/0!</v>
      </c>
      <c r="F12" s="242" t="e">
        <f>InvulRegie[[#This Row],[2024]]*Tariefsopbouw!$K$37+InvulRegie[[#This Row],[2024]]</f>
        <v>#DIV/0!</v>
      </c>
      <c r="G12" s="242" t="e">
        <f>InvulRegie[[#This Row],[2025]]*Tariefsopbouw!$M$37+InvulRegie[[#This Row],[2025]]</f>
        <v>#DIV/0!</v>
      </c>
      <c r="H12" s="242" t="e">
        <f>InvulRegie[[#This Row],[2026]]*Tariefsopbouw!$O$37+InvulRegie[[#This Row],[2026]]</f>
        <v>#DIV/0!</v>
      </c>
      <c r="I12" s="242" t="e">
        <f>InvulRegie[[#This Row],[2027]]*Tariefsopbouw!$Q$37+InvulRegie[[#This Row],[2027]]</f>
        <v>#DIV/0!</v>
      </c>
    </row>
    <row r="13" spans="1:9" ht="18.75" customHeight="1">
      <c r="A13" s="427"/>
      <c r="B13" s="74" t="s">
        <v>204</v>
      </c>
      <c r="C13" s="75" t="s">
        <v>183</v>
      </c>
      <c r="D13" s="78">
        <v>0</v>
      </c>
      <c r="E13" s="246" t="e">
        <f>InvulRegie[[#This Row],[Prijs excl. BTW]]*Tariefsopbouw!$I$37+InvulRegie[[#This Row],[Prijs excl. BTW]]</f>
        <v>#DIV/0!</v>
      </c>
      <c r="F13" s="246" t="e">
        <f>InvulRegie[[#This Row],[2024]]*Tariefsopbouw!$K$37+InvulRegie[[#This Row],[2024]]</f>
        <v>#DIV/0!</v>
      </c>
      <c r="G13" s="246" t="e">
        <f>InvulRegie[[#This Row],[2025]]*Tariefsopbouw!$M$37+InvulRegie[[#This Row],[2025]]</f>
        <v>#DIV/0!</v>
      </c>
      <c r="H13" s="246" t="e">
        <f>InvulRegie[[#This Row],[2026]]*Tariefsopbouw!$O$37+InvulRegie[[#This Row],[2026]]</f>
        <v>#DIV/0!</v>
      </c>
      <c r="I13" s="246" t="e">
        <f>InvulRegie[[#This Row],[2027]]*Tariefsopbouw!$Q$37+InvulRegie[[#This Row],[2027]]</f>
        <v>#DIV/0!</v>
      </c>
    </row>
    <row r="14" spans="1:9" ht="18.75" customHeight="1">
      <c r="A14" s="428"/>
      <c r="B14" s="75" t="s">
        <v>193</v>
      </c>
      <c r="C14" s="75" t="s">
        <v>183</v>
      </c>
      <c r="D14" s="78">
        <v>0</v>
      </c>
      <c r="E14" s="246" t="e">
        <f>InvulRegie[[#This Row],[Prijs excl. BTW]]*Tariefsopbouw!$I$37+InvulRegie[[#This Row],[Prijs excl. BTW]]</f>
        <v>#DIV/0!</v>
      </c>
      <c r="F14" s="246" t="e">
        <f>InvulRegie[[#This Row],[2024]]*Tariefsopbouw!$K$37+InvulRegie[[#This Row],[2024]]</f>
        <v>#DIV/0!</v>
      </c>
      <c r="G14" s="246" t="e">
        <f>InvulRegie[[#This Row],[2025]]*Tariefsopbouw!$M$37+InvulRegie[[#This Row],[2025]]</f>
        <v>#DIV/0!</v>
      </c>
      <c r="H14" s="246" t="e">
        <f>InvulRegie[[#This Row],[2026]]*Tariefsopbouw!$O$37+InvulRegie[[#This Row],[2026]]</f>
        <v>#DIV/0!</v>
      </c>
      <c r="I14" s="246" t="e">
        <f>InvulRegie[[#This Row],[2027]]*Tariefsopbouw!$Q$37+InvulRegie[[#This Row],[2027]]</f>
        <v>#DIV/0!</v>
      </c>
    </row>
    <row r="15" spans="1:9" ht="18.75" customHeight="1">
      <c r="A15" s="426" t="s">
        <v>134</v>
      </c>
      <c r="B15" s="75" t="s">
        <v>41</v>
      </c>
      <c r="C15" s="75" t="s">
        <v>42</v>
      </c>
      <c r="D15" s="78">
        <v>0</v>
      </c>
      <c r="E15" s="246" t="e">
        <f>InvulRegie[[#This Row],[Prijs excl. BTW]]*Tariefsopbouw!$I$37+InvulRegie[[#This Row],[Prijs excl. BTW]]</f>
        <v>#DIV/0!</v>
      </c>
      <c r="F15" s="246" t="e">
        <f>InvulRegie[[#This Row],[2024]]*Tariefsopbouw!$K$37+InvulRegie[[#This Row],[2024]]</f>
        <v>#DIV/0!</v>
      </c>
      <c r="G15" s="246" t="e">
        <f>InvulRegie[[#This Row],[2025]]*Tariefsopbouw!$M$37+InvulRegie[[#This Row],[2025]]</f>
        <v>#DIV/0!</v>
      </c>
      <c r="H15" s="246" t="e">
        <f>InvulRegie[[#This Row],[2026]]*Tariefsopbouw!$O$37+InvulRegie[[#This Row],[2026]]</f>
        <v>#DIV/0!</v>
      </c>
      <c r="I15" s="246" t="e">
        <f>InvulRegie[[#This Row],[2027]]*Tariefsopbouw!$Q$37+InvulRegie[[#This Row],[2027]]</f>
        <v>#DIV/0!</v>
      </c>
    </row>
    <row r="16" spans="1:9" ht="18.75" customHeight="1">
      <c r="A16" s="427"/>
      <c r="B16" s="75" t="s">
        <v>43</v>
      </c>
      <c r="C16" s="75" t="s">
        <v>188</v>
      </c>
      <c r="D16" s="78">
        <v>0</v>
      </c>
      <c r="E16" s="246" t="e">
        <f>InvulRegie[[#This Row],[Prijs excl. BTW]]*Tariefsopbouw!$I$37+InvulRegie[[#This Row],[Prijs excl. BTW]]</f>
        <v>#DIV/0!</v>
      </c>
      <c r="F16" s="246" t="e">
        <f>InvulRegie[[#This Row],[2024]]*Tariefsopbouw!$K$37+InvulRegie[[#This Row],[2024]]</f>
        <v>#DIV/0!</v>
      </c>
      <c r="G16" s="246" t="e">
        <f>InvulRegie[[#This Row],[2025]]*Tariefsopbouw!$M$37+InvulRegie[[#This Row],[2025]]</f>
        <v>#DIV/0!</v>
      </c>
      <c r="H16" s="246" t="e">
        <f>InvulRegie[[#This Row],[2026]]*Tariefsopbouw!$O$37+InvulRegie[[#This Row],[2026]]</f>
        <v>#DIV/0!</v>
      </c>
      <c r="I16" s="246" t="e">
        <f>InvulRegie[[#This Row],[2027]]*Tariefsopbouw!$Q$37+InvulRegie[[#This Row],[2027]]</f>
        <v>#DIV/0!</v>
      </c>
    </row>
    <row r="17" spans="1:9" ht="18.75" customHeight="1">
      <c r="A17" s="427"/>
      <c r="B17" s="75" t="s">
        <v>189</v>
      </c>
      <c r="C17" s="75" t="s">
        <v>188</v>
      </c>
      <c r="D17" s="78">
        <v>0</v>
      </c>
      <c r="E17" s="246" t="e">
        <f>InvulRegie[[#This Row],[Prijs excl. BTW]]*Tariefsopbouw!$I$37+InvulRegie[[#This Row],[Prijs excl. BTW]]</f>
        <v>#DIV/0!</v>
      </c>
      <c r="F17" s="246" t="e">
        <f>InvulRegie[[#This Row],[2024]]*Tariefsopbouw!$K$37+InvulRegie[[#This Row],[2024]]</f>
        <v>#DIV/0!</v>
      </c>
      <c r="G17" s="246" t="e">
        <f>InvulRegie[[#This Row],[2025]]*Tariefsopbouw!$M$37+InvulRegie[[#This Row],[2025]]</f>
        <v>#DIV/0!</v>
      </c>
      <c r="H17" s="246" t="e">
        <f>InvulRegie[[#This Row],[2026]]*Tariefsopbouw!$O$37+InvulRegie[[#This Row],[2026]]</f>
        <v>#DIV/0!</v>
      </c>
      <c r="I17" s="246" t="e">
        <f>InvulRegie[[#This Row],[2027]]*Tariefsopbouw!$Q$37+InvulRegie[[#This Row],[2027]]</f>
        <v>#DIV/0!</v>
      </c>
    </row>
    <row r="18" spans="1:9" ht="18.75" customHeight="1">
      <c r="A18" s="427"/>
      <c r="B18" s="75" t="s">
        <v>190</v>
      </c>
      <c r="C18" s="75" t="s">
        <v>44</v>
      </c>
      <c r="D18" s="78">
        <v>0</v>
      </c>
      <c r="E18" s="246" t="e">
        <f>InvulRegie[[#This Row],[Prijs excl. BTW]]*Tariefsopbouw!$I$37+InvulRegie[[#This Row],[Prijs excl. BTW]]</f>
        <v>#DIV/0!</v>
      </c>
      <c r="F18" s="246" t="e">
        <f>InvulRegie[[#This Row],[2024]]*Tariefsopbouw!$K$37+InvulRegie[[#This Row],[2024]]</f>
        <v>#DIV/0!</v>
      </c>
      <c r="G18" s="246" t="e">
        <f>InvulRegie[[#This Row],[2025]]*Tariefsopbouw!$M$37+InvulRegie[[#This Row],[2025]]</f>
        <v>#DIV/0!</v>
      </c>
      <c r="H18" s="246" t="e">
        <f>InvulRegie[[#This Row],[2026]]*Tariefsopbouw!$O$37+InvulRegie[[#This Row],[2026]]</f>
        <v>#DIV/0!</v>
      </c>
      <c r="I18" s="246" t="e">
        <f>InvulRegie[[#This Row],[2027]]*Tariefsopbouw!$Q$37+InvulRegie[[#This Row],[2027]]</f>
        <v>#DIV/0!</v>
      </c>
    </row>
    <row r="19" spans="1:9" ht="18.75" customHeight="1">
      <c r="A19" s="427"/>
      <c r="B19" s="75" t="s">
        <v>246</v>
      </c>
      <c r="C19" s="75" t="s">
        <v>44</v>
      </c>
      <c r="D19" s="78">
        <v>0</v>
      </c>
      <c r="E19" s="246" t="e">
        <f>InvulRegie[[#This Row],[Prijs excl. BTW]]*Tariefsopbouw!$I$37+InvulRegie[[#This Row],[Prijs excl. BTW]]</f>
        <v>#DIV/0!</v>
      </c>
      <c r="F19" s="246" t="e">
        <f>InvulRegie[[#This Row],[2024]]*Tariefsopbouw!$K$37+InvulRegie[[#This Row],[2024]]</f>
        <v>#DIV/0!</v>
      </c>
      <c r="G19" s="246" t="e">
        <f>InvulRegie[[#This Row],[2025]]*Tariefsopbouw!$M$37+InvulRegie[[#This Row],[2025]]</f>
        <v>#DIV/0!</v>
      </c>
      <c r="H19" s="246" t="e">
        <f>InvulRegie[[#This Row],[2026]]*Tariefsopbouw!$O$37+InvulRegie[[#This Row],[2026]]</f>
        <v>#DIV/0!</v>
      </c>
      <c r="I19" s="246" t="e">
        <f>InvulRegie[[#This Row],[2027]]*Tariefsopbouw!$Q$37+InvulRegie[[#This Row],[2027]]</f>
        <v>#DIV/0!</v>
      </c>
    </row>
    <row r="20" spans="1:9" ht="18.75" customHeight="1">
      <c r="A20" s="427"/>
      <c r="B20" s="75" t="s">
        <v>191</v>
      </c>
      <c r="C20" s="75" t="s">
        <v>44</v>
      </c>
      <c r="D20" s="78">
        <v>0</v>
      </c>
      <c r="E20" s="246" t="e">
        <f>InvulRegie[[#This Row],[Prijs excl. BTW]]*Tariefsopbouw!$I$37+InvulRegie[[#This Row],[Prijs excl. BTW]]</f>
        <v>#DIV/0!</v>
      </c>
      <c r="F20" s="246" t="e">
        <f>InvulRegie[[#This Row],[2024]]*Tariefsopbouw!$K$37+InvulRegie[[#This Row],[2024]]</f>
        <v>#DIV/0!</v>
      </c>
      <c r="G20" s="246" t="e">
        <f>InvulRegie[[#This Row],[2025]]*Tariefsopbouw!$M$37+InvulRegie[[#This Row],[2025]]</f>
        <v>#DIV/0!</v>
      </c>
      <c r="H20" s="246" t="e">
        <f>InvulRegie[[#This Row],[2026]]*Tariefsopbouw!$O$37+InvulRegie[[#This Row],[2026]]</f>
        <v>#DIV/0!</v>
      </c>
      <c r="I20" s="246" t="e">
        <f>InvulRegie[[#This Row],[2027]]*Tariefsopbouw!$Q$37+InvulRegie[[#This Row],[2027]]</f>
        <v>#DIV/0!</v>
      </c>
    </row>
    <row r="21" spans="1:9" ht="18.75" customHeight="1">
      <c r="A21" s="428"/>
      <c r="B21" s="75" t="s">
        <v>192</v>
      </c>
      <c r="C21" s="75" t="s">
        <v>44</v>
      </c>
      <c r="D21" s="78">
        <v>0</v>
      </c>
      <c r="E21" s="246" t="e">
        <f>InvulRegie[[#This Row],[Prijs excl. BTW]]*Tariefsopbouw!$I$37+InvulRegie[[#This Row],[Prijs excl. BTW]]</f>
        <v>#DIV/0!</v>
      </c>
      <c r="F21" s="246" t="e">
        <f>InvulRegie[[#This Row],[2024]]*Tariefsopbouw!$K$37+InvulRegie[[#This Row],[2024]]</f>
        <v>#DIV/0!</v>
      </c>
      <c r="G21" s="246" t="e">
        <f>InvulRegie[[#This Row],[2025]]*Tariefsopbouw!$M$37+InvulRegie[[#This Row],[2025]]</f>
        <v>#DIV/0!</v>
      </c>
      <c r="H21" s="246" t="e">
        <f>InvulRegie[[#This Row],[2026]]*Tariefsopbouw!$O$37+InvulRegie[[#This Row],[2026]]</f>
        <v>#DIV/0!</v>
      </c>
      <c r="I21" s="246" t="e">
        <f>InvulRegie[[#This Row],[2027]]*Tariefsopbouw!$Q$37+InvulRegie[[#This Row],[2027]]</f>
        <v>#DIV/0!</v>
      </c>
    </row>
    <row r="22" spans="1:9" ht="18.75" customHeight="1">
      <c r="A22" s="426" t="s">
        <v>195</v>
      </c>
      <c r="B22" s="75" t="s">
        <v>57</v>
      </c>
      <c r="C22" s="75" t="s">
        <v>49</v>
      </c>
      <c r="D22" s="78">
        <v>0</v>
      </c>
      <c r="E22" s="246" t="e">
        <f>InvulRegie[[#This Row],[Prijs excl. BTW]]*Tariefsopbouw!$I$37+InvulRegie[[#This Row],[Prijs excl. BTW]]</f>
        <v>#DIV/0!</v>
      </c>
      <c r="F22" s="246" t="e">
        <f>InvulRegie[[#This Row],[2024]]*Tariefsopbouw!$K$37+InvulRegie[[#This Row],[2024]]</f>
        <v>#DIV/0!</v>
      </c>
      <c r="G22" s="246" t="e">
        <f>InvulRegie[[#This Row],[2025]]*Tariefsopbouw!$M$37+InvulRegie[[#This Row],[2025]]</f>
        <v>#DIV/0!</v>
      </c>
      <c r="H22" s="246" t="e">
        <f>InvulRegie[[#This Row],[2026]]*Tariefsopbouw!$O$37+InvulRegie[[#This Row],[2026]]</f>
        <v>#DIV/0!</v>
      </c>
      <c r="I22" s="246" t="e">
        <f>InvulRegie[[#This Row],[2027]]*Tariefsopbouw!$Q$37+InvulRegie[[#This Row],[2027]]</f>
        <v>#DIV/0!</v>
      </c>
    </row>
    <row r="23" spans="1:9" ht="18.75" customHeight="1">
      <c r="A23" s="428"/>
      <c r="B23" s="75" t="s">
        <v>45</v>
      </c>
      <c r="C23" s="75" t="s">
        <v>75</v>
      </c>
      <c r="D23" s="78">
        <v>0</v>
      </c>
      <c r="E23" s="246" t="e">
        <f>InvulRegie[[#This Row],[Prijs excl. BTW]]*Tariefsopbouw!$I$37+InvulRegie[[#This Row],[Prijs excl. BTW]]</f>
        <v>#DIV/0!</v>
      </c>
      <c r="F23" s="246" t="e">
        <f>InvulRegie[[#This Row],[2024]]*Tariefsopbouw!$K$37+InvulRegie[[#This Row],[2024]]</f>
        <v>#DIV/0!</v>
      </c>
      <c r="G23" s="246" t="e">
        <f>InvulRegie[[#This Row],[2025]]*Tariefsopbouw!$M$37+InvulRegie[[#This Row],[2025]]</f>
        <v>#DIV/0!</v>
      </c>
      <c r="H23" s="246" t="e">
        <f>InvulRegie[[#This Row],[2026]]*Tariefsopbouw!$O$37+InvulRegie[[#This Row],[2026]]</f>
        <v>#DIV/0!</v>
      </c>
      <c r="I23" s="246" t="e">
        <f>InvulRegie[[#This Row],[2027]]*Tariefsopbouw!$Q$37+InvulRegie[[#This Row],[2027]]</f>
        <v>#DIV/0!</v>
      </c>
    </row>
    <row r="24" spans="1:9" ht="18.75" customHeight="1">
      <c r="A24" s="426" t="s">
        <v>205</v>
      </c>
      <c r="B24" s="75" t="s">
        <v>196</v>
      </c>
      <c r="C24" s="75" t="s">
        <v>197</v>
      </c>
      <c r="D24" s="78">
        <v>0</v>
      </c>
      <c r="E24" s="246" t="e">
        <f>InvulRegie[[#This Row],[Prijs excl. BTW]]*Tariefsopbouw!$I$37+InvulRegie[[#This Row],[Prijs excl. BTW]]</f>
        <v>#DIV/0!</v>
      </c>
      <c r="F24" s="246" t="e">
        <f>InvulRegie[[#This Row],[2024]]*Tariefsopbouw!$K$37+InvulRegie[[#This Row],[2024]]</f>
        <v>#DIV/0!</v>
      </c>
      <c r="G24" s="246" t="e">
        <f>InvulRegie[[#This Row],[2025]]*Tariefsopbouw!$M$37+InvulRegie[[#This Row],[2025]]</f>
        <v>#DIV/0!</v>
      </c>
      <c r="H24" s="246" t="e">
        <f>InvulRegie[[#This Row],[2026]]*Tariefsopbouw!$O$37+InvulRegie[[#This Row],[2026]]</f>
        <v>#DIV/0!</v>
      </c>
      <c r="I24" s="246" t="e">
        <f>InvulRegie[[#This Row],[2027]]*Tariefsopbouw!$Q$37+InvulRegie[[#This Row],[2027]]</f>
        <v>#DIV/0!</v>
      </c>
    </row>
    <row r="25" spans="1:9" ht="18.75" customHeight="1">
      <c r="A25" s="427"/>
      <c r="B25" s="75" t="s">
        <v>239</v>
      </c>
      <c r="C25" s="75" t="s">
        <v>197</v>
      </c>
      <c r="D25" s="78">
        <v>0</v>
      </c>
      <c r="E25" s="246" t="e">
        <f>InvulRegie[[#This Row],[Prijs excl. BTW]]*Tariefsopbouw!$I$37+InvulRegie[[#This Row],[Prijs excl. BTW]]</f>
        <v>#DIV/0!</v>
      </c>
      <c r="F25" s="246" t="e">
        <f>InvulRegie[[#This Row],[2024]]*Tariefsopbouw!$K$37+InvulRegie[[#This Row],[2024]]</f>
        <v>#DIV/0!</v>
      </c>
      <c r="G25" s="246" t="e">
        <f>InvulRegie[[#This Row],[2025]]*Tariefsopbouw!$M$37+InvulRegie[[#This Row],[2025]]</f>
        <v>#DIV/0!</v>
      </c>
      <c r="H25" s="246" t="e">
        <f>InvulRegie[[#This Row],[2026]]*Tariefsopbouw!$O$37+InvulRegie[[#This Row],[2026]]</f>
        <v>#DIV/0!</v>
      </c>
      <c r="I25" s="246" t="e">
        <f>InvulRegie[[#This Row],[2027]]*Tariefsopbouw!$Q$37+InvulRegie[[#This Row],[2027]]</f>
        <v>#DIV/0!</v>
      </c>
    </row>
    <row r="26" spans="1:9" ht="18.75" customHeight="1">
      <c r="A26" s="427"/>
      <c r="B26" s="75" t="s">
        <v>241</v>
      </c>
      <c r="C26" s="75" t="s">
        <v>197</v>
      </c>
      <c r="D26" s="78">
        <v>0</v>
      </c>
      <c r="E26" s="246" t="e">
        <f>InvulRegie[[#This Row],[Prijs excl. BTW]]*Tariefsopbouw!$I$37+InvulRegie[[#This Row],[Prijs excl. BTW]]</f>
        <v>#DIV/0!</v>
      </c>
      <c r="F26" s="246" t="e">
        <f>InvulRegie[[#This Row],[2024]]*Tariefsopbouw!$K$37+InvulRegie[[#This Row],[2024]]</f>
        <v>#DIV/0!</v>
      </c>
      <c r="G26" s="246" t="e">
        <f>InvulRegie[[#This Row],[2025]]*Tariefsopbouw!$M$37+InvulRegie[[#This Row],[2025]]</f>
        <v>#DIV/0!</v>
      </c>
      <c r="H26" s="246" t="e">
        <f>InvulRegie[[#This Row],[2026]]*Tariefsopbouw!$O$37+InvulRegie[[#This Row],[2026]]</f>
        <v>#DIV/0!</v>
      </c>
      <c r="I26" s="246" t="e">
        <f>InvulRegie[[#This Row],[2027]]*Tariefsopbouw!$Q$37+InvulRegie[[#This Row],[2027]]</f>
        <v>#DIV/0!</v>
      </c>
    </row>
    <row r="27" spans="1:9" ht="18.75" customHeight="1">
      <c r="A27" s="427"/>
      <c r="B27" s="75" t="s">
        <v>240</v>
      </c>
      <c r="C27" s="75" t="s">
        <v>197</v>
      </c>
      <c r="D27" s="78">
        <v>0</v>
      </c>
      <c r="E27" s="246" t="e">
        <f>InvulRegie[[#This Row],[Prijs excl. BTW]]*Tariefsopbouw!$I$37+InvulRegie[[#This Row],[Prijs excl. BTW]]</f>
        <v>#DIV/0!</v>
      </c>
      <c r="F27" s="246" t="e">
        <f>InvulRegie[[#This Row],[2024]]*Tariefsopbouw!$K$37+InvulRegie[[#This Row],[2024]]</f>
        <v>#DIV/0!</v>
      </c>
      <c r="G27" s="246" t="e">
        <f>InvulRegie[[#This Row],[2025]]*Tariefsopbouw!$M$37+InvulRegie[[#This Row],[2025]]</f>
        <v>#DIV/0!</v>
      </c>
      <c r="H27" s="246" t="e">
        <f>InvulRegie[[#This Row],[2026]]*Tariefsopbouw!$O$37+InvulRegie[[#This Row],[2026]]</f>
        <v>#DIV/0!</v>
      </c>
      <c r="I27" s="246" t="e">
        <f>InvulRegie[[#This Row],[2027]]*Tariefsopbouw!$Q$37+InvulRegie[[#This Row],[2027]]</f>
        <v>#DIV/0!</v>
      </c>
    </row>
    <row r="28" spans="1:9" ht="18.75" customHeight="1">
      <c r="A28" s="428"/>
      <c r="B28" s="75" t="s">
        <v>48</v>
      </c>
      <c r="C28" s="75" t="s">
        <v>197</v>
      </c>
      <c r="D28" s="78">
        <v>0</v>
      </c>
      <c r="E28" s="246" t="e">
        <f>InvulRegie[[#This Row],[Prijs excl. BTW]]*Tariefsopbouw!$I$37+InvulRegie[[#This Row],[Prijs excl. BTW]]</f>
        <v>#DIV/0!</v>
      </c>
      <c r="F28" s="246" t="e">
        <f>InvulRegie[[#This Row],[2024]]*Tariefsopbouw!$K$37+InvulRegie[[#This Row],[2024]]</f>
        <v>#DIV/0!</v>
      </c>
      <c r="G28" s="246" t="e">
        <f>InvulRegie[[#This Row],[2025]]*Tariefsopbouw!$M$37+InvulRegie[[#This Row],[2025]]</f>
        <v>#DIV/0!</v>
      </c>
      <c r="H28" s="246" t="e">
        <f>InvulRegie[[#This Row],[2026]]*Tariefsopbouw!$O$37+InvulRegie[[#This Row],[2026]]</f>
        <v>#DIV/0!</v>
      </c>
      <c r="I28" s="246" t="e">
        <f>InvulRegie[[#This Row],[2027]]*Tariefsopbouw!$Q$37+InvulRegie[[#This Row],[2027]]</f>
        <v>#DIV/0!</v>
      </c>
    </row>
    <row r="29" spans="1:9" ht="18.75" customHeight="1">
      <c r="A29" s="426" t="s">
        <v>206</v>
      </c>
      <c r="B29" s="74" t="s">
        <v>207</v>
      </c>
      <c r="C29" s="75" t="s">
        <v>194</v>
      </c>
      <c r="D29" s="78">
        <v>0</v>
      </c>
      <c r="E29" s="246" t="e">
        <f>InvulRegie[[#This Row],[Prijs excl. BTW]]*Tariefsopbouw!$I$37+InvulRegie[[#This Row],[Prijs excl. BTW]]</f>
        <v>#DIV/0!</v>
      </c>
      <c r="F29" s="244" t="e">
        <f>InvulRegie[[#This Row],[2024]]*Tariefsopbouw!$K$37+InvulRegie[[#This Row],[2024]]</f>
        <v>#DIV/0!</v>
      </c>
      <c r="G29" s="246" t="e">
        <f>InvulRegie[[#This Row],[2025]]*Tariefsopbouw!$M$37+InvulRegie[[#This Row],[2025]]</f>
        <v>#DIV/0!</v>
      </c>
      <c r="H29" s="246" t="e">
        <f>InvulRegie[[#This Row],[2026]]*Tariefsopbouw!$O$37+InvulRegie[[#This Row],[2026]]</f>
        <v>#DIV/0!</v>
      </c>
      <c r="I29" s="246" t="e">
        <f>InvulRegie[[#This Row],[2027]]*Tariefsopbouw!$Q$37+InvulRegie[[#This Row],[2027]]</f>
        <v>#DIV/0!</v>
      </c>
    </row>
    <row r="30" spans="1:9" ht="18.75" customHeight="1">
      <c r="A30" s="427"/>
      <c r="B30" s="74" t="s">
        <v>208</v>
      </c>
      <c r="C30" s="75" t="s">
        <v>194</v>
      </c>
      <c r="D30" s="78">
        <v>0</v>
      </c>
      <c r="E30" s="246" t="e">
        <f>InvulRegie[[#This Row],[Prijs excl. BTW]]*Tariefsopbouw!$I$37+InvulRegie[[#This Row],[Prijs excl. BTW]]</f>
        <v>#DIV/0!</v>
      </c>
      <c r="F30" s="244" t="e">
        <f>InvulRegie[[#This Row],[2024]]*Tariefsopbouw!$K$37+InvulRegie[[#This Row],[2024]]</f>
        <v>#DIV/0!</v>
      </c>
      <c r="G30" s="246" t="e">
        <f>InvulRegie[[#This Row],[2025]]*Tariefsopbouw!$M$37+InvulRegie[[#This Row],[2025]]</f>
        <v>#DIV/0!</v>
      </c>
      <c r="H30" s="246" t="e">
        <f>InvulRegie[[#This Row],[2026]]*Tariefsopbouw!$O$37+InvulRegie[[#This Row],[2026]]</f>
        <v>#DIV/0!</v>
      </c>
      <c r="I30" s="246" t="e">
        <f>InvulRegie[[#This Row],[2027]]*Tariefsopbouw!$Q$37+InvulRegie[[#This Row],[2027]]</f>
        <v>#DIV/0!</v>
      </c>
    </row>
    <row r="31" spans="1:9" ht="18.75" customHeight="1">
      <c r="A31" s="428"/>
      <c r="B31" s="74" t="s">
        <v>209</v>
      </c>
      <c r="C31" s="75" t="s">
        <v>194</v>
      </c>
      <c r="D31" s="78">
        <v>0</v>
      </c>
      <c r="E31" s="246" t="e">
        <f>InvulRegie[[#This Row],[Prijs excl. BTW]]*Tariefsopbouw!$I$37+InvulRegie[[#This Row],[Prijs excl. BTW]]</f>
        <v>#DIV/0!</v>
      </c>
      <c r="F31" s="244" t="e">
        <f>InvulRegie[[#This Row],[2024]]*Tariefsopbouw!$K$37+InvulRegie[[#This Row],[2024]]</f>
        <v>#DIV/0!</v>
      </c>
      <c r="G31" s="246" t="e">
        <f>InvulRegie[[#This Row],[2025]]*Tariefsopbouw!$M$37+InvulRegie[[#This Row],[2025]]</f>
        <v>#DIV/0!</v>
      </c>
      <c r="H31" s="246" t="e">
        <f>InvulRegie[[#This Row],[2026]]*Tariefsopbouw!$O$37+InvulRegie[[#This Row],[2026]]</f>
        <v>#DIV/0!</v>
      </c>
      <c r="I31" s="246" t="e">
        <f>InvulRegie[[#This Row],[2027]]*Tariefsopbouw!$Q$37+InvulRegie[[#This Row],[2027]]</f>
        <v>#DIV/0!</v>
      </c>
    </row>
    <row r="32" spans="1:9" ht="18.75" customHeight="1">
      <c r="A32" s="426" t="s">
        <v>202</v>
      </c>
      <c r="B32" s="75" t="s">
        <v>50</v>
      </c>
      <c r="C32" s="75" t="s">
        <v>49</v>
      </c>
      <c r="D32" s="78">
        <v>0</v>
      </c>
      <c r="E32" s="246" t="e">
        <f>InvulRegie[[#This Row],[Prijs excl. BTW]]*Tariefsopbouw!$I$37+InvulRegie[[#This Row],[Prijs excl. BTW]]</f>
        <v>#DIV/0!</v>
      </c>
      <c r="F32" s="246" t="e">
        <f>InvulRegie[[#This Row],[2024]]*Tariefsopbouw!$K$37+InvulRegie[[#This Row],[2024]]</f>
        <v>#DIV/0!</v>
      </c>
      <c r="G32" s="246" t="e">
        <f>InvulRegie[[#This Row],[2025]]*Tariefsopbouw!$M$37+InvulRegie[[#This Row],[2025]]</f>
        <v>#DIV/0!</v>
      </c>
      <c r="H32" s="246" t="e">
        <f>InvulRegie[[#This Row],[2026]]*Tariefsopbouw!$O$37+InvulRegie[[#This Row],[2026]]</f>
        <v>#DIV/0!</v>
      </c>
      <c r="I32" s="246" t="e">
        <f>InvulRegie[[#This Row],[2027]]*Tariefsopbouw!$Q$37+InvulRegie[[#This Row],[2027]]</f>
        <v>#DIV/0!</v>
      </c>
    </row>
    <row r="33" spans="1:9" ht="18.75" customHeight="1">
      <c r="A33" s="427"/>
      <c r="B33" s="75" t="s">
        <v>51</v>
      </c>
      <c r="C33" s="75" t="s">
        <v>49</v>
      </c>
      <c r="D33" s="78">
        <v>0</v>
      </c>
      <c r="E33" s="246" t="e">
        <f>InvulRegie[[#This Row],[Prijs excl. BTW]]*Tariefsopbouw!$I$37+InvulRegie[[#This Row],[Prijs excl. BTW]]</f>
        <v>#DIV/0!</v>
      </c>
      <c r="F33" s="246" t="e">
        <f>InvulRegie[[#This Row],[2024]]*Tariefsopbouw!$K$37+InvulRegie[[#This Row],[2024]]</f>
        <v>#DIV/0!</v>
      </c>
      <c r="G33" s="246" t="e">
        <f>InvulRegie[[#This Row],[2025]]*Tariefsopbouw!$M$37+InvulRegie[[#This Row],[2025]]</f>
        <v>#DIV/0!</v>
      </c>
      <c r="H33" s="246" t="e">
        <f>InvulRegie[[#This Row],[2026]]*Tariefsopbouw!$O$37+InvulRegie[[#This Row],[2026]]</f>
        <v>#DIV/0!</v>
      </c>
      <c r="I33" s="246" t="e">
        <f>InvulRegie[[#This Row],[2027]]*Tariefsopbouw!$Q$37+InvulRegie[[#This Row],[2027]]</f>
        <v>#DIV/0!</v>
      </c>
    </row>
    <row r="34" spans="1:9" ht="18.75" customHeight="1">
      <c r="A34" s="427"/>
      <c r="B34" s="75" t="s">
        <v>52</v>
      </c>
      <c r="C34" s="75" t="s">
        <v>49</v>
      </c>
      <c r="D34" s="78">
        <v>0</v>
      </c>
      <c r="E34" s="246" t="e">
        <f>InvulRegie[[#This Row],[Prijs excl. BTW]]*Tariefsopbouw!$I$37+InvulRegie[[#This Row],[Prijs excl. BTW]]</f>
        <v>#DIV/0!</v>
      </c>
      <c r="F34" s="246" t="e">
        <f>InvulRegie[[#This Row],[2024]]*Tariefsopbouw!$K$37+InvulRegie[[#This Row],[2024]]</f>
        <v>#DIV/0!</v>
      </c>
      <c r="G34" s="246" t="e">
        <f>InvulRegie[[#This Row],[2025]]*Tariefsopbouw!$M$37+InvulRegie[[#This Row],[2025]]</f>
        <v>#DIV/0!</v>
      </c>
      <c r="H34" s="246" t="e">
        <f>InvulRegie[[#This Row],[2026]]*Tariefsopbouw!$O$37+InvulRegie[[#This Row],[2026]]</f>
        <v>#DIV/0!</v>
      </c>
      <c r="I34" s="246" t="e">
        <f>InvulRegie[[#This Row],[2027]]*Tariefsopbouw!$Q$37+InvulRegie[[#This Row],[2027]]</f>
        <v>#DIV/0!</v>
      </c>
    </row>
    <row r="35" spans="1:9" ht="18.75" customHeight="1">
      <c r="A35" s="427"/>
      <c r="B35" s="75" t="s">
        <v>53</v>
      </c>
      <c r="C35" s="75" t="s">
        <v>49</v>
      </c>
      <c r="D35" s="78">
        <v>0</v>
      </c>
      <c r="E35" s="246" t="e">
        <f>InvulRegie[[#This Row],[Prijs excl. BTW]]*Tariefsopbouw!$I$37+InvulRegie[[#This Row],[Prijs excl. BTW]]</f>
        <v>#DIV/0!</v>
      </c>
      <c r="F35" s="246" t="e">
        <f>InvulRegie[[#This Row],[2024]]*Tariefsopbouw!$K$37+InvulRegie[[#This Row],[2024]]</f>
        <v>#DIV/0!</v>
      </c>
      <c r="G35" s="246" t="e">
        <f>InvulRegie[[#This Row],[2025]]*Tariefsopbouw!$M$37+InvulRegie[[#This Row],[2025]]</f>
        <v>#DIV/0!</v>
      </c>
      <c r="H35" s="246" t="e">
        <f>InvulRegie[[#This Row],[2026]]*Tariefsopbouw!$O$37+InvulRegie[[#This Row],[2026]]</f>
        <v>#DIV/0!</v>
      </c>
      <c r="I35" s="246" t="e">
        <f>InvulRegie[[#This Row],[2027]]*Tariefsopbouw!$Q$37+InvulRegie[[#This Row],[2027]]</f>
        <v>#DIV/0!</v>
      </c>
    </row>
    <row r="36" spans="1:9" ht="18.75" customHeight="1">
      <c r="A36" s="428"/>
      <c r="B36" s="75" t="s">
        <v>46</v>
      </c>
      <c r="C36" s="75" t="s">
        <v>47</v>
      </c>
      <c r="D36" s="78">
        <v>0</v>
      </c>
      <c r="E36" s="246" t="e">
        <f>InvulRegie[[#This Row],[Prijs excl. BTW]]*Tariefsopbouw!$I$37+InvulRegie[[#This Row],[Prijs excl. BTW]]</f>
        <v>#DIV/0!</v>
      </c>
      <c r="F36" s="246" t="e">
        <f>InvulRegie[[#This Row],[2024]]*Tariefsopbouw!$K$37+InvulRegie[[#This Row],[2024]]</f>
        <v>#DIV/0!</v>
      </c>
      <c r="G36" s="246" t="e">
        <f>InvulRegie[[#This Row],[2025]]*Tariefsopbouw!$M$37+InvulRegie[[#This Row],[2025]]</f>
        <v>#DIV/0!</v>
      </c>
      <c r="H36" s="246" t="e">
        <f>InvulRegie[[#This Row],[2026]]*Tariefsopbouw!$O$37+InvulRegie[[#This Row],[2026]]</f>
        <v>#DIV/0!</v>
      </c>
      <c r="I36" s="246" t="e">
        <f>InvulRegie[[#This Row],[2027]]*Tariefsopbouw!$Q$37+InvulRegie[[#This Row],[2027]]</f>
        <v>#DIV/0!</v>
      </c>
    </row>
    <row r="37" spans="1:9" ht="18.75" customHeight="1">
      <c r="A37" s="429" t="s">
        <v>203</v>
      </c>
      <c r="B37" s="75" t="s">
        <v>54</v>
      </c>
      <c r="C37" s="75" t="s">
        <v>230</v>
      </c>
      <c r="D37" s="78">
        <v>0</v>
      </c>
      <c r="E37" s="246" t="e">
        <f>InvulRegie[[#This Row],[Prijs excl. BTW]]*Tariefsopbouw!$I$37+InvulRegie[[#This Row],[Prijs excl. BTW]]</f>
        <v>#DIV/0!</v>
      </c>
      <c r="F37" s="246" t="e">
        <f>InvulRegie[[#This Row],[2024]]*Tariefsopbouw!$K$37+InvulRegie[[#This Row],[2024]]</f>
        <v>#DIV/0!</v>
      </c>
      <c r="G37" s="246" t="e">
        <f>InvulRegie[[#This Row],[2025]]*Tariefsopbouw!$M$37+InvulRegie[[#This Row],[2025]]</f>
        <v>#DIV/0!</v>
      </c>
      <c r="H37" s="246" t="e">
        <f>InvulRegie[[#This Row],[2026]]*Tariefsopbouw!$O$37+InvulRegie[[#This Row],[2026]]</f>
        <v>#DIV/0!</v>
      </c>
      <c r="I37" s="246" t="e">
        <f>InvulRegie[[#This Row],[2027]]*Tariefsopbouw!$Q$37+InvulRegie[[#This Row],[2027]]</f>
        <v>#DIV/0!</v>
      </c>
    </row>
    <row r="38" spans="1:9" ht="18.75" customHeight="1">
      <c r="A38" s="430"/>
      <c r="B38" s="75" t="s">
        <v>55</v>
      </c>
      <c r="C38" s="75" t="s">
        <v>56</v>
      </c>
      <c r="D38" s="78">
        <v>0</v>
      </c>
      <c r="E38" s="246" t="e">
        <f>InvulRegie[[#This Row],[Prijs excl. BTW]]*Tariefsopbouw!$I$37+InvulRegie[[#This Row],[Prijs excl. BTW]]</f>
        <v>#DIV/0!</v>
      </c>
      <c r="F38" s="246" t="e">
        <f>InvulRegie[[#This Row],[2024]]*Tariefsopbouw!$K$37+InvulRegie[[#This Row],[2024]]</f>
        <v>#DIV/0!</v>
      </c>
      <c r="G38" s="246" t="e">
        <f>InvulRegie[[#This Row],[2025]]*Tariefsopbouw!$M$37+InvulRegie[[#This Row],[2025]]</f>
        <v>#DIV/0!</v>
      </c>
      <c r="H38" s="246" t="e">
        <f>InvulRegie[[#This Row],[2026]]*Tariefsopbouw!$O$37+InvulRegie[[#This Row],[2026]]</f>
        <v>#DIV/0!</v>
      </c>
      <c r="I38" s="246" t="e">
        <f>InvulRegie[[#This Row],[2027]]*Tariefsopbouw!$Q$37+InvulRegie[[#This Row],[2027]]</f>
        <v>#DIV/0!</v>
      </c>
    </row>
    <row r="39" spans="1:9" ht="18.75" customHeight="1">
      <c r="A39" s="430"/>
      <c r="B39" s="75" t="s">
        <v>713</v>
      </c>
      <c r="C39" s="75" t="s">
        <v>56</v>
      </c>
      <c r="D39" s="78">
        <v>0</v>
      </c>
      <c r="E39" s="246" t="e">
        <f>InvulRegie[[#This Row],[Prijs excl. BTW]]*Tariefsopbouw!$I$37+InvulRegie[[#This Row],[Prijs excl. BTW]]</f>
        <v>#DIV/0!</v>
      </c>
      <c r="F39" s="246" t="e">
        <f>InvulRegie[[#This Row],[2024]]*Tariefsopbouw!$K$37+InvulRegie[[#This Row],[2024]]</f>
        <v>#DIV/0!</v>
      </c>
      <c r="G39" s="246" t="e">
        <f>InvulRegie[[#This Row],[2025]]*Tariefsopbouw!$M$37+InvulRegie[[#This Row],[2025]]</f>
        <v>#DIV/0!</v>
      </c>
      <c r="H39" s="246" t="e">
        <f>InvulRegie[[#This Row],[2026]]*Tariefsopbouw!$O$37+InvulRegie[[#This Row],[2026]]</f>
        <v>#DIV/0!</v>
      </c>
      <c r="I39" s="246" t="e">
        <f>InvulRegie[[#This Row],[2027]]*Tariefsopbouw!$Q$37+InvulRegie[[#This Row],[2027]]</f>
        <v>#DIV/0!</v>
      </c>
    </row>
    <row r="40" spans="1:9" ht="18.75" customHeight="1">
      <c r="A40" s="431"/>
      <c r="B40" s="75" t="s">
        <v>714</v>
      </c>
      <c r="C40" s="75" t="s">
        <v>56</v>
      </c>
      <c r="D40" s="78">
        <v>0</v>
      </c>
      <c r="E40" s="246" t="e">
        <f>InvulRegie[[#This Row],[Prijs excl. BTW]]*Tariefsopbouw!$I$37+InvulRegie[[#This Row],[Prijs excl. BTW]]</f>
        <v>#DIV/0!</v>
      </c>
      <c r="F40" s="246" t="e">
        <f>InvulRegie[[#This Row],[2024]]*Tariefsopbouw!$K$37+InvulRegie[[#This Row],[2024]]</f>
        <v>#DIV/0!</v>
      </c>
      <c r="G40" s="246" t="e">
        <f>InvulRegie[[#This Row],[2025]]*Tariefsopbouw!$M$37+InvulRegie[[#This Row],[2025]]</f>
        <v>#DIV/0!</v>
      </c>
      <c r="H40" s="246" t="e">
        <f>InvulRegie[[#This Row],[2026]]*Tariefsopbouw!$O$37+InvulRegie[[#This Row],[2026]]</f>
        <v>#DIV/0!</v>
      </c>
      <c r="I40" s="246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41" t="s">
        <v>33</v>
      </c>
      <c r="C41" s="241"/>
      <c r="D41" s="241"/>
      <c r="E41" s="241"/>
      <c r="F41" s="241"/>
      <c r="G41" s="241"/>
      <c r="H41" s="241"/>
      <c r="I41" s="241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1"/>
  <sheetViews>
    <sheetView showGridLines="0" zoomScaleNormal="100" zoomScaleSheetLayoutView="100" workbookViewId="0">
      <selection activeCell="F9" sqref="F9"/>
    </sheetView>
  </sheetViews>
  <sheetFormatPr defaultColWidth="9.140625" defaultRowHeight="18.75" customHeight="1"/>
  <cols>
    <col min="1" max="1" width="13.7109375" style="3" customWidth="1"/>
    <col min="2" max="2" width="29.28515625" style="157" bestFit="1" customWidth="1"/>
    <col min="3" max="6" width="23.28515625" style="3" customWidth="1"/>
    <col min="7" max="7" width="21.140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407" t="s">
        <v>219</v>
      </c>
      <c r="B1" s="407"/>
      <c r="C1" s="407"/>
      <c r="D1" s="407"/>
      <c r="E1" s="407"/>
      <c r="F1" s="407"/>
      <c r="G1" s="407"/>
      <c r="H1" s="407"/>
    </row>
    <row r="2" spans="1:11" s="7" customFormat="1" ht="15" customHeight="1">
      <c r="A2" s="417" t="s">
        <v>232</v>
      </c>
      <c r="B2" s="389"/>
      <c r="C2" s="389"/>
      <c r="D2" s="389"/>
      <c r="E2" s="389"/>
      <c r="F2" s="389"/>
      <c r="G2" s="389"/>
      <c r="H2" s="389"/>
    </row>
    <row r="3" spans="1:11" s="4" customFormat="1" ht="15" customHeight="1">
      <c r="B3" s="33"/>
    </row>
    <row r="4" spans="1:11" ht="26.25" customHeight="1">
      <c r="A4" s="88" t="s">
        <v>229</v>
      </c>
      <c r="B4" s="3"/>
    </row>
    <row r="5" spans="1:11" s="48" customFormat="1" ht="25.5" customHeight="1">
      <c r="A5" s="152" t="s">
        <v>214</v>
      </c>
      <c r="B5" s="153" t="s">
        <v>149</v>
      </c>
      <c r="C5" s="152" t="s">
        <v>167</v>
      </c>
      <c r="D5" s="154" t="s">
        <v>131</v>
      </c>
      <c r="E5" s="154" t="s">
        <v>168</v>
      </c>
      <c r="F5" s="152" t="s">
        <v>130</v>
      </c>
      <c r="G5" s="155" t="s">
        <v>169</v>
      </c>
      <c r="H5" s="49" t="s">
        <v>170</v>
      </c>
    </row>
    <row r="6" spans="1:11" ht="18.75" customHeight="1">
      <c r="A6" s="156">
        <v>1</v>
      </c>
      <c r="B6" s="42" t="str">
        <f>VLOOKUP(Samenvattingschoonmaak[[#This Row],[Code Locatie]],Locaties[],2,0)</f>
        <v>Hoornbeeck College Apeldoorn</v>
      </c>
      <c r="C6" s="44">
        <f>SUMIF('Ruimtestaat'!$A:$A,Totalisatie!$A6,'Ruimtestaat'!$N:$N)</f>
        <v>2813.2000000000003</v>
      </c>
      <c r="D6" s="44">
        <f>SUMIF('Ruimtestaat'!$A:$A,Totalisatie!$A6,'Ruimtestaat'!$AE:$AE)</f>
        <v>506214.00000000006</v>
      </c>
      <c r="E6" s="45">
        <f>SUMIF('Ruimtestaat'!$A:$A,Totalisatie!$A6,'Ruimtestaat'!$AF:$AF)</f>
        <v>0</v>
      </c>
      <c r="F6" s="46" t="e">
        <f t="shared" ref="F6" si="0">D6/E6</f>
        <v>#DIV/0!</v>
      </c>
      <c r="G6" s="47">
        <f>SUMIF('Ruimtestaat'!$A:$A,Totalisatie!$A6,'Ruimtestaat'!$AG:$AG)</f>
        <v>0</v>
      </c>
      <c r="H6" s="151">
        <f t="shared" ref="H6" si="1">G6/C6</f>
        <v>0</v>
      </c>
    </row>
    <row r="7" spans="1:11" s="48" customFormat="1" ht="21" customHeight="1">
      <c r="A7" s="178"/>
      <c r="B7" s="179" t="s">
        <v>33</v>
      </c>
      <c r="C7" s="180">
        <f>SUBTOTAL(109,Samenvattingschoonmaak[Oppervlakte i/o])</f>
        <v>2813.2000000000003</v>
      </c>
      <c r="D7" s="180">
        <f>SUBTOTAL(109,Samenvattingschoonmaak[Prest. (m2 /jaar)])</f>
        <v>506214.00000000006</v>
      </c>
      <c r="E7" s="181">
        <f>SUBTOTAL(109,Samenvattingschoonmaak[Uren / jaar])</f>
        <v>0</v>
      </c>
      <c r="F7" s="180" t="e">
        <f>Samenvattingschoonmaak[[#Totals],[Prest. (m2 /jaar)]]/Samenvattingschoonmaak[[#Totals],[Uren / jaar]]</f>
        <v>#DIV/0!</v>
      </c>
      <c r="G7" s="182">
        <f>SUBTOTAL(109,Samenvattingschoonmaak[Kosten / jaar])</f>
        <v>0</v>
      </c>
      <c r="H7" s="183">
        <f>Samenvattingschoonmaak[[#Totals],[Kosten / jaar]]/Samenvattingschoonmaak[[#Totals],[Oppervlakte i/o]]</f>
        <v>0</v>
      </c>
    </row>
    <row r="8" spans="1:11" ht="18.75" customHeight="1">
      <c r="A8" s="157"/>
      <c r="B8" s="3"/>
    </row>
    <row r="9" spans="1:11" ht="18.75" customHeight="1">
      <c r="A9" s="88" t="s">
        <v>173</v>
      </c>
      <c r="B9" s="43"/>
      <c r="C9" s="43"/>
      <c r="D9" s="43"/>
      <c r="E9" s="43"/>
      <c r="F9" s="43"/>
      <c r="G9" s="43"/>
      <c r="H9" s="43"/>
    </row>
    <row r="10" spans="1:11" ht="25.5" customHeight="1">
      <c r="A10" s="152" t="s">
        <v>214</v>
      </c>
      <c r="B10" s="153" t="s">
        <v>221</v>
      </c>
      <c r="C10" s="152" t="s">
        <v>175</v>
      </c>
      <c r="D10" s="155" t="s">
        <v>171</v>
      </c>
      <c r="E10" s="155" t="s">
        <v>172</v>
      </c>
      <c r="F10" s="155" t="s">
        <v>540</v>
      </c>
      <c r="G10" s="372" t="s">
        <v>586</v>
      </c>
      <c r="H10" s="372" t="s">
        <v>712</v>
      </c>
      <c r="I10" s="155" t="s">
        <v>220</v>
      </c>
    </row>
    <row r="11" spans="1:11" ht="18.75" customHeight="1">
      <c r="A11" s="374">
        <v>1</v>
      </c>
      <c r="B11" s="375" t="str">
        <f>VLOOKUP(Totalisatie[[#This Row],[Code Locatie]],Locaties[],2,0)</f>
        <v>Hoornbeeck College Apeldoorn</v>
      </c>
      <c r="C11" s="373">
        <f>SUMIF('Ruimtestaat'!A:A,Totalisatie[[#This Row],[Code Locatie]],'Ruimtestaat'!AG:AG)</f>
        <v>0</v>
      </c>
      <c r="D11" s="373">
        <f>SUMIF(Vloeronderhoud!$A$21:$A$25,Totalisatie[[#This Row],[Code Locatie]],Vloeronderhoud!$H$21:$H$25)</f>
        <v>0</v>
      </c>
      <c r="E11" s="373">
        <f>SUMIF(OverzichtExtra[Code Locatie],Totalisatie[[#This Row],[Code Locatie]],OverzichtExtra[Kosten/jaar excl. BTW])</f>
        <v>0</v>
      </c>
      <c r="F11" s="373">
        <f ca="1">SUMIF(OverzichtGlas[[Code Locatie]:[Kosten/jaar excl. BTW]],Totalisatie[[#This Row],[Code Locatie]],OverzichtGlas[Kosten/jaar excl. BTW])</f>
        <v>0</v>
      </c>
      <c r="G11" s="373">
        <f ca="1">SUMIF(Reinigingsmiddelen!A5:K51,Totalisatie[[#This Row],[Locaties]],Reinigingsmiddelen!K5:K51)</f>
        <v>0</v>
      </c>
      <c r="H11" s="373">
        <f ca="1">SUMIF(Logistiek!A3:H4,Totalisatie[[#This Row],[Locaties]],Logistiek!H3:H4)</f>
        <v>0</v>
      </c>
      <c r="I11" s="373">
        <f ca="1">SUM(Totalisatie[[#This Row],[Schoonmaakonderhoud
Kosten / jaar]:[Logistiek Kosten / jaar]])</f>
        <v>0</v>
      </c>
      <c r="K11" s="200"/>
    </row>
    <row r="12" spans="1:11" ht="18.75" customHeight="1">
      <c r="A12" s="374">
        <v>2</v>
      </c>
      <c r="B12" s="375" t="s">
        <v>664</v>
      </c>
      <c r="C12" s="373"/>
      <c r="D12" s="373"/>
      <c r="E12" s="373"/>
      <c r="F12" s="373"/>
      <c r="G12" s="373">
        <f ca="1">SUMIF(Reinigingsmiddelen!A6:K52,Totalisatie[[#This Row],[Locaties]],Reinigingsmiddelen!K6:K52)</f>
        <v>0</v>
      </c>
      <c r="H12" s="373">
        <f ca="1">SUMIF(Logistiek!A4:H5,Totalisatie[[#This Row],[Locaties]],Logistiek!H4:H5)</f>
        <v>0</v>
      </c>
      <c r="I12" s="373">
        <f ca="1">SUM(Totalisatie[[#This Row],[Schoonmaakonderhoud
Kosten / jaar]:[Logistiek Kosten / jaar]])</f>
        <v>0</v>
      </c>
      <c r="K12" s="200"/>
    </row>
    <row r="13" spans="1:11" ht="18.75" customHeight="1">
      <c r="A13" s="175"/>
      <c r="B13" s="176" t="s">
        <v>33</v>
      </c>
      <c r="C13" s="177">
        <f>SUBTOTAL(109,Totalisatie[Schoonmaakonderhoud
Kosten / jaar])</f>
        <v>0</v>
      </c>
      <c r="D13" s="177">
        <f>SUBTOTAL(109,Totalisatie[Vloeronderhoud
Kosten / jaar])</f>
        <v>0</v>
      </c>
      <c r="E13" s="177">
        <f>SUBTOTAL(109,Totalisatie[Extra Werkzaamheden
Kosten / jaar])</f>
        <v>0</v>
      </c>
      <c r="F13" s="177">
        <f ca="1">SUBTOTAL(109,Totalisatie[Glasbewassing
Kosten / jaar])</f>
        <v>0</v>
      </c>
      <c r="G13" s="177">
        <f ca="1">SUBTOTAL(109,Totalisatie[Reinigingsmiddelen Kosten / jaar])</f>
        <v>0</v>
      </c>
      <c r="H13" s="177">
        <f ca="1">SUBTOTAL(109,Totalisatie[Logistiek Kosten / jaar])</f>
        <v>0</v>
      </c>
      <c r="I13" s="177">
        <f ca="1">SUBTOTAL(109,Totalisatie[Totaalprijs
Kosten / jaar])</f>
        <v>0</v>
      </c>
    </row>
    <row r="14" spans="1:11" ht="18.75" customHeight="1">
      <c r="A14" s="157"/>
      <c r="B14" s="3"/>
      <c r="H14" s="43"/>
    </row>
    <row r="15" spans="1:11" ht="37.5" customHeight="1">
      <c r="A15" s="88" t="s">
        <v>222</v>
      </c>
      <c r="B15" s="3"/>
      <c r="H15" s="173"/>
    </row>
    <row r="16" spans="1:11" ht="26.25" customHeight="1">
      <c r="A16" s="435" t="s">
        <v>226</v>
      </c>
      <c r="B16" s="436"/>
      <c r="C16" s="437"/>
      <c r="D16" s="437"/>
      <c r="E16" s="437"/>
      <c r="F16" s="437"/>
      <c r="G16" s="438"/>
    </row>
    <row r="17" spans="1:7" ht="18.75" customHeight="1">
      <c r="A17" s="158" t="s">
        <v>135</v>
      </c>
      <c r="B17" s="439"/>
      <c r="C17" s="440"/>
      <c r="D17" s="158" t="s">
        <v>135</v>
      </c>
      <c r="E17" s="439" t="s">
        <v>233</v>
      </c>
      <c r="F17" s="443"/>
      <c r="G17" s="440"/>
    </row>
    <row r="18" spans="1:7" ht="18.75" customHeight="1">
      <c r="A18" s="159" t="s">
        <v>223</v>
      </c>
      <c r="B18" s="441"/>
      <c r="C18" s="442"/>
      <c r="D18" s="159" t="s">
        <v>223</v>
      </c>
      <c r="E18" s="441" t="s">
        <v>233</v>
      </c>
      <c r="F18" s="444"/>
      <c r="G18" s="442"/>
    </row>
    <row r="19" spans="1:7" ht="18.75" customHeight="1">
      <c r="A19" s="158" t="s">
        <v>224</v>
      </c>
      <c r="B19" s="439"/>
      <c r="C19" s="440"/>
      <c r="D19" s="158" t="s">
        <v>224</v>
      </c>
      <c r="E19" s="439" t="s">
        <v>233</v>
      </c>
      <c r="F19" s="443"/>
      <c r="G19" s="440"/>
    </row>
    <row r="20" spans="1:7" ht="84.75" customHeight="1">
      <c r="A20" s="159" t="s">
        <v>225</v>
      </c>
      <c r="B20" s="441" t="s">
        <v>233</v>
      </c>
      <c r="C20" s="442"/>
      <c r="D20" s="159" t="s">
        <v>225</v>
      </c>
      <c r="E20" s="432" t="s">
        <v>233</v>
      </c>
      <c r="F20" s="433"/>
      <c r="G20" s="434"/>
    </row>
    <row r="21" spans="1:7" ht="18.75" customHeight="1">
      <c r="A21" s="158" t="s">
        <v>228</v>
      </c>
      <c r="B21" s="160"/>
      <c r="C21" s="161"/>
      <c r="D21" s="162"/>
      <c r="E21" s="163"/>
      <c r="F21" s="163"/>
      <c r="G21" s="164"/>
    </row>
  </sheetData>
  <mergeCells count="12">
    <mergeCell ref="A1:H1"/>
    <mergeCell ref="A2:H2"/>
    <mergeCell ref="E17:G17"/>
    <mergeCell ref="E18:G18"/>
    <mergeCell ref="E19:G19"/>
    <mergeCell ref="E20:G20"/>
    <mergeCell ref="A16:B16"/>
    <mergeCell ref="C16:G16"/>
    <mergeCell ref="B17:C17"/>
    <mergeCell ref="B18:C18"/>
    <mergeCell ref="B19:C19"/>
    <mergeCell ref="B20:C2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C22" sqref="C22"/>
    </sheetView>
  </sheetViews>
  <sheetFormatPr defaultColWidth="9" defaultRowHeight="15" customHeight="1"/>
  <cols>
    <col min="1" max="1" width="29.5703125" style="253" customWidth="1"/>
    <col min="2" max="2" width="33.28515625" style="253" customWidth="1"/>
    <col min="3" max="3" width="45.42578125" style="253" bestFit="1" customWidth="1"/>
    <col min="4" max="4" width="54" style="253" customWidth="1"/>
    <col min="5" max="16384" width="9" style="247"/>
  </cols>
  <sheetData>
    <row r="1" spans="1:4" ht="12.75">
      <c r="A1" s="212" t="s">
        <v>261</v>
      </c>
      <c r="B1" s="212"/>
      <c r="C1" s="212"/>
      <c r="D1" s="212"/>
    </row>
    <row r="2" spans="1:4" ht="12.75">
      <c r="A2" s="212" t="s">
        <v>262</v>
      </c>
      <c r="B2" s="212" t="s">
        <v>263</v>
      </c>
      <c r="C2" s="212" t="s">
        <v>264</v>
      </c>
      <c r="D2" s="212" t="s">
        <v>265</v>
      </c>
    </row>
    <row r="3" spans="1:4" ht="12.75">
      <c r="A3" s="212"/>
      <c r="B3" s="212"/>
      <c r="C3" s="212"/>
      <c r="D3" s="212" t="s">
        <v>266</v>
      </c>
    </row>
    <row r="4" spans="1:4" ht="12.75">
      <c r="A4" s="212" t="s">
        <v>267</v>
      </c>
      <c r="B4" s="212"/>
      <c r="C4" s="212"/>
      <c r="D4" s="212"/>
    </row>
    <row r="5" spans="1:4" ht="25.5">
      <c r="A5" s="248" t="s">
        <v>268</v>
      </c>
      <c r="B5" s="248"/>
      <c r="C5" s="249" t="s">
        <v>269</v>
      </c>
      <c r="D5" s="249"/>
    </row>
    <row r="6" spans="1:4" ht="25.5">
      <c r="A6" s="248" t="s">
        <v>397</v>
      </c>
      <c r="B6" s="248" t="s">
        <v>280</v>
      </c>
      <c r="C6" s="249" t="s">
        <v>272</v>
      </c>
      <c r="D6" s="249" t="s">
        <v>398</v>
      </c>
    </row>
    <row r="7" spans="1:4" ht="25.5">
      <c r="A7" s="248" t="s">
        <v>270</v>
      </c>
      <c r="B7" s="248" t="s">
        <v>271</v>
      </c>
      <c r="C7" s="249" t="s">
        <v>272</v>
      </c>
      <c r="D7" s="249" t="s">
        <v>273</v>
      </c>
    </row>
    <row r="8" spans="1:4" ht="12.75">
      <c r="A8" s="248" t="s">
        <v>274</v>
      </c>
      <c r="B8" s="248" t="s">
        <v>271</v>
      </c>
      <c r="C8" s="249" t="s">
        <v>272</v>
      </c>
      <c r="D8" s="249" t="s">
        <v>275</v>
      </c>
    </row>
    <row r="9" spans="1:4" ht="25.5">
      <c r="A9" s="248" t="s">
        <v>276</v>
      </c>
      <c r="B9" s="248" t="s">
        <v>277</v>
      </c>
      <c r="C9" s="249" t="s">
        <v>278</v>
      </c>
      <c r="D9" s="249" t="s">
        <v>279</v>
      </c>
    </row>
    <row r="10" spans="1:4" ht="25.5">
      <c r="A10" s="248" t="s">
        <v>276</v>
      </c>
      <c r="B10" s="248" t="s">
        <v>280</v>
      </c>
      <c r="C10" s="249" t="s">
        <v>281</v>
      </c>
      <c r="D10" s="249" t="s">
        <v>279</v>
      </c>
    </row>
    <row r="11" spans="1:4" ht="12.75">
      <c r="A11" s="248" t="s">
        <v>282</v>
      </c>
      <c r="B11" s="248" t="s">
        <v>280</v>
      </c>
      <c r="C11" s="249" t="s">
        <v>283</v>
      </c>
      <c r="D11" s="249"/>
    </row>
    <row r="12" spans="1:4" ht="30" customHeight="1">
      <c r="A12" s="248" t="s">
        <v>284</v>
      </c>
      <c r="B12" s="248" t="s">
        <v>271</v>
      </c>
      <c r="C12" s="249" t="s">
        <v>272</v>
      </c>
      <c r="D12" s="249" t="s">
        <v>285</v>
      </c>
    </row>
    <row r="13" spans="1:4" ht="12.75">
      <c r="A13" s="248" t="s">
        <v>286</v>
      </c>
      <c r="B13" s="248" t="s">
        <v>271</v>
      </c>
      <c r="C13" s="249" t="s">
        <v>272</v>
      </c>
      <c r="D13" s="248" t="s">
        <v>287</v>
      </c>
    </row>
    <row r="14" spans="1:4" ht="25.5">
      <c r="A14" s="250" t="s">
        <v>288</v>
      </c>
      <c r="B14" s="250" t="s">
        <v>271</v>
      </c>
      <c r="C14" s="251" t="s">
        <v>272</v>
      </c>
      <c r="D14" s="251" t="s">
        <v>289</v>
      </c>
    </row>
    <row r="15" spans="1:4" ht="25.5">
      <c r="A15" s="248" t="s">
        <v>290</v>
      </c>
      <c r="B15" s="248" t="s">
        <v>271</v>
      </c>
      <c r="C15" s="249" t="s">
        <v>272</v>
      </c>
      <c r="D15" s="249" t="s">
        <v>291</v>
      </c>
    </row>
    <row r="16" spans="1:4" ht="25.5">
      <c r="A16" s="248" t="s">
        <v>292</v>
      </c>
      <c r="B16" s="248" t="s">
        <v>280</v>
      </c>
      <c r="C16" s="249" t="s">
        <v>272</v>
      </c>
      <c r="D16" s="249" t="s">
        <v>293</v>
      </c>
    </row>
    <row r="17" spans="1:4" ht="25.5">
      <c r="A17" s="248" t="s">
        <v>294</v>
      </c>
      <c r="B17" s="248" t="s">
        <v>271</v>
      </c>
      <c r="C17" s="249" t="s">
        <v>272</v>
      </c>
      <c r="D17" s="252" t="s">
        <v>295</v>
      </c>
    </row>
    <row r="18" spans="1:4" ht="25.5">
      <c r="A18" s="248" t="s">
        <v>296</v>
      </c>
      <c r="B18" s="248" t="s">
        <v>271</v>
      </c>
      <c r="C18" s="249" t="s">
        <v>272</v>
      </c>
      <c r="D18" s="252" t="s">
        <v>297</v>
      </c>
    </row>
    <row r="19" spans="1:4" ht="25.5">
      <c r="A19" s="248" t="s">
        <v>298</v>
      </c>
      <c r="B19" s="248" t="s">
        <v>280</v>
      </c>
      <c r="C19" s="249" t="s">
        <v>272</v>
      </c>
      <c r="D19" s="252" t="s">
        <v>291</v>
      </c>
    </row>
    <row r="20" spans="1:4" ht="25.5">
      <c r="A20" s="248" t="s">
        <v>299</v>
      </c>
      <c r="B20" s="248" t="s">
        <v>271</v>
      </c>
      <c r="C20" s="249" t="s">
        <v>272</v>
      </c>
      <c r="D20" s="252" t="s">
        <v>297</v>
      </c>
    </row>
    <row r="21" spans="1:4" ht="12.75">
      <c r="A21" s="248" t="s">
        <v>300</v>
      </c>
      <c r="B21" s="248" t="s">
        <v>301</v>
      </c>
      <c r="C21" s="249" t="s">
        <v>302</v>
      </c>
      <c r="D21" s="252"/>
    </row>
    <row r="22" spans="1:4" ht="25.5">
      <c r="A22" s="248" t="s">
        <v>300</v>
      </c>
      <c r="B22" s="248" t="s">
        <v>280</v>
      </c>
      <c r="C22" s="249" t="s">
        <v>272</v>
      </c>
      <c r="D22" s="252" t="s">
        <v>295</v>
      </c>
    </row>
    <row r="23" spans="1:4" ht="25.5">
      <c r="A23" s="248" t="s">
        <v>303</v>
      </c>
      <c r="B23" s="248" t="s">
        <v>271</v>
      </c>
      <c r="C23" s="249" t="s">
        <v>272</v>
      </c>
      <c r="D23" s="252" t="s">
        <v>304</v>
      </c>
    </row>
    <row r="24" spans="1:4" ht="25.5">
      <c r="A24" s="248" t="s">
        <v>305</v>
      </c>
      <c r="B24" s="248" t="s">
        <v>271</v>
      </c>
      <c r="C24" s="249" t="s">
        <v>272</v>
      </c>
      <c r="D24" s="252" t="s">
        <v>306</v>
      </c>
    </row>
    <row r="25" spans="1:4" ht="38.25">
      <c r="A25" s="248" t="s">
        <v>307</v>
      </c>
      <c r="B25" s="248" t="s">
        <v>271</v>
      </c>
      <c r="C25" s="249" t="s">
        <v>272</v>
      </c>
      <c r="D25" s="252" t="s">
        <v>308</v>
      </c>
    </row>
    <row r="26" spans="1:4" ht="25.5">
      <c r="A26" s="248" t="s">
        <v>309</v>
      </c>
      <c r="B26" s="248" t="s">
        <v>271</v>
      </c>
      <c r="C26" s="249" t="s">
        <v>272</v>
      </c>
      <c r="D26" s="252" t="s">
        <v>304</v>
      </c>
    </row>
    <row r="27" spans="1:4" ht="25.5">
      <c r="A27" s="248" t="s">
        <v>310</v>
      </c>
      <c r="B27" s="248" t="s">
        <v>280</v>
      </c>
      <c r="C27" s="249" t="s">
        <v>272</v>
      </c>
      <c r="D27" s="252" t="s">
        <v>311</v>
      </c>
    </row>
    <row r="28" spans="1:4" ht="25.5">
      <c r="A28" s="248" t="s">
        <v>312</v>
      </c>
      <c r="B28" s="248" t="s">
        <v>280</v>
      </c>
      <c r="C28" s="249" t="s">
        <v>272</v>
      </c>
      <c r="D28" s="252" t="s">
        <v>295</v>
      </c>
    </row>
    <row r="29" spans="1:4" ht="25.5">
      <c r="A29" s="248" t="s">
        <v>313</v>
      </c>
      <c r="B29" s="248" t="s">
        <v>271</v>
      </c>
      <c r="C29" s="249" t="s">
        <v>272</v>
      </c>
      <c r="D29" s="252" t="s">
        <v>295</v>
      </c>
    </row>
    <row r="30" spans="1:4" ht="25.5">
      <c r="A30" s="248" t="s">
        <v>314</v>
      </c>
      <c r="B30" s="248" t="s">
        <v>280</v>
      </c>
      <c r="C30" s="249" t="s">
        <v>272</v>
      </c>
      <c r="D30" s="252" t="s">
        <v>295</v>
      </c>
    </row>
    <row r="31" spans="1:4" ht="12.75">
      <c r="A31" s="212" t="s">
        <v>262</v>
      </c>
      <c r="B31" s="212" t="s">
        <v>263</v>
      </c>
      <c r="C31" s="212" t="s">
        <v>264</v>
      </c>
      <c r="D31" s="212" t="s">
        <v>265</v>
      </c>
    </row>
    <row r="32" spans="1:4" ht="12.75">
      <c r="A32" s="212"/>
      <c r="B32" s="212"/>
      <c r="C32" s="212"/>
      <c r="D32" s="212" t="s">
        <v>266</v>
      </c>
    </row>
    <row r="33" spans="1:4" ht="12.75">
      <c r="A33" s="212" t="s">
        <v>315</v>
      </c>
      <c r="B33" s="212"/>
      <c r="C33" s="212"/>
      <c r="D33" s="212"/>
    </row>
    <row r="34" spans="1:4" ht="25.5">
      <c r="A34" s="248" t="s">
        <v>268</v>
      </c>
      <c r="B34" s="248"/>
      <c r="C34" s="249" t="s">
        <v>316</v>
      </c>
      <c r="D34" s="252"/>
    </row>
    <row r="35" spans="1:4" ht="25.5">
      <c r="A35" s="248" t="s">
        <v>317</v>
      </c>
      <c r="B35" s="248" t="s">
        <v>280</v>
      </c>
      <c r="C35" s="249" t="s">
        <v>272</v>
      </c>
      <c r="D35" s="252" t="s">
        <v>318</v>
      </c>
    </row>
    <row r="36" spans="1:4" ht="25.5">
      <c r="A36" s="248" t="s">
        <v>319</v>
      </c>
      <c r="B36" s="248" t="s">
        <v>280</v>
      </c>
      <c r="C36" s="249" t="s">
        <v>272</v>
      </c>
      <c r="D36" s="252" t="s">
        <v>320</v>
      </c>
    </row>
    <row r="37" spans="1:4" ht="38.25">
      <c r="A37" s="248" t="s">
        <v>321</v>
      </c>
      <c r="B37" s="248" t="s">
        <v>271</v>
      </c>
      <c r="C37" s="249" t="s">
        <v>272</v>
      </c>
      <c r="D37" s="252" t="s">
        <v>322</v>
      </c>
    </row>
    <row r="38" spans="1:4" ht="25.5">
      <c r="A38" s="248" t="s">
        <v>292</v>
      </c>
      <c r="B38" s="248" t="s">
        <v>280</v>
      </c>
      <c r="C38" s="249" t="s">
        <v>272</v>
      </c>
      <c r="D38" s="249" t="s">
        <v>293</v>
      </c>
    </row>
    <row r="39" spans="1:4" ht="25.5">
      <c r="A39" s="248" t="s">
        <v>251</v>
      </c>
      <c r="B39" s="248" t="s">
        <v>280</v>
      </c>
      <c r="C39" s="249" t="s">
        <v>272</v>
      </c>
      <c r="D39" s="249" t="s">
        <v>318</v>
      </c>
    </row>
    <row r="40" spans="1:4" ht="25.5">
      <c r="A40" s="248" t="s">
        <v>323</v>
      </c>
      <c r="B40" s="248" t="s">
        <v>280</v>
      </c>
      <c r="C40" s="249" t="s">
        <v>272</v>
      </c>
      <c r="D40" s="249" t="s">
        <v>324</v>
      </c>
    </row>
    <row r="41" spans="1:4" ht="25.5">
      <c r="A41" s="248" t="s">
        <v>325</v>
      </c>
      <c r="B41" s="248" t="s">
        <v>280</v>
      </c>
      <c r="C41" s="249" t="s">
        <v>272</v>
      </c>
      <c r="D41" s="249" t="s">
        <v>326</v>
      </c>
    </row>
    <row r="42" spans="1:4" ht="12.75">
      <c r="A42" s="248" t="s">
        <v>327</v>
      </c>
      <c r="B42" s="248" t="s">
        <v>271</v>
      </c>
      <c r="C42" s="249" t="s">
        <v>272</v>
      </c>
      <c r="D42" s="252" t="s">
        <v>287</v>
      </c>
    </row>
    <row r="43" spans="1:4" ht="25.5">
      <c r="A43" s="248" t="s">
        <v>328</v>
      </c>
      <c r="B43" s="248" t="s">
        <v>271</v>
      </c>
      <c r="C43" s="249" t="s">
        <v>272</v>
      </c>
      <c r="D43" s="252" t="s">
        <v>295</v>
      </c>
    </row>
    <row r="44" spans="1:4" ht="25.5">
      <c r="A44" s="248" t="s">
        <v>329</v>
      </c>
      <c r="B44" s="248" t="s">
        <v>280</v>
      </c>
      <c r="C44" s="249" t="s">
        <v>272</v>
      </c>
      <c r="D44" s="252" t="s">
        <v>330</v>
      </c>
    </row>
    <row r="45" spans="1:4" ht="25.5">
      <c r="A45" s="248" t="s">
        <v>331</v>
      </c>
      <c r="B45" s="248" t="s">
        <v>280</v>
      </c>
      <c r="C45" s="249" t="s">
        <v>272</v>
      </c>
      <c r="D45" s="252" t="s">
        <v>332</v>
      </c>
    </row>
    <row r="46" spans="1:4" ht="25.5">
      <c r="A46" s="248" t="s">
        <v>333</v>
      </c>
      <c r="B46" s="248" t="s">
        <v>280</v>
      </c>
      <c r="C46" s="249" t="s">
        <v>272</v>
      </c>
      <c r="D46" s="249" t="s">
        <v>334</v>
      </c>
    </row>
    <row r="47" spans="1:4" ht="25.5">
      <c r="A47" s="248" t="s">
        <v>335</v>
      </c>
      <c r="B47" s="248" t="s">
        <v>280</v>
      </c>
      <c r="C47" s="249" t="s">
        <v>272</v>
      </c>
      <c r="D47" s="252" t="s">
        <v>295</v>
      </c>
    </row>
    <row r="48" spans="1:4" ht="12.75">
      <c r="A48" s="248" t="s">
        <v>336</v>
      </c>
      <c r="B48" s="248" t="s">
        <v>271</v>
      </c>
      <c r="C48" s="249" t="s">
        <v>272</v>
      </c>
      <c r="D48" s="252" t="s">
        <v>287</v>
      </c>
    </row>
    <row r="49" spans="1:4" ht="25.5">
      <c r="A49" s="248" t="s">
        <v>337</v>
      </c>
      <c r="B49" s="248" t="s">
        <v>271</v>
      </c>
      <c r="C49" s="249" t="s">
        <v>272</v>
      </c>
      <c r="D49" s="252" t="s">
        <v>293</v>
      </c>
    </row>
    <row r="50" spans="1:4" ht="25.5">
      <c r="A50" s="248" t="s">
        <v>338</v>
      </c>
      <c r="B50" s="248" t="s">
        <v>280</v>
      </c>
      <c r="C50" s="249" t="s">
        <v>339</v>
      </c>
      <c r="D50" s="252" t="s">
        <v>340</v>
      </c>
    </row>
    <row r="51" spans="1:4" ht="38.25">
      <c r="A51" s="248" t="s">
        <v>341</v>
      </c>
      <c r="B51" s="248" t="s">
        <v>280</v>
      </c>
      <c r="C51" s="249" t="s">
        <v>272</v>
      </c>
      <c r="D51" s="252" t="s">
        <v>342</v>
      </c>
    </row>
    <row r="52" spans="1:4" ht="12.75">
      <c r="A52" s="212" t="s">
        <v>262</v>
      </c>
      <c r="B52" s="212" t="s">
        <v>263</v>
      </c>
      <c r="C52" s="212" t="s">
        <v>264</v>
      </c>
      <c r="D52" s="212" t="s">
        <v>265</v>
      </c>
    </row>
    <row r="53" spans="1:4" ht="12.75">
      <c r="A53" s="212"/>
      <c r="B53" s="212"/>
      <c r="C53" s="212"/>
      <c r="D53" s="212" t="s">
        <v>266</v>
      </c>
    </row>
    <row r="54" spans="1:4" ht="12.75">
      <c r="A54" s="212" t="s">
        <v>343</v>
      </c>
      <c r="B54" s="212"/>
      <c r="C54" s="212"/>
      <c r="D54" s="212"/>
    </row>
    <row r="55" spans="1:4" ht="38.25">
      <c r="A55" s="248" t="s">
        <v>268</v>
      </c>
      <c r="B55" s="248"/>
      <c r="C55" s="249" t="s">
        <v>344</v>
      </c>
      <c r="D55" s="249"/>
    </row>
    <row r="56" spans="1:4" ht="25.5">
      <c r="A56" s="248" t="s">
        <v>345</v>
      </c>
      <c r="B56" s="248" t="s">
        <v>280</v>
      </c>
      <c r="C56" s="249" t="s">
        <v>346</v>
      </c>
      <c r="D56" s="252" t="s">
        <v>347</v>
      </c>
    </row>
    <row r="57" spans="1:4" ht="25.5">
      <c r="A57" s="248" t="s">
        <v>348</v>
      </c>
      <c r="B57" s="248" t="s">
        <v>280</v>
      </c>
      <c r="C57" s="249" t="s">
        <v>272</v>
      </c>
      <c r="D57" s="252" t="s">
        <v>349</v>
      </c>
    </row>
    <row r="58" spans="1:4" ht="12.75">
      <c r="A58" s="248" t="s">
        <v>350</v>
      </c>
      <c r="B58" s="248" t="s">
        <v>280</v>
      </c>
      <c r="C58" s="249" t="s">
        <v>272</v>
      </c>
      <c r="D58" s="252" t="s">
        <v>351</v>
      </c>
    </row>
    <row r="59" spans="1:4" ht="12.75">
      <c r="A59" s="248" t="s">
        <v>350</v>
      </c>
      <c r="B59" s="248" t="s">
        <v>280</v>
      </c>
      <c r="C59" s="249" t="s">
        <v>352</v>
      </c>
      <c r="D59" s="252"/>
    </row>
    <row r="60" spans="1:4" ht="12.75">
      <c r="A60" s="248" t="s">
        <v>353</v>
      </c>
      <c r="B60" s="248" t="s">
        <v>280</v>
      </c>
      <c r="C60" s="249" t="s">
        <v>272</v>
      </c>
      <c r="D60" s="252" t="s">
        <v>351</v>
      </c>
    </row>
    <row r="61" spans="1:4" ht="25.5">
      <c r="A61" s="248" t="s">
        <v>354</v>
      </c>
      <c r="B61" s="248" t="s">
        <v>280</v>
      </c>
      <c r="C61" s="249" t="s">
        <v>272</v>
      </c>
      <c r="D61" s="252" t="s">
        <v>295</v>
      </c>
    </row>
    <row r="62" spans="1:4" ht="12.75">
      <c r="A62" s="248" t="s">
        <v>355</v>
      </c>
      <c r="B62" s="248" t="s">
        <v>280</v>
      </c>
      <c r="C62" s="249" t="s">
        <v>272</v>
      </c>
      <c r="D62" s="252" t="s">
        <v>351</v>
      </c>
    </row>
    <row r="63" spans="1:4" ht="12.75">
      <c r="A63" s="248" t="s">
        <v>355</v>
      </c>
      <c r="B63" s="248" t="s">
        <v>280</v>
      </c>
      <c r="C63" s="249" t="s">
        <v>352</v>
      </c>
      <c r="D63" s="252"/>
    </row>
    <row r="64" spans="1:4" ht="25.5">
      <c r="A64" s="248" t="s">
        <v>356</v>
      </c>
      <c r="B64" s="248" t="s">
        <v>280</v>
      </c>
      <c r="C64" s="249" t="s">
        <v>272</v>
      </c>
      <c r="D64" s="252" t="s">
        <v>357</v>
      </c>
    </row>
    <row r="65" spans="1:4" ht="12.75">
      <c r="A65" s="248" t="s">
        <v>356</v>
      </c>
      <c r="B65" s="248" t="s">
        <v>280</v>
      </c>
      <c r="C65" s="249" t="s">
        <v>352</v>
      </c>
      <c r="D65" s="252"/>
    </row>
    <row r="66" spans="1:4" ht="25.5">
      <c r="A66" s="248" t="s">
        <v>358</v>
      </c>
      <c r="B66" s="248" t="s">
        <v>280</v>
      </c>
      <c r="C66" s="249" t="s">
        <v>272</v>
      </c>
      <c r="D66" s="252" t="s">
        <v>359</v>
      </c>
    </row>
    <row r="67" spans="1:4" ht="25.5">
      <c r="A67" s="248" t="s">
        <v>358</v>
      </c>
      <c r="B67" s="248" t="s">
        <v>280</v>
      </c>
      <c r="C67" s="249" t="s">
        <v>352</v>
      </c>
      <c r="D67" s="252"/>
    </row>
    <row r="68" spans="1:4" ht="25.5">
      <c r="A68" s="248" t="s">
        <v>360</v>
      </c>
      <c r="B68" s="248" t="s">
        <v>280</v>
      </c>
      <c r="C68" s="249" t="s">
        <v>272</v>
      </c>
      <c r="D68" s="252" t="s">
        <v>361</v>
      </c>
    </row>
    <row r="69" spans="1:4" ht="25.5">
      <c r="A69" s="248" t="s">
        <v>362</v>
      </c>
      <c r="B69" s="248" t="s">
        <v>280</v>
      </c>
      <c r="C69" s="249" t="s">
        <v>272</v>
      </c>
      <c r="D69" s="252" t="s">
        <v>306</v>
      </c>
    </row>
    <row r="70" spans="1:4" ht="12.75">
      <c r="A70" s="248" t="s">
        <v>362</v>
      </c>
      <c r="B70" s="248" t="s">
        <v>280</v>
      </c>
      <c r="C70" s="249" t="s">
        <v>352</v>
      </c>
      <c r="D70" s="252"/>
    </row>
    <row r="71" spans="1:4" ht="25.5">
      <c r="A71" s="248" t="s">
        <v>58</v>
      </c>
      <c r="B71" s="248" t="s">
        <v>280</v>
      </c>
      <c r="C71" s="249" t="s">
        <v>363</v>
      </c>
      <c r="D71" s="252" t="s">
        <v>320</v>
      </c>
    </row>
    <row r="72" spans="1:4" ht="12.75">
      <c r="A72" s="248" t="s">
        <v>58</v>
      </c>
      <c r="B72" s="248" t="s">
        <v>280</v>
      </c>
      <c r="C72" s="249" t="s">
        <v>352</v>
      </c>
      <c r="D72" s="252"/>
    </row>
    <row r="73" spans="1:4" ht="12.75">
      <c r="A73" s="212" t="s">
        <v>262</v>
      </c>
      <c r="B73" s="212" t="s">
        <v>263</v>
      </c>
      <c r="C73" s="212" t="s">
        <v>264</v>
      </c>
      <c r="D73" s="212" t="s">
        <v>265</v>
      </c>
    </row>
    <row r="74" spans="1:4" ht="12.75">
      <c r="A74" s="212"/>
      <c r="B74" s="212"/>
      <c r="C74" s="212"/>
      <c r="D74" s="212" t="s">
        <v>266</v>
      </c>
    </row>
    <row r="75" spans="1:4" ht="12.75">
      <c r="A75" s="212" t="s">
        <v>364</v>
      </c>
      <c r="B75" s="212"/>
      <c r="C75" s="212"/>
      <c r="D75" s="212"/>
    </row>
    <row r="76" spans="1:4" ht="25.5">
      <c r="A76" s="248" t="s">
        <v>268</v>
      </c>
      <c r="B76" s="248"/>
      <c r="C76" s="249" t="s">
        <v>365</v>
      </c>
      <c r="D76" s="249"/>
    </row>
    <row r="77" spans="1:4" ht="12.75">
      <c r="A77" s="212" t="s">
        <v>366</v>
      </c>
      <c r="B77" s="212"/>
      <c r="C77" s="212"/>
      <c r="D77" s="212"/>
    </row>
    <row r="78" spans="1:4" ht="25.5">
      <c r="A78" s="248" t="s">
        <v>367</v>
      </c>
      <c r="B78" s="248" t="s">
        <v>280</v>
      </c>
      <c r="C78" s="249" t="s">
        <v>368</v>
      </c>
      <c r="D78" s="252" t="s">
        <v>340</v>
      </c>
    </row>
    <row r="79" spans="1:4" ht="25.5">
      <c r="A79" s="248" t="s">
        <v>369</v>
      </c>
      <c r="B79" s="248" t="s">
        <v>280</v>
      </c>
      <c r="C79" s="249" t="s">
        <v>368</v>
      </c>
      <c r="D79" s="252" t="s">
        <v>340</v>
      </c>
    </row>
    <row r="80" spans="1:4" ht="25.5">
      <c r="A80" s="248" t="s">
        <v>370</v>
      </c>
      <c r="B80" s="248" t="s">
        <v>280</v>
      </c>
      <c r="C80" s="249" t="s">
        <v>368</v>
      </c>
      <c r="D80" s="252" t="s">
        <v>371</v>
      </c>
    </row>
    <row r="81" spans="1:4" ht="25.5">
      <c r="A81" s="248" t="s">
        <v>372</v>
      </c>
      <c r="B81" s="248" t="s">
        <v>280</v>
      </c>
      <c r="C81" s="249" t="s">
        <v>368</v>
      </c>
      <c r="D81" s="252" t="s">
        <v>373</v>
      </c>
    </row>
    <row r="82" spans="1:4" ht="25.5">
      <c r="A82" s="248" t="s">
        <v>374</v>
      </c>
      <c r="B82" s="248" t="s">
        <v>280</v>
      </c>
      <c r="C82" s="249" t="s">
        <v>368</v>
      </c>
      <c r="D82" s="252" t="s">
        <v>373</v>
      </c>
    </row>
    <row r="83" spans="1:4" ht="12.75">
      <c r="A83" s="212" t="s">
        <v>375</v>
      </c>
      <c r="B83" s="212"/>
      <c r="C83" s="212"/>
      <c r="D83" s="212"/>
    </row>
    <row r="84" spans="1:4" ht="25.5">
      <c r="A84" s="248" t="s">
        <v>367</v>
      </c>
      <c r="B84" s="248" t="s">
        <v>280</v>
      </c>
      <c r="C84" s="249" t="s">
        <v>368</v>
      </c>
      <c r="D84" s="252" t="s">
        <v>340</v>
      </c>
    </row>
    <row r="85" spans="1:4" ht="25.5">
      <c r="A85" s="248" t="s">
        <v>369</v>
      </c>
      <c r="B85" s="248" t="s">
        <v>280</v>
      </c>
      <c r="C85" s="249" t="s">
        <v>368</v>
      </c>
      <c r="D85" s="252" t="s">
        <v>340</v>
      </c>
    </row>
    <row r="86" spans="1:4" ht="25.5">
      <c r="A86" s="248" t="s">
        <v>370</v>
      </c>
      <c r="B86" s="248" t="s">
        <v>280</v>
      </c>
      <c r="C86" s="249" t="s">
        <v>368</v>
      </c>
      <c r="D86" s="252" t="s">
        <v>371</v>
      </c>
    </row>
    <row r="87" spans="1:4" ht="25.5">
      <c r="A87" s="248" t="s">
        <v>372</v>
      </c>
      <c r="B87" s="248" t="s">
        <v>280</v>
      </c>
      <c r="C87" s="249" t="s">
        <v>368</v>
      </c>
      <c r="D87" s="252" t="s">
        <v>373</v>
      </c>
    </row>
    <row r="88" spans="1:4" ht="25.5">
      <c r="A88" s="248" t="s">
        <v>374</v>
      </c>
      <c r="B88" s="248" t="s">
        <v>280</v>
      </c>
      <c r="C88" s="249" t="s">
        <v>368</v>
      </c>
      <c r="D88" s="252" t="s">
        <v>373</v>
      </c>
    </row>
    <row r="89" spans="1:4" ht="12.75">
      <c r="A89" s="212" t="s">
        <v>38</v>
      </c>
      <c r="B89" s="212"/>
      <c r="C89" s="212"/>
      <c r="D89" s="212"/>
    </row>
    <row r="90" spans="1:4" ht="25.5">
      <c r="A90" s="248" t="s">
        <v>367</v>
      </c>
      <c r="B90" s="248" t="s">
        <v>280</v>
      </c>
      <c r="C90" s="249" t="s">
        <v>376</v>
      </c>
      <c r="D90" s="252" t="s">
        <v>340</v>
      </c>
    </row>
    <row r="91" spans="1:4" ht="25.5">
      <c r="A91" s="248" t="s">
        <v>369</v>
      </c>
      <c r="B91" s="248" t="s">
        <v>280</v>
      </c>
      <c r="C91" s="249" t="s">
        <v>376</v>
      </c>
      <c r="D91" s="252" t="s">
        <v>340</v>
      </c>
    </row>
    <row r="92" spans="1:4" ht="25.5">
      <c r="A92" s="248" t="s">
        <v>370</v>
      </c>
      <c r="B92" s="248" t="s">
        <v>280</v>
      </c>
      <c r="C92" s="249" t="s">
        <v>376</v>
      </c>
      <c r="D92" s="252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53" customWidth="1"/>
    <col min="2" max="2" width="16.42578125" style="253" bestFit="1" customWidth="1"/>
    <col min="3" max="3" width="37.42578125" style="253" bestFit="1" customWidth="1"/>
    <col min="4" max="16384" width="9" style="247"/>
  </cols>
  <sheetData>
    <row r="1" spans="1:3" ht="22.5">
      <c r="A1" s="212" t="s">
        <v>574</v>
      </c>
      <c r="B1" s="212"/>
      <c r="C1" s="212"/>
    </row>
    <row r="2" spans="1:3">
      <c r="A2" s="212" t="s">
        <v>262</v>
      </c>
      <c r="B2" s="212" t="s">
        <v>263</v>
      </c>
      <c r="C2" s="212" t="s">
        <v>377</v>
      </c>
    </row>
    <row r="3" spans="1:3">
      <c r="A3" s="212" t="s">
        <v>267</v>
      </c>
      <c r="B3" s="212"/>
      <c r="C3" s="212"/>
    </row>
    <row r="4" spans="1:3">
      <c r="A4" s="248" t="s">
        <v>270</v>
      </c>
      <c r="B4" s="248" t="s">
        <v>271</v>
      </c>
      <c r="C4" s="249" t="s">
        <v>378</v>
      </c>
    </row>
    <row r="5" spans="1:3">
      <c r="A5" s="248" t="s">
        <v>276</v>
      </c>
      <c r="B5" s="248" t="s">
        <v>271</v>
      </c>
      <c r="C5" s="249" t="s">
        <v>378</v>
      </c>
    </row>
    <row r="6" spans="1:3">
      <c r="A6" s="248" t="s">
        <v>284</v>
      </c>
      <c r="B6" s="248" t="s">
        <v>271</v>
      </c>
      <c r="C6" s="249" t="s">
        <v>378</v>
      </c>
    </row>
    <row r="7" spans="1:3">
      <c r="A7" s="248" t="s">
        <v>286</v>
      </c>
      <c r="B7" s="248" t="s">
        <v>271</v>
      </c>
      <c r="C7" s="249" t="s">
        <v>378</v>
      </c>
    </row>
    <row r="8" spans="1:3">
      <c r="A8" s="250" t="s">
        <v>288</v>
      </c>
      <c r="B8" s="250" t="s">
        <v>271</v>
      </c>
      <c r="C8" s="251" t="s">
        <v>378</v>
      </c>
    </row>
    <row r="9" spans="1:3">
      <c r="A9" s="248" t="s">
        <v>290</v>
      </c>
      <c r="B9" s="248" t="s">
        <v>271</v>
      </c>
      <c r="C9" s="249" t="s">
        <v>378</v>
      </c>
    </row>
    <row r="10" spans="1:3">
      <c r="A10" s="248" t="s">
        <v>292</v>
      </c>
      <c r="B10" s="248" t="s">
        <v>280</v>
      </c>
      <c r="C10" s="249" t="s">
        <v>378</v>
      </c>
    </row>
    <row r="11" spans="1:3">
      <c r="A11" s="248" t="s">
        <v>294</v>
      </c>
      <c r="B11" s="248" t="s">
        <v>271</v>
      </c>
      <c r="C11" s="249" t="s">
        <v>378</v>
      </c>
    </row>
    <row r="12" spans="1:3">
      <c r="A12" s="248" t="s">
        <v>296</v>
      </c>
      <c r="B12" s="248" t="s">
        <v>271</v>
      </c>
      <c r="C12" s="249" t="s">
        <v>378</v>
      </c>
    </row>
    <row r="13" spans="1:3">
      <c r="A13" s="248" t="s">
        <v>298</v>
      </c>
      <c r="B13" s="248" t="s">
        <v>280</v>
      </c>
      <c r="C13" s="249" t="s">
        <v>378</v>
      </c>
    </row>
    <row r="14" spans="1:3">
      <c r="A14" s="248" t="s">
        <v>299</v>
      </c>
      <c r="B14" s="248" t="s">
        <v>271</v>
      </c>
      <c r="C14" s="249" t="s">
        <v>378</v>
      </c>
    </row>
    <row r="15" spans="1:3">
      <c r="A15" s="248" t="s">
        <v>300</v>
      </c>
      <c r="B15" s="248" t="s">
        <v>271</v>
      </c>
      <c r="C15" s="249" t="s">
        <v>378</v>
      </c>
    </row>
    <row r="16" spans="1:3">
      <c r="A16" s="248" t="s">
        <v>305</v>
      </c>
      <c r="B16" s="248" t="s">
        <v>271</v>
      </c>
      <c r="C16" s="249" t="s">
        <v>378</v>
      </c>
    </row>
    <row r="17" spans="1:3">
      <c r="A17" s="248" t="s">
        <v>307</v>
      </c>
      <c r="B17" s="248" t="s">
        <v>280</v>
      </c>
      <c r="C17" s="249" t="s">
        <v>378</v>
      </c>
    </row>
    <row r="18" spans="1:3">
      <c r="A18" s="248" t="s">
        <v>379</v>
      </c>
      <c r="B18" s="248" t="s">
        <v>280</v>
      </c>
      <c r="C18" s="249" t="s">
        <v>378</v>
      </c>
    </row>
    <row r="19" spans="1:3">
      <c r="A19" s="248" t="s">
        <v>310</v>
      </c>
      <c r="B19" s="248" t="s">
        <v>280</v>
      </c>
      <c r="C19" s="249" t="s">
        <v>378</v>
      </c>
    </row>
    <row r="20" spans="1:3">
      <c r="A20" s="248" t="s">
        <v>312</v>
      </c>
      <c r="B20" s="248" t="s">
        <v>280</v>
      </c>
      <c r="C20" s="249" t="s">
        <v>378</v>
      </c>
    </row>
    <row r="21" spans="1:3">
      <c r="A21" s="248" t="s">
        <v>313</v>
      </c>
      <c r="B21" s="248" t="s">
        <v>271</v>
      </c>
      <c r="C21" s="249" t="s">
        <v>378</v>
      </c>
    </row>
    <row r="22" spans="1:3">
      <c r="A22" s="248" t="s">
        <v>314</v>
      </c>
      <c r="B22" s="248" t="s">
        <v>280</v>
      </c>
      <c r="C22" s="249" t="s">
        <v>378</v>
      </c>
    </row>
    <row r="23" spans="1:3">
      <c r="A23" s="248" t="s">
        <v>323</v>
      </c>
      <c r="B23" s="248" t="s">
        <v>280</v>
      </c>
      <c r="C23" s="249" t="s">
        <v>378</v>
      </c>
    </row>
    <row r="24" spans="1:3">
      <c r="A24" s="248" t="s">
        <v>327</v>
      </c>
      <c r="B24" s="248" t="s">
        <v>271</v>
      </c>
      <c r="C24" s="249" t="s">
        <v>378</v>
      </c>
    </row>
    <row r="25" spans="1:3">
      <c r="A25" s="248" t="s">
        <v>329</v>
      </c>
      <c r="B25" s="248" t="s">
        <v>280</v>
      </c>
      <c r="C25" s="249" t="s">
        <v>378</v>
      </c>
    </row>
    <row r="26" spans="1:3">
      <c r="A26" s="248" t="s">
        <v>341</v>
      </c>
      <c r="B26" s="248" t="s">
        <v>280</v>
      </c>
      <c r="C26" s="249" t="s">
        <v>378</v>
      </c>
    </row>
    <row r="27" spans="1:3">
      <c r="A27" s="248" t="s">
        <v>331</v>
      </c>
      <c r="B27" s="248" t="s">
        <v>280</v>
      </c>
      <c r="C27" s="249" t="s">
        <v>378</v>
      </c>
    </row>
    <row r="28" spans="1:3">
      <c r="A28" s="248" t="s">
        <v>380</v>
      </c>
      <c r="B28" s="248" t="s">
        <v>271</v>
      </c>
      <c r="C28" s="249" t="s">
        <v>378</v>
      </c>
    </row>
    <row r="29" spans="1:3">
      <c r="A29" s="212" t="s">
        <v>343</v>
      </c>
      <c r="B29" s="212"/>
      <c r="C29" s="212"/>
    </row>
    <row r="30" spans="1:3">
      <c r="A30" s="248" t="s">
        <v>350</v>
      </c>
      <c r="B30" s="248" t="s">
        <v>280</v>
      </c>
      <c r="C30" s="249" t="s">
        <v>378</v>
      </c>
    </row>
    <row r="31" spans="1:3">
      <c r="A31" s="248" t="s">
        <v>353</v>
      </c>
      <c r="B31" s="248" t="s">
        <v>280</v>
      </c>
      <c r="C31" s="249" t="s">
        <v>378</v>
      </c>
    </row>
    <row r="32" spans="1:3">
      <c r="A32" s="248" t="s">
        <v>355</v>
      </c>
      <c r="B32" s="248" t="s">
        <v>280</v>
      </c>
      <c r="C32" s="249" t="s">
        <v>378</v>
      </c>
    </row>
    <row r="33" spans="1:3">
      <c r="A33" s="248" t="s">
        <v>356</v>
      </c>
      <c r="B33" s="248" t="s">
        <v>280</v>
      </c>
      <c r="C33" s="249" t="s">
        <v>378</v>
      </c>
    </row>
    <row r="34" spans="1:3">
      <c r="A34" s="248" t="s">
        <v>358</v>
      </c>
      <c r="B34" s="248" t="s">
        <v>280</v>
      </c>
      <c r="C34" s="249" t="s">
        <v>378</v>
      </c>
    </row>
    <row r="35" spans="1:3">
      <c r="A35" s="248" t="s">
        <v>360</v>
      </c>
      <c r="B35" s="248" t="s">
        <v>280</v>
      </c>
      <c r="C35" s="249" t="s">
        <v>378</v>
      </c>
    </row>
    <row r="36" spans="1:3">
      <c r="A36" s="248" t="s">
        <v>381</v>
      </c>
      <c r="B36" s="248" t="s">
        <v>280</v>
      </c>
      <c r="C36" s="249" t="s">
        <v>378</v>
      </c>
    </row>
    <row r="37" spans="1:3">
      <c r="A37" s="248" t="s">
        <v>362</v>
      </c>
      <c r="B37" s="248" t="s">
        <v>280</v>
      </c>
      <c r="C37" s="249" t="s">
        <v>378</v>
      </c>
    </row>
    <row r="38" spans="1:3">
      <c r="A38" s="248" t="s">
        <v>58</v>
      </c>
      <c r="B38" s="248" t="s">
        <v>280</v>
      </c>
      <c r="C38" s="249" t="s">
        <v>378</v>
      </c>
    </row>
    <row r="39" spans="1:3">
      <c r="A39" s="248" t="s">
        <v>382</v>
      </c>
      <c r="B39" s="248" t="s">
        <v>280</v>
      </c>
      <c r="C39" s="249" t="s">
        <v>383</v>
      </c>
    </row>
    <row r="40" spans="1:3">
      <c r="A40" s="212" t="s">
        <v>364</v>
      </c>
      <c r="B40" s="212"/>
      <c r="C40" s="212"/>
    </row>
    <row r="41" spans="1:3">
      <c r="A41" s="248" t="s">
        <v>366</v>
      </c>
      <c r="B41" s="248" t="s">
        <v>280</v>
      </c>
      <c r="C41" s="249" t="s">
        <v>384</v>
      </c>
    </row>
    <row r="42" spans="1:3">
      <c r="A42" s="248" t="s">
        <v>375</v>
      </c>
      <c r="B42" s="248" t="s">
        <v>280</v>
      </c>
      <c r="C42" s="249" t="s">
        <v>384</v>
      </c>
    </row>
    <row r="43" spans="1:3">
      <c r="A43" s="248" t="s">
        <v>38</v>
      </c>
      <c r="B43" s="248" t="s">
        <v>280</v>
      </c>
      <c r="C43" s="249" t="s">
        <v>384</v>
      </c>
    </row>
    <row r="44" spans="1:3">
      <c r="A44" s="248"/>
      <c r="B44" s="248"/>
      <c r="C44" s="249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/>
  </sheetViews>
  <sheetFormatPr defaultColWidth="9.140625" defaultRowHeight="15" customHeight="1"/>
  <cols>
    <col min="1" max="1" width="126.7109375" style="211" bestFit="1" customWidth="1"/>
    <col min="2" max="2" width="17.85546875" style="211" bestFit="1" customWidth="1"/>
    <col min="3" max="5" width="9.140625" style="211"/>
    <col min="6" max="6" width="19.7109375" style="211" customWidth="1"/>
    <col min="7" max="16384" width="9.140625" style="211"/>
  </cols>
  <sheetData>
    <row r="1" spans="1:1" ht="15" customHeight="1">
      <c r="A1" s="91"/>
    </row>
    <row r="2" spans="1:1" ht="11.25">
      <c r="A2" s="376" t="s">
        <v>400</v>
      </c>
    </row>
    <row r="3" spans="1:1" ht="11.25">
      <c r="A3" s="377"/>
    </row>
    <row r="4" spans="1:1" ht="11.25">
      <c r="A4" s="254" t="s">
        <v>385</v>
      </c>
    </row>
    <row r="5" spans="1:1" ht="11.25">
      <c r="A5" s="254" t="s">
        <v>386</v>
      </c>
    </row>
    <row r="6" spans="1:1" ht="11.25">
      <c r="A6" s="254" t="s">
        <v>387</v>
      </c>
    </row>
    <row r="7" spans="1:1" ht="11.25">
      <c r="A7" s="254" t="s">
        <v>388</v>
      </c>
    </row>
    <row r="8" spans="1:1" ht="11.25">
      <c r="A8" s="254" t="s">
        <v>389</v>
      </c>
    </row>
    <row r="9" spans="1:1" ht="11.25">
      <c r="A9" s="255" t="s">
        <v>390</v>
      </c>
    </row>
    <row r="10" spans="1:1" ht="11.25">
      <c r="A10" s="255" t="s">
        <v>391</v>
      </c>
    </row>
    <row r="11" spans="1:1" ht="11.25">
      <c r="A11" s="255" t="s">
        <v>392</v>
      </c>
    </row>
    <row r="12" spans="1:1" ht="11.25">
      <c r="A12" s="255" t="s">
        <v>393</v>
      </c>
    </row>
    <row r="13" spans="1:1" ht="11.25">
      <c r="A13" s="254" t="s">
        <v>394</v>
      </c>
    </row>
    <row r="14" spans="1:1" ht="11.25">
      <c r="A14" s="211" t="s">
        <v>395</v>
      </c>
    </row>
    <row r="15" spans="1:1" ht="11.25">
      <c r="A15" s="256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16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11" customFormat="1" ht="26.25" customHeight="1">
      <c r="A1" s="388" t="s">
        <v>35</v>
      </c>
      <c r="B1" s="388"/>
      <c r="C1" s="388"/>
      <c r="D1" s="388"/>
      <c r="E1" s="388"/>
    </row>
    <row r="2" spans="1:17" s="211" customFormat="1" ht="15" customHeight="1">
      <c r="A2" s="389" t="s">
        <v>216</v>
      </c>
      <c r="B2" s="389"/>
      <c r="C2" s="389"/>
      <c r="D2" s="389"/>
      <c r="E2" s="389"/>
      <c r="G2" s="378" t="s">
        <v>253</v>
      </c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5" customHeight="1">
      <c r="E3" s="4"/>
      <c r="G3" s="212"/>
      <c r="H3" s="379">
        <v>2024</v>
      </c>
      <c r="I3" s="379"/>
      <c r="J3" s="380">
        <v>2025</v>
      </c>
      <c r="K3" s="381"/>
      <c r="L3" s="380">
        <v>2026</v>
      </c>
      <c r="M3" s="381"/>
      <c r="N3" s="380">
        <v>2027</v>
      </c>
      <c r="O3" s="381"/>
      <c r="P3" s="380">
        <v>2028</v>
      </c>
      <c r="Q3" s="381"/>
    </row>
    <row r="4" spans="1:17" s="31" customFormat="1" ht="26.25" customHeight="1">
      <c r="A4" s="390" t="s">
        <v>81</v>
      </c>
      <c r="B4" s="391"/>
      <c r="C4" s="92" t="s">
        <v>213</v>
      </c>
      <c r="D4" s="92" t="s">
        <v>227</v>
      </c>
      <c r="E4" s="92" t="s">
        <v>88</v>
      </c>
      <c r="G4" s="212" t="s">
        <v>254</v>
      </c>
      <c r="H4" s="212" t="s">
        <v>255</v>
      </c>
      <c r="I4" s="212" t="s">
        <v>256</v>
      </c>
      <c r="J4" s="212" t="s">
        <v>255</v>
      </c>
      <c r="K4" s="212" t="s">
        <v>256</v>
      </c>
      <c r="L4" s="212" t="s">
        <v>255</v>
      </c>
      <c r="M4" s="212" t="s">
        <v>256</v>
      </c>
      <c r="N4" s="212" t="s">
        <v>255</v>
      </c>
      <c r="O4" s="212" t="s">
        <v>256</v>
      </c>
      <c r="P4" s="212" t="s">
        <v>255</v>
      </c>
      <c r="Q4" s="212" t="s">
        <v>256</v>
      </c>
    </row>
    <row r="5" spans="1:17" ht="15" customHeight="1">
      <c r="A5" s="382" t="s">
        <v>104</v>
      </c>
      <c r="B5" s="383"/>
      <c r="C5" s="8">
        <v>0</v>
      </c>
      <c r="D5" s="9">
        <v>0</v>
      </c>
      <c r="E5" s="11">
        <f>C5*D5</f>
        <v>0</v>
      </c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7" ht="15" customHeight="1">
      <c r="A6" s="382" t="s">
        <v>72</v>
      </c>
      <c r="B6" s="383"/>
      <c r="C6" s="8">
        <v>0</v>
      </c>
      <c r="D6" s="9">
        <v>0</v>
      </c>
      <c r="E6" s="11">
        <f>C6*D6</f>
        <v>0</v>
      </c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</row>
    <row r="7" spans="1:17" ht="15" customHeight="1">
      <c r="A7" s="385"/>
      <c r="B7" s="386"/>
      <c r="C7" s="8">
        <v>0</v>
      </c>
      <c r="D7" s="9">
        <v>0</v>
      </c>
      <c r="E7" s="11">
        <f>C7*D7</f>
        <v>0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5" customHeight="1">
      <c r="A8" s="398" t="s">
        <v>73</v>
      </c>
      <c r="B8" s="399"/>
      <c r="C8" s="8">
        <v>0</v>
      </c>
      <c r="D8" s="9">
        <v>0</v>
      </c>
      <c r="E8" s="11">
        <f>C8*D8</f>
        <v>0</v>
      </c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15" customHeight="1">
      <c r="A9" s="393" t="s">
        <v>105</v>
      </c>
      <c r="B9" s="394"/>
      <c r="C9" s="395"/>
      <c r="D9" s="10">
        <f>SUM(D5:D8)</f>
        <v>0</v>
      </c>
      <c r="E9" s="11" t="str">
        <f>IF(SUM($D$5:$D$8)=100%,SUM(E5:E8),"    GEEN 100%")</f>
        <v xml:space="preserve">    GEEN 100%</v>
      </c>
      <c r="G9" s="204"/>
      <c r="H9" s="213"/>
      <c r="I9" s="204"/>
      <c r="J9" s="204"/>
      <c r="K9" s="204"/>
      <c r="L9" s="204"/>
      <c r="M9" s="204"/>
      <c r="N9" s="204"/>
      <c r="O9" s="204"/>
      <c r="P9" s="204"/>
      <c r="Q9" s="204"/>
    </row>
    <row r="10" spans="1:17" ht="15" customHeight="1">
      <c r="A10" s="387" t="s">
        <v>74</v>
      </c>
      <c r="B10" s="387"/>
      <c r="C10" s="387"/>
      <c r="D10" s="168" t="s">
        <v>3</v>
      </c>
      <c r="E10" s="170">
        <f>SUM(E9:E9)</f>
        <v>0</v>
      </c>
      <c r="G10" s="204" t="s">
        <v>257</v>
      </c>
      <c r="H10" s="213"/>
      <c r="I10" s="170">
        <f>(E10*H10)+E10</f>
        <v>0</v>
      </c>
      <c r="J10" s="213">
        <v>0</v>
      </c>
      <c r="K10" s="170">
        <f>(I10*J10)+I10</f>
        <v>0</v>
      </c>
      <c r="L10" s="213">
        <v>0</v>
      </c>
      <c r="M10" s="170">
        <f>(K10*L10)+K10</f>
        <v>0</v>
      </c>
      <c r="N10" s="213">
        <v>0</v>
      </c>
      <c r="O10" s="170">
        <f>(M10*N10)+M10</f>
        <v>0</v>
      </c>
      <c r="P10" s="213">
        <v>0</v>
      </c>
      <c r="Q10" s="170">
        <f>(O10*P10)+O10</f>
        <v>0</v>
      </c>
    </row>
    <row r="11" spans="1:17" ht="15" customHeight="1">
      <c r="A11" s="214"/>
      <c r="B11" s="215"/>
      <c r="C11" s="215"/>
      <c r="D11" s="215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</row>
    <row r="12" spans="1:17" s="31" customFormat="1" ht="26.25" customHeight="1">
      <c r="A12" s="390" t="s">
        <v>76</v>
      </c>
      <c r="B12" s="392"/>
      <c r="C12" s="391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97" t="s">
        <v>4</v>
      </c>
      <c r="B13" s="384"/>
      <c r="C13" s="384"/>
      <c r="D13" s="205">
        <v>0</v>
      </c>
      <c r="E13" s="217">
        <f>SUM($E$10*D13)</f>
        <v>0</v>
      </c>
      <c r="G13" s="204" t="s">
        <v>257</v>
      </c>
      <c r="H13" s="213"/>
      <c r="I13" s="218">
        <f>(E13*H13)+E13</f>
        <v>0</v>
      </c>
      <c r="J13" s="219"/>
      <c r="K13" s="218">
        <f>(I13*J13)+I13</f>
        <v>0</v>
      </c>
      <c r="L13" s="219"/>
      <c r="M13" s="218">
        <f>(K13*L13)+K13</f>
        <v>0</v>
      </c>
      <c r="N13" s="219"/>
      <c r="O13" s="218">
        <f>(M13*N13)+M13</f>
        <v>0</v>
      </c>
      <c r="P13" s="219"/>
      <c r="Q13" s="218">
        <f>(O13*P13)+O13</f>
        <v>0</v>
      </c>
    </row>
    <row r="14" spans="1:17" ht="15" customHeight="1">
      <c r="A14" s="384" t="s">
        <v>90</v>
      </c>
      <c r="B14" s="384"/>
      <c r="C14" s="384"/>
      <c r="D14" s="205">
        <v>0</v>
      </c>
      <c r="E14" s="217">
        <f>SUM($E$10*D14)</f>
        <v>0</v>
      </c>
      <c r="G14" s="204" t="s">
        <v>257</v>
      </c>
      <c r="H14" s="213"/>
      <c r="I14" s="218">
        <f>(E14*H14)+E14</f>
        <v>0</v>
      </c>
      <c r="J14" s="219"/>
      <c r="K14" s="218">
        <f>(I14*J14)+I14</f>
        <v>0</v>
      </c>
      <c r="L14" s="219"/>
      <c r="M14" s="218">
        <f>(K14*L14)+K14</f>
        <v>0</v>
      </c>
      <c r="N14" s="219"/>
      <c r="O14" s="218">
        <f>(M14*N14)+M14</f>
        <v>0</v>
      </c>
      <c r="P14" s="219"/>
      <c r="Q14" s="218">
        <f>(O14*P14)+O14</f>
        <v>0</v>
      </c>
    </row>
    <row r="15" spans="1:17" ht="15" customHeight="1">
      <c r="A15" s="384" t="s">
        <v>5</v>
      </c>
      <c r="B15" s="384"/>
      <c r="C15" s="384"/>
      <c r="D15" s="205">
        <v>0</v>
      </c>
      <c r="E15" s="217">
        <f>SUM($E$10*D15)</f>
        <v>0</v>
      </c>
      <c r="G15" s="204" t="s">
        <v>257</v>
      </c>
      <c r="H15" s="213"/>
      <c r="I15" s="218">
        <f>(E15*H15)+E15</f>
        <v>0</v>
      </c>
      <c r="J15" s="219"/>
      <c r="K15" s="218">
        <f>(I15*J15)+I15</f>
        <v>0</v>
      </c>
      <c r="L15" s="219"/>
      <c r="M15" s="218">
        <f>(K15*L15)+K15</f>
        <v>0</v>
      </c>
      <c r="N15" s="219"/>
      <c r="O15" s="218">
        <f>(M15*N15)+M15</f>
        <v>0</v>
      </c>
      <c r="P15" s="219"/>
      <c r="Q15" s="218">
        <f>(O15*P15)+O15</f>
        <v>0</v>
      </c>
    </row>
    <row r="16" spans="1:17" ht="15" customHeight="1">
      <c r="A16" s="384" t="s">
        <v>6</v>
      </c>
      <c r="B16" s="384"/>
      <c r="C16" s="384"/>
      <c r="D16" s="205">
        <v>0</v>
      </c>
      <c r="E16" s="217">
        <f>SUM($E$10*D16)</f>
        <v>0</v>
      </c>
      <c r="G16" s="204" t="s">
        <v>257</v>
      </c>
      <c r="H16" s="213"/>
      <c r="I16" s="218">
        <f>(E16*H16)+E16</f>
        <v>0</v>
      </c>
      <c r="J16" s="219"/>
      <c r="K16" s="218">
        <f>(I16*J16)+I16</f>
        <v>0</v>
      </c>
      <c r="L16" s="219"/>
      <c r="M16" s="218">
        <f>(K16*L16)+K16</f>
        <v>0</v>
      </c>
      <c r="N16" s="219"/>
      <c r="O16" s="218">
        <f>(M16*N16)+M16</f>
        <v>0</v>
      </c>
      <c r="P16" s="219"/>
      <c r="Q16" s="218">
        <f>(O16*P16)+O16</f>
        <v>0</v>
      </c>
    </row>
    <row r="17" spans="1:17" ht="15" customHeight="1">
      <c r="A17" s="385" t="s">
        <v>93</v>
      </c>
      <c r="B17" s="396"/>
      <c r="C17" s="386"/>
      <c r="D17" s="205">
        <v>0</v>
      </c>
      <c r="E17" s="217">
        <f>SUM($E$10*D17)</f>
        <v>0</v>
      </c>
      <c r="G17" s="204" t="s">
        <v>257</v>
      </c>
      <c r="H17" s="213"/>
      <c r="I17" s="218">
        <f>(E17*H17)+E17</f>
        <v>0</v>
      </c>
      <c r="J17" s="219"/>
      <c r="K17" s="218">
        <f>(I17*J17)+I17</f>
        <v>0</v>
      </c>
      <c r="L17" s="219"/>
      <c r="M17" s="218">
        <f>(K17*L17)+K17</f>
        <v>0</v>
      </c>
      <c r="N17" s="219"/>
      <c r="O17" s="218">
        <f>(M17*N17)+M17</f>
        <v>0</v>
      </c>
      <c r="P17" s="219"/>
      <c r="Q17" s="218">
        <f>(O17*P17)+O17</f>
        <v>0</v>
      </c>
    </row>
    <row r="18" spans="1:17" ht="15" customHeight="1">
      <c r="A18" s="387" t="s">
        <v>82</v>
      </c>
      <c r="B18" s="387"/>
      <c r="C18" s="387"/>
      <c r="D18" s="171"/>
      <c r="E18" s="172">
        <f>SUM(E13:E17)</f>
        <v>0</v>
      </c>
      <c r="G18" s="204"/>
      <c r="H18" s="204"/>
      <c r="I18" s="172">
        <f>SUM(I13:I17)</f>
        <v>0</v>
      </c>
      <c r="J18" s="204"/>
      <c r="K18" s="172">
        <f>SUM(K13:K17)</f>
        <v>0</v>
      </c>
      <c r="L18" s="204"/>
      <c r="M18" s="172">
        <f>SUM(M13:M17)</f>
        <v>0</v>
      </c>
      <c r="N18" s="204"/>
      <c r="O18" s="172">
        <f>SUM(O13:O17)</f>
        <v>0</v>
      </c>
      <c r="P18" s="204"/>
      <c r="Q18" s="172">
        <f>SUM(Q13:Q17)</f>
        <v>0</v>
      </c>
    </row>
    <row r="19" spans="1:17" ht="15" customHeight="1">
      <c r="D19" s="220"/>
      <c r="E19" s="221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</row>
    <row r="20" spans="1:17" s="31" customFormat="1" ht="26.25" customHeight="1">
      <c r="A20" s="390" t="s">
        <v>77</v>
      </c>
      <c r="B20" s="392"/>
      <c r="C20" s="391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84" t="s">
        <v>7</v>
      </c>
      <c r="B21" s="384"/>
      <c r="C21" s="384"/>
      <c r="D21" s="222" t="e">
        <f>E21/$E$35</f>
        <v>#DIV/0!</v>
      </c>
      <c r="E21" s="223">
        <v>0</v>
      </c>
      <c r="G21" s="204" t="s">
        <v>258</v>
      </c>
      <c r="H21" s="213"/>
      <c r="I21" s="218">
        <f>(E21*H21)+E21</f>
        <v>0</v>
      </c>
      <c r="J21" s="219"/>
      <c r="K21" s="218">
        <f>(I21*J21)+I21</f>
        <v>0</v>
      </c>
      <c r="L21" s="219"/>
      <c r="M21" s="218">
        <f>(K21*L21)+K21</f>
        <v>0</v>
      </c>
      <c r="N21" s="219"/>
      <c r="O21" s="218">
        <f>(M21*N21)+M21</f>
        <v>0</v>
      </c>
      <c r="P21" s="219"/>
      <c r="Q21" s="218">
        <f>(O21*P21)+O21</f>
        <v>0</v>
      </c>
    </row>
    <row r="22" spans="1:17" ht="15" customHeight="1">
      <c r="A22" s="397" t="s">
        <v>8</v>
      </c>
      <c r="B22" s="384"/>
      <c r="C22" s="384"/>
      <c r="D22" s="222" t="e">
        <f>E22/$E$35</f>
        <v>#DIV/0!</v>
      </c>
      <c r="E22" s="223">
        <v>0</v>
      </c>
      <c r="G22" s="204" t="s">
        <v>258</v>
      </c>
      <c r="H22" s="213"/>
      <c r="I22" s="218">
        <f>(E22*H22)+E22</f>
        <v>0</v>
      </c>
      <c r="J22" s="219"/>
      <c r="K22" s="218">
        <f>(I22*J22)+I22</f>
        <v>0</v>
      </c>
      <c r="L22" s="219"/>
      <c r="M22" s="218">
        <f>(K22*L22)+K22</f>
        <v>0</v>
      </c>
      <c r="N22" s="219"/>
      <c r="O22" s="218">
        <f>(M22*N22)+M22</f>
        <v>0</v>
      </c>
      <c r="P22" s="219"/>
      <c r="Q22" s="218">
        <f>(O22*P22)+O22</f>
        <v>0</v>
      </c>
    </row>
    <row r="23" spans="1:17" ht="15" customHeight="1">
      <c r="A23" s="384" t="s">
        <v>9</v>
      </c>
      <c r="B23" s="384"/>
      <c r="C23" s="384"/>
      <c r="D23" s="222" t="e">
        <f>E23/$E$35</f>
        <v>#DIV/0!</v>
      </c>
      <c r="E23" s="223">
        <v>0</v>
      </c>
      <c r="G23" s="204" t="s">
        <v>258</v>
      </c>
      <c r="H23" s="213"/>
      <c r="I23" s="224">
        <f>(E23*H23)+E23</f>
        <v>0</v>
      </c>
      <c r="J23" s="219"/>
      <c r="K23" s="218">
        <f>(I23*J23)+I23</f>
        <v>0</v>
      </c>
      <c r="L23" s="219"/>
      <c r="M23" s="218">
        <f>(K23*L23)+K23</f>
        <v>0</v>
      </c>
      <c r="N23" s="219"/>
      <c r="O23" s="218">
        <f>(M23*N23)+M23</f>
        <v>0</v>
      </c>
      <c r="P23" s="219"/>
      <c r="Q23" s="218">
        <f>(O23*P23)+O23</f>
        <v>0</v>
      </c>
    </row>
    <row r="24" spans="1:17" ht="15" customHeight="1">
      <c r="A24" s="398" t="s">
        <v>10</v>
      </c>
      <c r="B24" s="400"/>
      <c r="C24" s="399"/>
      <c r="D24" s="205">
        <v>0</v>
      </c>
      <c r="E24" s="225">
        <f>D24*$E$10</f>
        <v>0</v>
      </c>
      <c r="G24" s="204" t="s">
        <v>257</v>
      </c>
      <c r="H24" s="213"/>
      <c r="I24" s="218">
        <f>(E24*H24)+E24</f>
        <v>0</v>
      </c>
      <c r="J24" s="219"/>
      <c r="K24" s="218">
        <f>(I24*J24)+I24</f>
        <v>0</v>
      </c>
      <c r="L24" s="219"/>
      <c r="M24" s="218">
        <f>(K24*L24)+K24</f>
        <v>0</v>
      </c>
      <c r="N24" s="219"/>
      <c r="O24" s="218">
        <f>(M24*N24)+M24</f>
        <v>0</v>
      </c>
      <c r="P24" s="219"/>
      <c r="Q24" s="218">
        <f>(O24*P24)+O24</f>
        <v>0</v>
      </c>
    </row>
    <row r="25" spans="1:17" ht="15" customHeight="1">
      <c r="A25" s="385" t="s">
        <v>91</v>
      </c>
      <c r="B25" s="396"/>
      <c r="C25" s="386"/>
      <c r="D25" s="222" t="e">
        <f>E25/$E$35</f>
        <v>#DIV/0!</v>
      </c>
      <c r="E25" s="223">
        <v>0</v>
      </c>
      <c r="G25" s="204" t="s">
        <v>258</v>
      </c>
      <c r="H25" s="213"/>
      <c r="I25" s="224">
        <f>(E25*H25)+E25</f>
        <v>0</v>
      </c>
      <c r="J25" s="219"/>
      <c r="K25" s="218">
        <f>(I25*J25)+I25</f>
        <v>0</v>
      </c>
      <c r="L25" s="219"/>
      <c r="M25" s="218">
        <f>(K25*L25)+K25</f>
        <v>0</v>
      </c>
      <c r="N25" s="219"/>
      <c r="O25" s="218">
        <f>(M25*N25)+M25</f>
        <v>0</v>
      </c>
      <c r="P25" s="219"/>
      <c r="Q25" s="218">
        <f>(O25*P25)+O25</f>
        <v>0</v>
      </c>
    </row>
    <row r="26" spans="1:17" ht="15" customHeight="1">
      <c r="A26" s="387" t="s">
        <v>83</v>
      </c>
      <c r="B26" s="387"/>
      <c r="C26" s="387"/>
      <c r="D26" s="168" t="s">
        <v>3</v>
      </c>
      <c r="E26" s="170">
        <f>SUM(E21:E25)</f>
        <v>0</v>
      </c>
      <c r="G26" s="204"/>
      <c r="H26" s="204"/>
      <c r="I26" s="170">
        <f>SUM(I21:I25)</f>
        <v>0</v>
      </c>
      <c r="J26" s="204"/>
      <c r="K26" s="170">
        <f>SUM(K21:K25)</f>
        <v>0</v>
      </c>
      <c r="L26" s="204"/>
      <c r="M26" s="170">
        <f>SUM(M21:M25)</f>
        <v>0</v>
      </c>
      <c r="N26" s="204"/>
      <c r="O26" s="170">
        <f>SUM(O21:O25)</f>
        <v>0</v>
      </c>
      <c r="P26" s="204"/>
      <c r="Q26" s="170">
        <f>SUM(Q21:Q25)</f>
        <v>0</v>
      </c>
    </row>
    <row r="27" spans="1:17" ht="15" customHeight="1">
      <c r="A27" s="33"/>
      <c r="B27" s="33"/>
      <c r="C27" s="33"/>
      <c r="D27" s="226"/>
      <c r="E27" s="227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</row>
    <row r="28" spans="1:17" s="31" customFormat="1" ht="26.25" customHeight="1">
      <c r="A28" s="390" t="s">
        <v>78</v>
      </c>
      <c r="B28" s="392"/>
      <c r="C28" s="391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97" t="s">
        <v>11</v>
      </c>
      <c r="B29" s="384"/>
      <c r="C29" s="384"/>
      <c r="D29" s="205">
        <v>0</v>
      </c>
      <c r="E29" s="225">
        <f>D29*($E$18+$E$10)</f>
        <v>0</v>
      </c>
      <c r="G29" s="204" t="s">
        <v>258</v>
      </c>
      <c r="H29" s="213"/>
      <c r="I29" s="218">
        <f>(E29*H29)+E29</f>
        <v>0</v>
      </c>
      <c r="J29" s="219"/>
      <c r="K29" s="218">
        <f>(I29*J29)+I29</f>
        <v>0</v>
      </c>
      <c r="L29" s="219"/>
      <c r="M29" s="218">
        <f>(K29*L29)+K29</f>
        <v>0</v>
      </c>
      <c r="N29" s="219"/>
      <c r="O29" s="218">
        <f>(M29*N29)+M29</f>
        <v>0</v>
      </c>
      <c r="P29" s="219"/>
      <c r="Q29" s="218">
        <f>(O29*P29)+O29</f>
        <v>0</v>
      </c>
    </row>
    <row r="30" spans="1:17" ht="15" customHeight="1">
      <c r="A30" s="397" t="s">
        <v>79</v>
      </c>
      <c r="B30" s="384"/>
      <c r="C30" s="384"/>
      <c r="D30" s="228" t="e">
        <f>E30/$E$35</f>
        <v>#DIV/0!</v>
      </c>
      <c r="E30" s="223">
        <v>0</v>
      </c>
      <c r="G30" s="204" t="s">
        <v>258</v>
      </c>
      <c r="H30" s="213"/>
      <c r="I30" s="224">
        <f>(E30*H30)+E30</f>
        <v>0</v>
      </c>
      <c r="J30" s="219"/>
      <c r="K30" s="218">
        <f>(I30*J30)+I30</f>
        <v>0</v>
      </c>
      <c r="L30" s="219"/>
      <c r="M30" s="218">
        <f>(K30*L30)+K30</f>
        <v>0</v>
      </c>
      <c r="N30" s="219"/>
      <c r="O30" s="218">
        <f>(M30*N30)+M30</f>
        <v>0</v>
      </c>
      <c r="P30" s="219"/>
      <c r="Q30" s="218">
        <f>(O30*P30)+O30</f>
        <v>0</v>
      </c>
    </row>
    <row r="31" spans="1:17" ht="15" customHeight="1">
      <c r="A31" s="385" t="s">
        <v>92</v>
      </c>
      <c r="B31" s="396"/>
      <c r="C31" s="386"/>
      <c r="D31" s="222" t="e">
        <f>E31/$E$35</f>
        <v>#DIV/0!</v>
      </c>
      <c r="E31" s="223">
        <v>0</v>
      </c>
      <c r="G31" s="204" t="s">
        <v>258</v>
      </c>
      <c r="H31" s="213"/>
      <c r="I31" s="224">
        <f>(E31*H31)+E31</f>
        <v>0</v>
      </c>
      <c r="J31" s="219"/>
      <c r="K31" s="218">
        <f>(I31*J31)+I31</f>
        <v>0</v>
      </c>
      <c r="L31" s="219"/>
      <c r="M31" s="218">
        <f>(K31*L31)+K31</f>
        <v>0</v>
      </c>
      <c r="N31" s="219"/>
      <c r="O31" s="218">
        <f>(M31*N31)+M31</f>
        <v>0</v>
      </c>
      <c r="P31" s="219"/>
      <c r="Q31" s="218">
        <f>(O31*P31)+O31</f>
        <v>0</v>
      </c>
    </row>
    <row r="32" spans="1:17" ht="15" customHeight="1">
      <c r="A32" s="384" t="s">
        <v>80</v>
      </c>
      <c r="B32" s="384"/>
      <c r="C32" s="384"/>
      <c r="D32" s="228" t="e">
        <f>E32/$E$35</f>
        <v>#DIV/0!</v>
      </c>
      <c r="E32" s="223">
        <v>0</v>
      </c>
      <c r="G32" s="259" t="s">
        <v>258</v>
      </c>
      <c r="H32" s="204"/>
      <c r="I32" s="224">
        <f>(E32*H32)+E32</f>
        <v>0</v>
      </c>
      <c r="J32" s="219"/>
      <c r="K32" s="218">
        <f>(I32*J32)+I32</f>
        <v>0</v>
      </c>
      <c r="L32" s="219"/>
      <c r="M32" s="218">
        <f>(K32*L32)+K32</f>
        <v>0</v>
      </c>
      <c r="N32" s="219"/>
      <c r="O32" s="218">
        <f>(M32*N32)+M32</f>
        <v>0</v>
      </c>
      <c r="P32" s="219"/>
      <c r="Q32" s="218">
        <f>(O32*P32)+O32</f>
        <v>0</v>
      </c>
    </row>
    <row r="33" spans="1:17" ht="15" customHeight="1">
      <c r="A33" s="387" t="s">
        <v>84</v>
      </c>
      <c r="B33" s="387"/>
      <c r="C33" s="387"/>
      <c r="D33" s="168"/>
      <c r="E33" s="169">
        <f>SUM(E29:E32)</f>
        <v>0</v>
      </c>
      <c r="G33" s="204"/>
      <c r="H33" s="204"/>
      <c r="I33" s="169">
        <f>SUM(I29:I32)</f>
        <v>0</v>
      </c>
      <c r="J33" s="204"/>
      <c r="K33" s="169">
        <f>SUM(K29:K32)</f>
        <v>0</v>
      </c>
      <c r="L33" s="204"/>
      <c r="M33" s="169">
        <f>SUM(M29:M32)</f>
        <v>0</v>
      </c>
      <c r="N33" s="204"/>
      <c r="O33" s="169">
        <f>SUM(O29:O32)</f>
        <v>0</v>
      </c>
      <c r="P33" s="204"/>
      <c r="Q33" s="169">
        <f>SUM(Q29:Q32)</f>
        <v>0</v>
      </c>
    </row>
    <row r="34" spans="1:17" ht="15" customHeight="1">
      <c r="A34" s="33"/>
      <c r="B34" s="33"/>
      <c r="C34" s="33"/>
      <c r="D34" s="226"/>
      <c r="E34" s="229"/>
      <c r="H34" s="204"/>
      <c r="I34" s="204"/>
      <c r="J34" s="204"/>
      <c r="K34" s="204"/>
      <c r="L34" s="204"/>
      <c r="M34" s="204"/>
      <c r="N34" s="204"/>
      <c r="O34" s="204"/>
      <c r="P34" s="204"/>
      <c r="Q34" s="204"/>
    </row>
    <row r="35" spans="1:17" ht="26.25" customHeight="1">
      <c r="A35" s="401" t="s">
        <v>103</v>
      </c>
      <c r="B35" s="402"/>
      <c r="C35" s="402"/>
      <c r="D35" s="403"/>
      <c r="E35" s="167">
        <f>E33+E26+E18+E10</f>
        <v>0</v>
      </c>
      <c r="G35" s="146"/>
      <c r="H35" s="204"/>
      <c r="I35" s="167">
        <f>I33+I26+I18+I10</f>
        <v>0</v>
      </c>
      <c r="J35" s="204"/>
      <c r="K35" s="167">
        <f>K33+K26+K18+K10</f>
        <v>0</v>
      </c>
      <c r="L35" s="204"/>
      <c r="M35" s="167">
        <f>M33+M26+M18+M10</f>
        <v>0</v>
      </c>
      <c r="N35" s="204"/>
      <c r="O35" s="167">
        <f>O33+O26+O18+O10</f>
        <v>0</v>
      </c>
      <c r="P35" s="204"/>
      <c r="Q35" s="167">
        <f>Q33+Q26+Q18+Q10</f>
        <v>0</v>
      </c>
    </row>
    <row r="36" spans="1:17" ht="15" customHeight="1">
      <c r="D36" s="220"/>
      <c r="E36" s="221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259</v>
      </c>
      <c r="I37" s="230" t="e">
        <f>(I35/E35)-100%</f>
        <v>#DIV/0!</v>
      </c>
      <c r="J37" s="93"/>
      <c r="K37" s="230" t="e">
        <f>(K35/I35)-100%</f>
        <v>#DIV/0!</v>
      </c>
      <c r="L37" s="93"/>
      <c r="M37" s="230" t="e">
        <f>(M35/K35)-100%</f>
        <v>#DIV/0!</v>
      </c>
      <c r="N37" s="93"/>
      <c r="O37" s="230" t="e">
        <f>(O35/M35)-100%</f>
        <v>#DIV/0!</v>
      </c>
      <c r="P37" s="93"/>
      <c r="Q37" s="230" t="e">
        <f>(Q35/O35)-100%</f>
        <v>#DIV/0!</v>
      </c>
    </row>
    <row r="38" spans="1:17" ht="15" customHeight="1">
      <c r="A38" s="204" t="s">
        <v>89</v>
      </c>
      <c r="B38" s="204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204"/>
      <c r="I38" s="11" t="e">
        <f>(D38*$I$37)+D38</f>
        <v>#DIV/0!</v>
      </c>
      <c r="J38" s="204"/>
      <c r="K38" s="11" t="e">
        <f>(I38*$K$37)+I38</f>
        <v>#DIV/0!</v>
      </c>
      <c r="L38" s="204"/>
      <c r="M38" s="11" t="e">
        <f>(K38*$M$37)+K38</f>
        <v>#DIV/0!</v>
      </c>
      <c r="N38" s="204"/>
      <c r="O38" s="11" t="e">
        <f>(M38*$O$37)+M38</f>
        <v>#DIV/0!</v>
      </c>
      <c r="P38" s="204"/>
      <c r="Q38" s="11" t="e">
        <f>(O38*$Q$37)+O38</f>
        <v>#DIV/0!</v>
      </c>
    </row>
    <row r="39" spans="1:17" ht="15" customHeight="1">
      <c r="A39" s="204" t="s">
        <v>94</v>
      </c>
      <c r="B39" s="204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204"/>
      <c r="K39" s="11" t="e">
        <f>(I39*$K$37)+I39</f>
        <v>#DIV/0!</v>
      </c>
      <c r="L39" s="204"/>
      <c r="M39" s="11" t="e">
        <f>(K39*$M$37)+K39</f>
        <v>#DIV/0!</v>
      </c>
      <c r="N39" s="204"/>
      <c r="O39" s="11" t="e">
        <f>(M39*$O$37)+M39</f>
        <v>#DIV/0!</v>
      </c>
      <c r="P39" s="204"/>
      <c r="Q39" s="11" t="e">
        <f>(O39*$Q$37)+O39</f>
        <v>#DIV/0!</v>
      </c>
    </row>
    <row r="40" spans="1:17" ht="15" customHeight="1">
      <c r="A40" s="204" t="s">
        <v>24</v>
      </c>
      <c r="B40" s="204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204"/>
      <c r="I40" s="11" t="e">
        <f>(D40*$I$37)+D40</f>
        <v>#DIV/0!</v>
      </c>
      <c r="J40" s="204"/>
      <c r="K40" s="11" t="e">
        <f>(I40*$K$37)+I40</f>
        <v>#DIV/0!</v>
      </c>
      <c r="L40" s="204"/>
      <c r="M40" s="11" t="e">
        <f>(K40*$M$37)+K40</f>
        <v>#DIV/0!</v>
      </c>
      <c r="N40" s="204"/>
      <c r="O40" s="11" t="e">
        <f>(M40*$O$37)+M40</f>
        <v>#DIV/0!</v>
      </c>
      <c r="P40" s="204"/>
      <c r="Q40" s="11" t="e">
        <f>(O40*$Q$37)+O40</f>
        <v>#DIV/0!</v>
      </c>
    </row>
    <row r="41" spans="1:17" ht="15" customHeight="1">
      <c r="A41" s="204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204"/>
      <c r="I41" s="11" t="e">
        <f>(D41*$I$37)+D41</f>
        <v>#DIV/0!</v>
      </c>
      <c r="J41" s="204"/>
      <c r="K41" s="11" t="e">
        <f>(I41*$K$37)+I41</f>
        <v>#DIV/0!</v>
      </c>
      <c r="L41" s="204"/>
      <c r="M41" s="11" t="e">
        <f>(K41*$M$37)+K41</f>
        <v>#DIV/0!</v>
      </c>
      <c r="N41" s="204"/>
      <c r="O41" s="11" t="e">
        <f>(M41*$O$37)+M41</f>
        <v>#DIV/0!</v>
      </c>
      <c r="P41" s="204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406" t="s">
        <v>122</v>
      </c>
      <c r="B1" s="406"/>
      <c r="C1" s="406"/>
      <c r="D1" s="406"/>
      <c r="E1" s="406"/>
      <c r="F1" s="406"/>
    </row>
    <row r="2" spans="1:10" s="7" customFormat="1" ht="15" customHeight="1">
      <c r="A2" s="404" t="s">
        <v>218</v>
      </c>
      <c r="B2" s="405"/>
      <c r="C2" s="405"/>
      <c r="D2" s="405"/>
      <c r="E2" s="405"/>
      <c r="F2" s="405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235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438</v>
      </c>
      <c r="C7" s="127">
        <v>1</v>
      </c>
      <c r="D7" s="132" t="s">
        <v>439</v>
      </c>
      <c r="E7" s="193" t="s">
        <v>440</v>
      </c>
      <c r="F7" s="193" t="s">
        <v>441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236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212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408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409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408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409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410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408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408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401</v>
      </c>
      <c r="C18" s="98">
        <v>0</v>
      </c>
      <c r="D18" s="174" t="s">
        <v>411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402</v>
      </c>
      <c r="C19" s="98">
        <v>0</v>
      </c>
      <c r="D19" s="174" t="s">
        <v>411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408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403</v>
      </c>
      <c r="C21" s="98">
        <v>0</v>
      </c>
      <c r="D21" s="174" t="s">
        <v>408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404</v>
      </c>
      <c r="C22" s="98">
        <v>0</v>
      </c>
      <c r="D22" s="174" t="s">
        <v>408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405</v>
      </c>
      <c r="C23" s="98">
        <v>0</v>
      </c>
      <c r="D23" s="174" t="s">
        <v>408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406</v>
      </c>
      <c r="C24" s="98">
        <v>0</v>
      </c>
      <c r="D24" s="174" t="s">
        <v>411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408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369</v>
      </c>
      <c r="C26" s="98">
        <v>0</v>
      </c>
      <c r="D26" s="174" t="s">
        <v>411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408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412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407</v>
      </c>
      <c r="C29" s="98">
        <v>0</v>
      </c>
      <c r="D29" s="174" t="s">
        <v>408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237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211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79"/>
  <sheetViews>
    <sheetView view="pageBreakPreview" topLeftCell="K1" zoomScale="90" zoomScaleNormal="40" zoomScaleSheetLayoutView="90" workbookViewId="0">
      <pane ySplit="4" topLeftCell="A5" activePane="bottomLeft" state="frozen"/>
      <selection pane="bottomLeft" activeCell="K2" sqref="K2"/>
    </sheetView>
  </sheetViews>
  <sheetFormatPr defaultColWidth="10.28515625" defaultRowHeight="15" customHeight="1"/>
  <cols>
    <col min="1" max="1" width="11.28515625" style="24" bestFit="1" customWidth="1"/>
    <col min="2" max="2" width="29.85546875" style="24" bestFit="1" customWidth="1"/>
    <col min="3" max="3" width="23.7109375" style="24" bestFit="1" customWidth="1"/>
    <col min="4" max="4" width="15.5703125" style="24" bestFit="1" customWidth="1"/>
    <col min="5" max="5" width="12.5703125" style="24" bestFit="1" customWidth="1"/>
    <col min="6" max="6" width="15.28515625" style="24" bestFit="1" customWidth="1"/>
    <col min="7" max="7" width="13.85546875" style="24" bestFit="1" customWidth="1"/>
    <col min="8" max="8" width="14.7109375" style="27" bestFit="1" customWidth="1"/>
    <col min="9" max="9" width="25.28515625" style="74" bestFit="1" customWidth="1"/>
    <col min="10" max="10" width="13.28515625" style="27" bestFit="1" customWidth="1"/>
    <col min="11" max="11" width="21.5703125" style="74" bestFit="1" customWidth="1"/>
    <col min="12" max="12" width="11.5703125" style="27" bestFit="1" customWidth="1"/>
    <col min="13" max="13" width="16.42578125" style="119" bestFit="1" customWidth="1"/>
    <col min="14" max="14" width="16.85546875" style="119" bestFit="1" customWidth="1"/>
    <col min="15" max="15" width="18.85546875" style="120" bestFit="1" customWidth="1"/>
    <col min="16" max="16" width="16" style="120" bestFit="1" customWidth="1"/>
    <col min="17" max="17" width="17.42578125" style="24" bestFit="1" customWidth="1"/>
    <col min="18" max="18" width="15.85546875" style="24" bestFit="1" customWidth="1"/>
    <col min="19" max="19" width="17.5703125" style="12" bestFit="1" customWidth="1"/>
    <col min="20" max="20" width="19.7109375" style="12" bestFit="1" customWidth="1"/>
    <col min="21" max="21" width="22.42578125" style="122" bestFit="1" customWidth="1"/>
    <col min="22" max="22" width="24.42578125" style="123" bestFit="1" customWidth="1"/>
    <col min="23" max="23" width="17.7109375" style="121" bestFit="1" customWidth="1"/>
    <col min="24" max="24" width="20.140625" style="12" bestFit="1" customWidth="1"/>
    <col min="25" max="25" width="17.42578125" style="122" bestFit="1" customWidth="1"/>
    <col min="26" max="26" width="19.7109375" style="123" bestFit="1" customWidth="1"/>
    <col min="27" max="27" width="22.42578125" style="121" bestFit="1" customWidth="1"/>
    <col min="28" max="28" width="22.7109375" style="24" bestFit="1" customWidth="1"/>
    <col min="29" max="29" width="17.7109375" style="24" bestFit="1" customWidth="1"/>
    <col min="30" max="30" width="20.140625" style="124" bestFit="1" customWidth="1"/>
    <col min="31" max="31" width="17.5703125" style="124" bestFit="1" customWidth="1"/>
    <col min="32" max="32" width="18.42578125" style="125" bestFit="1" customWidth="1"/>
    <col min="33" max="33" width="20.7109375" style="87" bestFit="1" customWidth="1"/>
    <col min="34" max="219" width="10.28515625" style="87"/>
    <col min="220" max="16384" width="10.28515625" style="24"/>
  </cols>
  <sheetData>
    <row r="1" spans="1:220" ht="15" customHeight="1">
      <c r="A1" s="407" t="s">
        <v>166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 t="s">
        <v>166</v>
      </c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408" t="s">
        <v>243</v>
      </c>
      <c r="T3" s="409"/>
      <c r="U3" s="409"/>
      <c r="V3" s="409"/>
      <c r="W3" s="409"/>
      <c r="X3" s="410"/>
      <c r="Y3" s="411" t="s">
        <v>244</v>
      </c>
      <c r="Z3" s="412"/>
      <c r="AA3" s="412"/>
      <c r="AB3" s="412"/>
      <c r="AC3" s="412"/>
      <c r="AD3" s="413"/>
      <c r="AE3" s="414" t="s">
        <v>245</v>
      </c>
      <c r="AF3" s="415"/>
      <c r="AG3" s="416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Apeldoorn</v>
      </c>
      <c r="C5" s="27" t="str">
        <f>VLOOKUP(Ruimtestaat[[#This Row],[Code]],Locaties[#All],4,FALSE)</f>
        <v>Musschenbroekstraat 11</v>
      </c>
      <c r="D5" s="27" t="str">
        <f>VLOOKUP(Ruimtestaat[[#This Row],[Code]],Locaties[#All],5,FALSE)</f>
        <v>7316 JD</v>
      </c>
      <c r="E5" s="27" t="str">
        <f>VLOOKUP(Ruimtestaat[[#This Row],[Code]],Locaties[#All],6,FALSE)</f>
        <v>Apeldoorn</v>
      </c>
      <c r="F5" s="74"/>
      <c r="G5" s="32" t="s">
        <v>442</v>
      </c>
      <c r="H5" s="292" t="s">
        <v>443</v>
      </c>
      <c r="I5" s="293" t="s">
        <v>444</v>
      </c>
      <c r="J5" s="32">
        <v>6</v>
      </c>
      <c r="K5" s="74" t="str">
        <f>VLOOKUP(J5,Ruimtegroepen[],2,FALSE)</f>
        <v>Gangen/hallen</v>
      </c>
      <c r="L5" s="32" t="s">
        <v>110</v>
      </c>
      <c r="M5" s="293" t="s">
        <v>413</v>
      </c>
      <c r="N5" s="294">
        <v>49.2</v>
      </c>
      <c r="O5" s="32"/>
      <c r="P5" s="118" t="str">
        <f>LEFT(VLOOKUP(Ruimtestaat[[#This Row],[Ruimte code]],Ruimtegroepen[#All],4,1),2)</f>
        <v>Ve</v>
      </c>
      <c r="Q5" s="107"/>
      <c r="R5" s="108">
        <v>40</v>
      </c>
      <c r="S5" s="109" t="s">
        <v>2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9840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9840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Apeldoorn</v>
      </c>
      <c r="C6" s="27" t="str">
        <f>VLOOKUP(Ruimtestaat[[#This Row],[Code]],Locaties[#All],4,FALSE)</f>
        <v>Musschenbroekstraat 11</v>
      </c>
      <c r="D6" s="27" t="str">
        <f>VLOOKUP(Ruimtestaat[[#This Row],[Code]],Locaties[#All],5,FALSE)</f>
        <v>7316 JD</v>
      </c>
      <c r="E6" s="27" t="str">
        <f>VLOOKUP(Ruimtestaat[[#This Row],[Code]],Locaties[#All],6,FALSE)</f>
        <v>Apeldoorn</v>
      </c>
      <c r="F6" s="74"/>
      <c r="G6" s="32" t="s">
        <v>442</v>
      </c>
      <c r="H6" s="292" t="s">
        <v>445</v>
      </c>
      <c r="I6" s="293" t="s">
        <v>446</v>
      </c>
      <c r="J6" s="32">
        <v>14</v>
      </c>
      <c r="K6" s="74" t="str">
        <f>VLOOKUP(J6,Ruimtegroepen[],2,FALSE)</f>
        <v>Praktijklokalen</v>
      </c>
      <c r="L6" s="32" t="s">
        <v>110</v>
      </c>
      <c r="M6" s="293" t="s">
        <v>413</v>
      </c>
      <c r="N6" s="294">
        <v>23.1</v>
      </c>
      <c r="O6" s="295"/>
      <c r="P6" s="118" t="str">
        <f>LEFT(VLOOKUP(Ruimtestaat[[#This Row],[Ruimte code]],Ruimtegroepen[#All],4,1),2)</f>
        <v>Le</v>
      </c>
      <c r="Q6" s="107"/>
      <c r="R6" s="108">
        <v>40</v>
      </c>
      <c r="S6" s="109" t="s">
        <v>2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4620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4620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Apeldoorn</v>
      </c>
      <c r="C7" s="27" t="str">
        <f>VLOOKUP(Ruimtestaat[[#This Row],[Code]],Locaties[#All],4,FALSE)</f>
        <v>Musschenbroekstraat 11</v>
      </c>
      <c r="D7" s="27" t="str">
        <f>VLOOKUP(Ruimtestaat[[#This Row],[Code]],Locaties[#All],5,FALSE)</f>
        <v>7316 JD</v>
      </c>
      <c r="E7" s="27" t="str">
        <f>VLOOKUP(Ruimtestaat[[#This Row],[Code]],Locaties[#All],6,FALSE)</f>
        <v>Apeldoorn</v>
      </c>
      <c r="F7" s="74"/>
      <c r="G7" s="32" t="s">
        <v>442</v>
      </c>
      <c r="H7" s="292" t="s">
        <v>447</v>
      </c>
      <c r="I7" s="293" t="s">
        <v>448</v>
      </c>
      <c r="J7" s="33">
        <v>16</v>
      </c>
      <c r="K7" s="74" t="str">
        <f>VLOOKUP(J7,Ruimtegroepen[],2,FALSE)</f>
        <v>Leslokalen</v>
      </c>
      <c r="L7" s="32" t="s">
        <v>110</v>
      </c>
      <c r="M7" s="293" t="s">
        <v>413</v>
      </c>
      <c r="N7" s="294">
        <v>52.1</v>
      </c>
      <c r="O7" s="295"/>
      <c r="P7" s="118" t="str">
        <f>LEFT(VLOOKUP(Ruimtestaat[[#This Row],[Ruimte code]],Ruimtegroepen[#All],4,1),2)</f>
        <v>Le</v>
      </c>
      <c r="Q7" s="107"/>
      <c r="R7" s="108">
        <v>40</v>
      </c>
      <c r="S7" s="109" t="s">
        <v>2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10420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10420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Apeldoorn</v>
      </c>
      <c r="C8" s="27" t="str">
        <f>VLOOKUP(Ruimtestaat[[#This Row],[Code]],Locaties[#All],4,FALSE)</f>
        <v>Musschenbroekstraat 11</v>
      </c>
      <c r="D8" s="27" t="str">
        <f>VLOOKUP(Ruimtestaat[[#This Row],[Code]],Locaties[#All],5,FALSE)</f>
        <v>7316 JD</v>
      </c>
      <c r="E8" s="27" t="str">
        <f>VLOOKUP(Ruimtestaat[[#This Row],[Code]],Locaties[#All],6,FALSE)</f>
        <v>Apeldoorn</v>
      </c>
      <c r="F8" s="74"/>
      <c r="G8" s="32" t="s">
        <v>442</v>
      </c>
      <c r="H8" s="292" t="s">
        <v>449</v>
      </c>
      <c r="I8" s="293" t="s">
        <v>450</v>
      </c>
      <c r="J8" s="32">
        <v>2</v>
      </c>
      <c r="K8" s="74" t="str">
        <f>VLOOKUP(J8,Ruimtegroepen[],2,FALSE)</f>
        <v>Kantoren</v>
      </c>
      <c r="L8" s="32" t="s">
        <v>110</v>
      </c>
      <c r="M8" s="293" t="s">
        <v>413</v>
      </c>
      <c r="N8" s="294">
        <v>25.7</v>
      </c>
      <c r="O8" s="295"/>
      <c r="P8" s="118" t="str">
        <f>LEFT(VLOOKUP(Ruimtestaat[[#This Row],[Ruimte code]],Ruimtegroepen[#All],4,1),2)</f>
        <v>Bu</v>
      </c>
      <c r="Q8" s="107"/>
      <c r="R8" s="108">
        <v>40</v>
      </c>
      <c r="S8" s="109" t="s">
        <v>2</v>
      </c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5140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5140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Apeldoorn</v>
      </c>
      <c r="C9" s="27" t="str">
        <f>VLOOKUP(Ruimtestaat[[#This Row],[Code]],Locaties[#All],4,FALSE)</f>
        <v>Musschenbroekstraat 11</v>
      </c>
      <c r="D9" s="27" t="str">
        <f>VLOOKUP(Ruimtestaat[[#This Row],[Code]],Locaties[#All],5,FALSE)</f>
        <v>7316 JD</v>
      </c>
      <c r="E9" s="27" t="str">
        <f>VLOOKUP(Ruimtestaat[[#This Row],[Code]],Locaties[#All],6,FALSE)</f>
        <v>Apeldoorn</v>
      </c>
      <c r="F9" s="74"/>
      <c r="G9" s="32" t="s">
        <v>442</v>
      </c>
      <c r="H9" s="292" t="s">
        <v>451</v>
      </c>
      <c r="I9" s="293" t="s">
        <v>452</v>
      </c>
      <c r="J9" s="33">
        <v>16</v>
      </c>
      <c r="K9" s="74" t="str">
        <f>VLOOKUP(J9,Ruimtegroepen[],2,FALSE)</f>
        <v>Leslokalen</v>
      </c>
      <c r="L9" s="32" t="s">
        <v>110</v>
      </c>
      <c r="M9" s="293" t="s">
        <v>413</v>
      </c>
      <c r="N9" s="294">
        <v>52</v>
      </c>
      <c r="O9" s="32"/>
      <c r="P9" s="118" t="str">
        <f>LEFT(VLOOKUP(Ruimtestaat[[#This Row],[Ruimte code]],Ruimtegroepen[#All],4,1),2)</f>
        <v>Le</v>
      </c>
      <c r="Q9" s="107"/>
      <c r="R9" s="108">
        <v>40</v>
      </c>
      <c r="S9" s="109" t="s">
        <v>2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10400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10400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Apeldoorn</v>
      </c>
      <c r="C10" s="27" t="str">
        <f>VLOOKUP(Ruimtestaat[[#This Row],[Code]],Locaties[#All],4,FALSE)</f>
        <v>Musschenbroekstraat 11</v>
      </c>
      <c r="D10" s="27" t="str">
        <f>VLOOKUP(Ruimtestaat[[#This Row],[Code]],Locaties[#All],5,FALSE)</f>
        <v>7316 JD</v>
      </c>
      <c r="E10" s="27" t="str">
        <f>VLOOKUP(Ruimtestaat[[#This Row],[Code]],Locaties[#All],6,FALSE)</f>
        <v>Apeldoorn</v>
      </c>
      <c r="F10" s="74"/>
      <c r="G10" s="32" t="s">
        <v>442</v>
      </c>
      <c r="H10" s="292" t="s">
        <v>453</v>
      </c>
      <c r="I10" s="293" t="s">
        <v>452</v>
      </c>
      <c r="J10" s="33">
        <v>16</v>
      </c>
      <c r="K10" s="74" t="str">
        <f>VLOOKUP(J10,Ruimtegroepen[],2,FALSE)</f>
        <v>Leslokalen</v>
      </c>
      <c r="L10" s="32" t="s">
        <v>110</v>
      </c>
      <c r="M10" s="293" t="s">
        <v>413</v>
      </c>
      <c r="N10" s="294">
        <v>52</v>
      </c>
      <c r="O10" s="295"/>
      <c r="P10" s="118" t="str">
        <f>LEFT(VLOOKUP(Ruimtestaat[[#This Row],[Ruimte code]],Ruimtegroepen[#All],4,1),2)</f>
        <v>Le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10400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10400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Apeldoorn</v>
      </c>
      <c r="C11" s="27" t="str">
        <f>VLOOKUP(Ruimtestaat[[#This Row],[Code]],Locaties[#All],4,FALSE)</f>
        <v>Musschenbroekstraat 11</v>
      </c>
      <c r="D11" s="27" t="str">
        <f>VLOOKUP(Ruimtestaat[[#This Row],[Code]],Locaties[#All],5,FALSE)</f>
        <v>7316 JD</v>
      </c>
      <c r="E11" s="27" t="str">
        <f>VLOOKUP(Ruimtestaat[[#This Row],[Code]],Locaties[#All],6,FALSE)</f>
        <v>Apeldoorn</v>
      </c>
      <c r="F11" s="74"/>
      <c r="G11" s="32" t="s">
        <v>442</v>
      </c>
      <c r="H11" s="292" t="s">
        <v>454</v>
      </c>
      <c r="I11" s="293" t="s">
        <v>452</v>
      </c>
      <c r="J11" s="33">
        <v>16</v>
      </c>
      <c r="K11" s="74" t="str">
        <f>VLOOKUP(J11,Ruimtegroepen[],2,FALSE)</f>
        <v>Leslokalen</v>
      </c>
      <c r="L11" s="32" t="s">
        <v>110</v>
      </c>
      <c r="M11" s="293" t="s">
        <v>413</v>
      </c>
      <c r="N11" s="294">
        <v>52</v>
      </c>
      <c r="O11" s="295"/>
      <c r="P11" s="118" t="str">
        <f>LEFT(VLOOKUP(Ruimtestaat[[#This Row],[Ruimte code]],Ruimtegroepen[#All],4,1),2)</f>
        <v>Le</v>
      </c>
      <c r="Q11" s="107"/>
      <c r="R11" s="108">
        <v>40</v>
      </c>
      <c r="S11" s="109" t="s">
        <v>2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10400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IF($Z11&gt;0,VLOOKUP($J11,Ruimtegroepen[],3,FALSE)*VLOOKUP($L11,Vloersoorten[],3,FALSE)*VLOOKUP($Y11,Frequenties[],3,FALSE)*VLOOKUP($A7,Locaties[],3,FALSE),0)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10400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Apeldoorn</v>
      </c>
      <c r="C12" s="27" t="str">
        <f>VLOOKUP(Ruimtestaat[[#This Row],[Code]],Locaties[#All],4,FALSE)</f>
        <v>Musschenbroekstraat 11</v>
      </c>
      <c r="D12" s="27" t="str">
        <f>VLOOKUP(Ruimtestaat[[#This Row],[Code]],Locaties[#All],5,FALSE)</f>
        <v>7316 JD</v>
      </c>
      <c r="E12" s="27" t="str">
        <f>VLOOKUP(Ruimtestaat[[#This Row],[Code]],Locaties[#All],6,FALSE)</f>
        <v>Apeldoorn</v>
      </c>
      <c r="F12" s="74"/>
      <c r="G12" s="32" t="s">
        <v>442</v>
      </c>
      <c r="H12" s="292" t="s">
        <v>463</v>
      </c>
      <c r="I12" s="293" t="s">
        <v>452</v>
      </c>
      <c r="J12" s="33">
        <v>16</v>
      </c>
      <c r="K12" s="74" t="str">
        <f>VLOOKUP(J12,Ruimtegroepen[],2,FALSE)</f>
        <v>Leslokalen</v>
      </c>
      <c r="L12" s="32" t="s">
        <v>110</v>
      </c>
      <c r="M12" s="293" t="s">
        <v>413</v>
      </c>
      <c r="N12" s="294">
        <v>52.1</v>
      </c>
      <c r="O12" s="32"/>
      <c r="P12" s="118" t="str">
        <f>LEFT(VLOOKUP(Ruimtestaat[[#This Row],[Ruimte code]],Ruimtegroepen[#All],4,1),2)</f>
        <v>Le</v>
      </c>
      <c r="Q12" s="107"/>
      <c r="R12" s="108">
        <v>40</v>
      </c>
      <c r="S12" s="109" t="s">
        <v>2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10420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IF($Z12&gt;0,VLOOKUP($J12,Ruimtegroepen[],3,FALSE)*VLOOKUP($L12,Vloersoorten[],3,FALSE)*VLOOKUP($Y12,Frequenties[],3,FALSE)*VLOOKUP($A8,Locaties[],3,FALSE),0)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10420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Apeldoorn</v>
      </c>
      <c r="C13" s="27" t="str">
        <f>VLOOKUP(Ruimtestaat[[#This Row],[Code]],Locaties[#All],4,FALSE)</f>
        <v>Musschenbroekstraat 11</v>
      </c>
      <c r="D13" s="27" t="str">
        <f>VLOOKUP(Ruimtestaat[[#This Row],[Code]],Locaties[#All],5,FALSE)</f>
        <v>7316 JD</v>
      </c>
      <c r="E13" s="27" t="str">
        <f>VLOOKUP(Ruimtestaat[[#This Row],[Code]],Locaties[#All],6,FALSE)</f>
        <v>Apeldoorn</v>
      </c>
      <c r="F13" s="74"/>
      <c r="G13" s="32" t="s">
        <v>442</v>
      </c>
      <c r="H13" s="292" t="s">
        <v>464</v>
      </c>
      <c r="I13" s="293" t="s">
        <v>489</v>
      </c>
      <c r="J13" s="33">
        <v>10</v>
      </c>
      <c r="K13" s="74" t="str">
        <f>VLOOKUP(J13,Ruimtegroepen[],2,FALSE)</f>
        <v>Trappenhuizen/lift</v>
      </c>
      <c r="L13" s="32" t="s">
        <v>111</v>
      </c>
      <c r="M13" s="293" t="s">
        <v>136</v>
      </c>
      <c r="N13" s="294">
        <v>15.7</v>
      </c>
      <c r="O13" s="295"/>
      <c r="P13" s="118" t="str">
        <f>LEFT(VLOOKUP(Ruimtestaat[[#This Row],[Ruimte code]],Ruimtegroepen[#All],4,1),2)</f>
        <v>Ve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3140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IF($Z13&gt;0,VLOOKUP($J13,Ruimtegroepen[],3,FALSE)*VLOOKUP($L13,Vloersoorten[],3,FALSE)*VLOOKUP($Y13,Frequenties[],3,FALSE)*VLOOKUP($A9,Locaties[],3,FALSE),0)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3140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 ht="15" customHeight="1">
      <c r="A14" s="136">
        <v>1</v>
      </c>
      <c r="B14" s="27" t="str">
        <f>VLOOKUP(Ruimtestaat[[#This Row],[Code]],Locaties[#All],2,FALSE)</f>
        <v>Hoornbeeck College Apeldoorn</v>
      </c>
      <c r="C14" s="27" t="str">
        <f>VLOOKUP(Ruimtestaat[[#This Row],[Code]],Locaties[#All],4,FALSE)</f>
        <v>Musschenbroekstraat 11</v>
      </c>
      <c r="D14" s="27" t="str">
        <f>VLOOKUP(Ruimtestaat[[#This Row],[Code]],Locaties[#All],5,FALSE)</f>
        <v>7316 JD</v>
      </c>
      <c r="E14" s="27" t="str">
        <f>VLOOKUP(Ruimtestaat[[#This Row],[Code]],Locaties[#All],6,FALSE)</f>
        <v>Apeldoorn</v>
      </c>
      <c r="F14" s="74"/>
      <c r="G14" s="32" t="s">
        <v>442</v>
      </c>
      <c r="H14" s="292" t="s">
        <v>465</v>
      </c>
      <c r="I14" s="293" t="s">
        <v>452</v>
      </c>
      <c r="J14" s="33">
        <v>16</v>
      </c>
      <c r="K14" s="74" t="str">
        <f>VLOOKUP(J14,Ruimtegroepen[],2,FALSE)</f>
        <v>Leslokalen</v>
      </c>
      <c r="L14" s="32" t="s">
        <v>110</v>
      </c>
      <c r="M14" s="293" t="s">
        <v>413</v>
      </c>
      <c r="N14" s="294">
        <v>52</v>
      </c>
      <c r="O14" s="295"/>
      <c r="P14" s="118" t="str">
        <f>LEFT(VLOOKUP(Ruimtestaat[[#This Row],[Ruimte code]],Ruimtegroepen[#All],4,1),2)</f>
        <v>Le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10400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IF($Z14&gt;0,VLOOKUP($J14,Ruimtegroepen[],3,FALSE)*VLOOKUP($L14,Vloersoorten[],3,FALSE)*VLOOKUP($Y14,Frequenties[],3,FALSE)*VLOOKUP($A10,Locaties[],3,FALSE),0)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10400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2.75" customHeight="1">
      <c r="A15" s="136">
        <v>1</v>
      </c>
      <c r="B15" s="27" t="str">
        <f>VLOOKUP(Ruimtestaat[[#This Row],[Code]],Locaties[#All],2,FALSE)</f>
        <v>Hoornbeeck College Apeldoorn</v>
      </c>
      <c r="C15" s="27" t="str">
        <f>VLOOKUP(Ruimtestaat[[#This Row],[Code]],Locaties[#All],4,FALSE)</f>
        <v>Musschenbroekstraat 11</v>
      </c>
      <c r="D15" s="27" t="str">
        <f>VLOOKUP(Ruimtestaat[[#This Row],[Code]],Locaties[#All],5,FALSE)</f>
        <v>7316 JD</v>
      </c>
      <c r="E15" s="27" t="str">
        <f>VLOOKUP(Ruimtestaat[[#This Row],[Code]],Locaties[#All],6,FALSE)</f>
        <v>Apeldoorn</v>
      </c>
      <c r="F15" s="74"/>
      <c r="G15" s="32" t="s">
        <v>442</v>
      </c>
      <c r="H15" s="292" t="s">
        <v>455</v>
      </c>
      <c r="I15" s="293" t="s">
        <v>452</v>
      </c>
      <c r="J15" s="33">
        <v>16</v>
      </c>
      <c r="K15" s="74" t="str">
        <f>VLOOKUP(J15,Ruimtegroepen[],2,FALSE)</f>
        <v>Leslokalen</v>
      </c>
      <c r="L15" s="32" t="s">
        <v>110</v>
      </c>
      <c r="M15" s="293" t="s">
        <v>413</v>
      </c>
      <c r="N15" s="294">
        <v>52</v>
      </c>
      <c r="O15" s="32"/>
      <c r="P15" s="118" t="str">
        <f>LEFT(VLOOKUP(Ruimtestaat[[#This Row],[Ruimte code]],Ruimtegroepen[#All],4,1),2)</f>
        <v>Le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10400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10400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Apeldoorn</v>
      </c>
      <c r="C16" s="27" t="str">
        <f>VLOOKUP(Ruimtestaat[[#This Row],[Code]],Locaties[#All],4,FALSE)</f>
        <v>Musschenbroekstraat 11</v>
      </c>
      <c r="D16" s="27" t="str">
        <f>VLOOKUP(Ruimtestaat[[#This Row],[Code]],Locaties[#All],5,FALSE)</f>
        <v>7316 JD</v>
      </c>
      <c r="E16" s="27" t="str">
        <f>VLOOKUP(Ruimtestaat[[#This Row],[Code]],Locaties[#All],6,FALSE)</f>
        <v>Apeldoorn</v>
      </c>
      <c r="F16" s="74"/>
      <c r="G16" s="32" t="s">
        <v>442</v>
      </c>
      <c r="H16" s="292" t="s">
        <v>456</v>
      </c>
      <c r="I16" s="293" t="s">
        <v>565</v>
      </c>
      <c r="J16" s="33">
        <v>16</v>
      </c>
      <c r="K16" s="74" t="str">
        <f>VLOOKUP(J16,Ruimtegroepen[],2,FALSE)</f>
        <v>Leslokalen</v>
      </c>
      <c r="L16" s="32" t="s">
        <v>110</v>
      </c>
      <c r="M16" s="293" t="s">
        <v>413</v>
      </c>
      <c r="N16" s="294">
        <v>52</v>
      </c>
      <c r="O16" s="295"/>
      <c r="P16" s="118" t="str">
        <f>LEFT(VLOOKUP(Ruimtestaat[[#This Row],[Ruimte code]],Ruimtegroepen[#All],4,1),2)</f>
        <v>Le</v>
      </c>
      <c r="Q16" s="107"/>
      <c r="R16" s="108">
        <v>40</v>
      </c>
      <c r="S16" s="109" t="s">
        <v>2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10400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10400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Apeldoorn</v>
      </c>
      <c r="C17" s="27" t="str">
        <f>VLOOKUP(Ruimtestaat[[#This Row],[Code]],Locaties[#All],4,FALSE)</f>
        <v>Musschenbroekstraat 11</v>
      </c>
      <c r="D17" s="27" t="str">
        <f>VLOOKUP(Ruimtestaat[[#This Row],[Code]],Locaties[#All],5,FALSE)</f>
        <v>7316 JD</v>
      </c>
      <c r="E17" s="27" t="str">
        <f>VLOOKUP(Ruimtestaat[[#This Row],[Code]],Locaties[#All],6,FALSE)</f>
        <v>Apeldoorn</v>
      </c>
      <c r="F17" s="74"/>
      <c r="G17" s="32" t="s">
        <v>442</v>
      </c>
      <c r="H17" s="292" t="s">
        <v>457</v>
      </c>
      <c r="I17" s="293" t="s">
        <v>565</v>
      </c>
      <c r="J17" s="33">
        <v>16</v>
      </c>
      <c r="K17" s="74" t="str">
        <f>VLOOKUP(J17,Ruimtegroepen[],2,FALSE)</f>
        <v>Leslokalen</v>
      </c>
      <c r="L17" s="32" t="s">
        <v>110</v>
      </c>
      <c r="M17" s="293" t="s">
        <v>413</v>
      </c>
      <c r="N17" s="294">
        <v>52</v>
      </c>
      <c r="O17" s="295"/>
      <c r="P17" s="118" t="str">
        <f>LEFT(VLOOKUP(Ruimtestaat[[#This Row],[Ruimte code]],Ruimtegroepen[#All],4,1),2)</f>
        <v>Le</v>
      </c>
      <c r="Q17" s="107"/>
      <c r="R17" s="108">
        <v>40</v>
      </c>
      <c r="S17" s="109" t="s">
        <v>17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4160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4160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Apeldoorn</v>
      </c>
      <c r="C18" s="27" t="str">
        <f>VLOOKUP(Ruimtestaat[[#This Row],[Code]],Locaties[#All],4,FALSE)</f>
        <v>Musschenbroekstraat 11</v>
      </c>
      <c r="D18" s="27" t="str">
        <f>VLOOKUP(Ruimtestaat[[#This Row],[Code]],Locaties[#All],5,FALSE)</f>
        <v>7316 JD</v>
      </c>
      <c r="E18" s="27" t="str">
        <f>VLOOKUP(Ruimtestaat[[#This Row],[Code]],Locaties[#All],6,FALSE)</f>
        <v>Apeldoorn</v>
      </c>
      <c r="F18" s="74"/>
      <c r="G18" s="32" t="s">
        <v>442</v>
      </c>
      <c r="H18" s="292" t="s">
        <v>461</v>
      </c>
      <c r="I18" s="293" t="s">
        <v>462</v>
      </c>
      <c r="J18" s="33">
        <v>6</v>
      </c>
      <c r="K18" s="74" t="str">
        <f>VLOOKUP(J18,Ruimtegroepen[],2,FALSE)</f>
        <v>Gangen/hallen</v>
      </c>
      <c r="L18" s="32" t="s">
        <v>110</v>
      </c>
      <c r="M18" s="293" t="s">
        <v>413</v>
      </c>
      <c r="N18" s="294">
        <v>85.4</v>
      </c>
      <c r="O18" s="32"/>
      <c r="P18" s="118" t="str">
        <f>LEFT(VLOOKUP(Ruimtestaat[[#This Row],[Ruimte code]],Ruimtegroepen[#All],4,1),2)</f>
        <v>Ve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17080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IF($Z18&gt;0,VLOOKUP($J18,Ruimtegroepen[],3,FALSE)*VLOOKUP($L18,Vloersoorten[],3,FALSE)*VLOOKUP($Y18,Frequenties[],3,FALSE)*VLOOKUP($A14,Locaties[],3,FALSE),0)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17080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Apeldoorn</v>
      </c>
      <c r="C19" s="27" t="str">
        <f>VLOOKUP(Ruimtestaat[[#This Row],[Code]],Locaties[#All],4,FALSE)</f>
        <v>Musschenbroekstraat 11</v>
      </c>
      <c r="D19" s="27" t="str">
        <f>VLOOKUP(Ruimtestaat[[#This Row],[Code]],Locaties[#All],5,FALSE)</f>
        <v>7316 JD</v>
      </c>
      <c r="E19" s="27" t="str">
        <f>VLOOKUP(Ruimtestaat[[#This Row],[Code]],Locaties[#All],6,FALSE)</f>
        <v>Apeldoorn</v>
      </c>
      <c r="F19" s="74"/>
      <c r="G19" s="32" t="s">
        <v>442</v>
      </c>
      <c r="H19" s="292" t="s">
        <v>458</v>
      </c>
      <c r="I19" s="293" t="s">
        <v>566</v>
      </c>
      <c r="J19" s="33">
        <v>2</v>
      </c>
      <c r="K19" s="74" t="str">
        <f>VLOOKUP(J19,Ruimtegroepen[],2,FALSE)</f>
        <v>Kantoren</v>
      </c>
      <c r="L19" s="32" t="s">
        <v>110</v>
      </c>
      <c r="M19" s="293" t="s">
        <v>413</v>
      </c>
      <c r="N19" s="294">
        <v>25.7</v>
      </c>
      <c r="O19" s="295"/>
      <c r="P19" s="118" t="str">
        <f>LEFT(VLOOKUP(Ruimtestaat[[#This Row],[Ruimte code]],Ruimtegroepen[#All],4,1),2)</f>
        <v>Bu</v>
      </c>
      <c r="Q19" s="107"/>
      <c r="R19" s="108">
        <v>40</v>
      </c>
      <c r="S19" s="109" t="s">
        <v>17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2056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IF($Z19&gt;0,VLOOKUP($J19,Ruimtegroepen[],3,FALSE)*VLOOKUP($L19,Vloersoorten[],3,FALSE)*VLOOKUP($Y19,Frequenties[],3,FALSE)*VLOOKUP($A15,Locaties[],3,FALSE),0)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2056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Apeldoorn</v>
      </c>
      <c r="C20" s="27" t="str">
        <f>VLOOKUP(Ruimtestaat[[#This Row],[Code]],Locaties[#All],4,FALSE)</f>
        <v>Musschenbroekstraat 11</v>
      </c>
      <c r="D20" s="27" t="str">
        <f>VLOOKUP(Ruimtestaat[[#This Row],[Code]],Locaties[#All],5,FALSE)</f>
        <v>7316 JD</v>
      </c>
      <c r="E20" s="27" t="str">
        <f>VLOOKUP(Ruimtestaat[[#This Row],[Code]],Locaties[#All],6,FALSE)</f>
        <v>Apeldoorn</v>
      </c>
      <c r="F20" s="74"/>
      <c r="G20" s="32" t="s">
        <v>442</v>
      </c>
      <c r="H20" s="292" t="s">
        <v>459</v>
      </c>
      <c r="I20" s="293" t="s">
        <v>567</v>
      </c>
      <c r="J20" s="33">
        <v>2</v>
      </c>
      <c r="K20" s="74" t="str">
        <f>VLOOKUP(J20,Ruimtegroepen[],2,FALSE)</f>
        <v>Kantoren</v>
      </c>
      <c r="L20" s="32" t="s">
        <v>110</v>
      </c>
      <c r="M20" s="293" t="s">
        <v>413</v>
      </c>
      <c r="N20" s="294">
        <v>25.7</v>
      </c>
      <c r="O20" s="295"/>
      <c r="P20" s="118" t="str">
        <f>LEFT(VLOOKUP(Ruimtestaat[[#This Row],[Ruimte code]],Ruimtegroepen[#All],4,1),2)</f>
        <v>Bu</v>
      </c>
      <c r="Q20" s="107"/>
      <c r="R20" s="108">
        <v>40</v>
      </c>
      <c r="S20" s="109" t="s">
        <v>17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2056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IF($Z20&gt;0,VLOOKUP($J20,Ruimtegroepen[],3,FALSE)*VLOOKUP($L20,Vloersoorten[],3,FALSE)*VLOOKUP($Y20,Frequenties[],3,FALSE)*VLOOKUP($A16,Locaties[],3,FALSE),0)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2056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Apeldoorn</v>
      </c>
      <c r="C21" s="27" t="str">
        <f>VLOOKUP(Ruimtestaat[[#This Row],[Code]],Locaties[#All],4,FALSE)</f>
        <v>Musschenbroekstraat 11</v>
      </c>
      <c r="D21" s="27" t="str">
        <f>VLOOKUP(Ruimtestaat[[#This Row],[Code]],Locaties[#All],5,FALSE)</f>
        <v>7316 JD</v>
      </c>
      <c r="E21" s="27" t="str">
        <f>VLOOKUP(Ruimtestaat[[#This Row],[Code]],Locaties[#All],6,FALSE)</f>
        <v>Apeldoorn</v>
      </c>
      <c r="F21" s="74"/>
      <c r="G21" s="32" t="s">
        <v>442</v>
      </c>
      <c r="H21" s="292" t="s">
        <v>460</v>
      </c>
      <c r="I21" s="293" t="s">
        <v>567</v>
      </c>
      <c r="J21" s="33">
        <v>2</v>
      </c>
      <c r="K21" s="74" t="str">
        <f>VLOOKUP(J21,Ruimtegroepen[],2,FALSE)</f>
        <v>Kantoren</v>
      </c>
      <c r="L21" s="32" t="s">
        <v>110</v>
      </c>
      <c r="M21" s="293" t="s">
        <v>413</v>
      </c>
      <c r="N21" s="294">
        <v>25.7</v>
      </c>
      <c r="O21" s="32"/>
      <c r="P21" s="118" t="str">
        <f>LEFT(VLOOKUP(Ruimtestaat[[#This Row],[Ruimte code]],Ruimtegroepen[#All],4,1),2)</f>
        <v>Bu</v>
      </c>
      <c r="Q21" s="107"/>
      <c r="R21" s="108">
        <v>40</v>
      </c>
      <c r="S21" s="109" t="s">
        <v>17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2056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IF($Z21&gt;0,VLOOKUP($J21,Ruimtegroepen[],3,FALSE)*VLOOKUP($L21,Vloersoorten[],3,FALSE)*VLOOKUP($Y21,Frequenties[],3,FALSE)*VLOOKUP($A16,Locaties[],3,FALSE),0)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2056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Apeldoorn</v>
      </c>
      <c r="C22" s="27" t="str">
        <f>VLOOKUP(Ruimtestaat[[#This Row],[Code]],Locaties[#All],4,FALSE)</f>
        <v>Musschenbroekstraat 11</v>
      </c>
      <c r="D22" s="27" t="str">
        <f>VLOOKUP(Ruimtestaat[[#This Row],[Code]],Locaties[#All],5,FALSE)</f>
        <v>7316 JD</v>
      </c>
      <c r="E22" s="27" t="str">
        <f>VLOOKUP(Ruimtestaat[[#This Row],[Code]],Locaties[#All],6,FALSE)</f>
        <v>Apeldoorn</v>
      </c>
      <c r="F22" s="74"/>
      <c r="G22" s="32" t="s">
        <v>466</v>
      </c>
      <c r="H22" s="292" t="s">
        <v>467</v>
      </c>
      <c r="I22" s="293" t="s">
        <v>444</v>
      </c>
      <c r="J22" s="33">
        <v>6</v>
      </c>
      <c r="K22" s="74" t="str">
        <f>VLOOKUP(J22,Ruimtegroepen[],2,FALSE)</f>
        <v>Gangen/hallen</v>
      </c>
      <c r="L22" s="32" t="s">
        <v>110</v>
      </c>
      <c r="M22" s="293" t="s">
        <v>413</v>
      </c>
      <c r="N22" s="294">
        <v>30.1</v>
      </c>
      <c r="O22" s="295"/>
      <c r="P22" s="118" t="str">
        <f>LEFT(VLOOKUP(Ruimtestaat[[#This Row],[Ruimte code]],Ruimtegroepen[#All],4,1),2)</f>
        <v>Ve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6020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IF($Z22&gt;0,VLOOKUP($J22,Ruimtegroepen[],3,FALSE)*VLOOKUP($L22,Vloersoorten[],3,FALSE)*VLOOKUP($Y22,Frequenties[],3,FALSE)*VLOOKUP($A17,Locaties[],3,FALSE),0)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6020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Apeldoorn</v>
      </c>
      <c r="C23" s="27" t="str">
        <f>VLOOKUP(Ruimtestaat[[#This Row],[Code]],Locaties[#All],4,FALSE)</f>
        <v>Musschenbroekstraat 11</v>
      </c>
      <c r="D23" s="27" t="str">
        <f>VLOOKUP(Ruimtestaat[[#This Row],[Code]],Locaties[#All],5,FALSE)</f>
        <v>7316 JD</v>
      </c>
      <c r="E23" s="27" t="str">
        <f>VLOOKUP(Ruimtestaat[[#This Row],[Code]],Locaties[#All],6,FALSE)</f>
        <v>Apeldoorn</v>
      </c>
      <c r="F23" s="74"/>
      <c r="G23" s="32" t="s">
        <v>466</v>
      </c>
      <c r="H23" s="292" t="s">
        <v>557</v>
      </c>
      <c r="I23" s="293" t="s">
        <v>251</v>
      </c>
      <c r="J23" s="33">
        <v>20</v>
      </c>
      <c r="K23" s="74" t="str">
        <f>VLOOKUP(J23,Ruimtegroepen[],2,FALSE)</f>
        <v>Niet in onderhoud</v>
      </c>
      <c r="L23" s="307"/>
      <c r="M23" s="308"/>
      <c r="N23" s="309"/>
      <c r="O23" s="295"/>
      <c r="P23" s="118" t="str">
        <f>LEFT(VLOOKUP(Ruimtestaat[[#This Row],[Ruimte code]],Ruimtegroepen[#All],4,1),2)</f>
        <v/>
      </c>
      <c r="Q23" s="107"/>
      <c r="R23" s="108"/>
      <c r="S23" s="109"/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0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IF($Z23&gt;0,VLOOKUP($J23,Ruimtegroepen[],3,FALSE)*VLOOKUP($L23,Vloersoorten[],3,FALSE)*VLOOKUP($Y23,Frequenties[],3,FALSE)*VLOOKUP($A18,Locaties[],3,FALSE),0)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0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Apeldoorn</v>
      </c>
      <c r="C24" s="27" t="str">
        <f>VLOOKUP(Ruimtestaat[[#This Row],[Code]],Locaties[#All],4,FALSE)</f>
        <v>Musschenbroekstraat 11</v>
      </c>
      <c r="D24" s="27" t="str">
        <f>VLOOKUP(Ruimtestaat[[#This Row],[Code]],Locaties[#All],5,FALSE)</f>
        <v>7316 JD</v>
      </c>
      <c r="E24" s="27" t="str">
        <f>VLOOKUP(Ruimtestaat[[#This Row],[Code]],Locaties[#All],6,FALSE)</f>
        <v>Apeldoorn</v>
      </c>
      <c r="F24" s="74"/>
      <c r="G24" s="32" t="s">
        <v>466</v>
      </c>
      <c r="H24" s="292" t="s">
        <v>558</v>
      </c>
      <c r="I24" s="293" t="s">
        <v>470</v>
      </c>
      <c r="J24" s="33">
        <v>20</v>
      </c>
      <c r="K24" s="74" t="str">
        <f>VLOOKUP(J24,Ruimtegroepen[],2,FALSE)</f>
        <v>Niet in onderhoud</v>
      </c>
      <c r="L24" s="32"/>
      <c r="M24" s="293"/>
      <c r="N24" s="294"/>
      <c r="O24" s="32"/>
      <c r="P24" s="118" t="str">
        <f>LEFT(VLOOKUP(Ruimtestaat[[#This Row],[Ruimte code]],Ruimtegroepen[#All],4,1),2)</f>
        <v/>
      </c>
      <c r="Q24" s="107"/>
      <c r="R24" s="108"/>
      <c r="S24" s="109"/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IF($Z24&gt;0,VLOOKUP($J24,Ruimtegroepen[],3,FALSE)*VLOOKUP($L24,Vloersoorten[],3,FALSE)*VLOOKUP($Y24,Frequenties[],3,FALSE)*VLOOKUP($A19,Locaties[],3,FALSE),0)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Apeldoorn</v>
      </c>
      <c r="C25" s="27" t="str">
        <f>VLOOKUP(Ruimtestaat[[#This Row],[Code]],Locaties[#All],4,FALSE)</f>
        <v>Musschenbroekstraat 11</v>
      </c>
      <c r="D25" s="27" t="str">
        <f>VLOOKUP(Ruimtestaat[[#This Row],[Code]],Locaties[#All],5,FALSE)</f>
        <v>7316 JD</v>
      </c>
      <c r="E25" s="27" t="str">
        <f>VLOOKUP(Ruimtestaat[[#This Row],[Code]],Locaties[#All],6,FALSE)</f>
        <v>Apeldoorn</v>
      </c>
      <c r="F25" s="74"/>
      <c r="G25" s="32" t="s">
        <v>466</v>
      </c>
      <c r="H25" s="292" t="s">
        <v>502</v>
      </c>
      <c r="I25" s="293" t="s">
        <v>471</v>
      </c>
      <c r="J25" s="33">
        <v>20</v>
      </c>
      <c r="K25" s="74" t="str">
        <f>VLOOKUP(J25,Ruimtegroepen[],2,FALSE)</f>
        <v>Niet in onderhoud</v>
      </c>
      <c r="L25" s="32"/>
      <c r="M25" s="293"/>
      <c r="N25" s="294"/>
      <c r="O25" s="295"/>
      <c r="P25" s="118" t="str">
        <f>LEFT(VLOOKUP(Ruimtestaat[[#This Row],[Ruimte code]],Ruimtegroepen[#All],4,1),2)</f>
        <v/>
      </c>
      <c r="Q25" s="107"/>
      <c r="R25" s="108"/>
      <c r="S25" s="109"/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IF($Z25&gt;0,VLOOKUP($J25,Ruimtegroepen[],3,FALSE)*VLOOKUP($L25,Vloersoorten[],3,FALSE)*VLOOKUP($Y25,Frequenties[],3,FALSE)*VLOOKUP($A21,Locaties[],3,FALSE),0)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Apeldoorn</v>
      </c>
      <c r="C26" s="27" t="str">
        <f>VLOOKUP(Ruimtestaat[[#This Row],[Code]],Locaties[#All],4,FALSE)</f>
        <v>Musschenbroekstraat 11</v>
      </c>
      <c r="D26" s="27" t="str">
        <f>VLOOKUP(Ruimtestaat[[#This Row],[Code]],Locaties[#All],5,FALSE)</f>
        <v>7316 JD</v>
      </c>
      <c r="E26" s="27" t="str">
        <f>VLOOKUP(Ruimtestaat[[#This Row],[Code]],Locaties[#All],6,FALSE)</f>
        <v>Apeldoorn</v>
      </c>
      <c r="F26" s="74"/>
      <c r="G26" s="32" t="s">
        <v>466</v>
      </c>
      <c r="H26" s="292" t="s">
        <v>468</v>
      </c>
      <c r="I26" s="293" t="s">
        <v>473</v>
      </c>
      <c r="J26" s="33">
        <v>5</v>
      </c>
      <c r="K26" s="74" t="str">
        <f>VLOOKUP(J26,Ruimtegroepen[],2,FALSE)</f>
        <v>Sanitair</v>
      </c>
      <c r="L26" s="32" t="s">
        <v>112</v>
      </c>
      <c r="M26" s="293" t="s">
        <v>539</v>
      </c>
      <c r="N26" s="294">
        <v>26.2</v>
      </c>
      <c r="O26" s="295"/>
      <c r="P26" s="118" t="str">
        <f>LEFT(VLOOKUP(Ruimtestaat[[#This Row],[Ruimte code]],Ruimtegroepen[#All],4,1),2)</f>
        <v>Sa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5240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5240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Apeldoorn</v>
      </c>
      <c r="C27" s="27" t="str">
        <f>VLOOKUP(Ruimtestaat[[#This Row],[Code]],Locaties[#All],4,FALSE)</f>
        <v>Musschenbroekstraat 11</v>
      </c>
      <c r="D27" s="27" t="str">
        <f>VLOOKUP(Ruimtestaat[[#This Row],[Code]],Locaties[#All],5,FALSE)</f>
        <v>7316 JD</v>
      </c>
      <c r="E27" s="27" t="str">
        <f>VLOOKUP(Ruimtestaat[[#This Row],[Code]],Locaties[#All],6,FALSE)</f>
        <v>Apeldoorn</v>
      </c>
      <c r="F27" s="74"/>
      <c r="G27" s="32" t="s">
        <v>466</v>
      </c>
      <c r="H27" s="292" t="s">
        <v>469</v>
      </c>
      <c r="I27" s="293" t="s">
        <v>475</v>
      </c>
      <c r="J27" s="33">
        <v>5</v>
      </c>
      <c r="K27" s="74" t="str">
        <f>VLOOKUP(J27,Ruimtegroepen[],2,FALSE)</f>
        <v>Sanitair</v>
      </c>
      <c r="L27" s="32" t="s">
        <v>112</v>
      </c>
      <c r="M27" s="293" t="s">
        <v>539</v>
      </c>
      <c r="N27" s="294">
        <v>26</v>
      </c>
      <c r="O27" s="32"/>
      <c r="P27" s="118" t="str">
        <f>LEFT(VLOOKUP(Ruimtestaat[[#This Row],[Ruimte code]],Ruimtegroepen[#All],4,1),2)</f>
        <v>Sa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5200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5200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Apeldoorn</v>
      </c>
      <c r="C28" s="27" t="str">
        <f>VLOOKUP(Ruimtestaat[[#This Row],[Code]],Locaties[#All],4,FALSE)</f>
        <v>Musschenbroekstraat 11</v>
      </c>
      <c r="D28" s="27" t="str">
        <f>VLOOKUP(Ruimtestaat[[#This Row],[Code]],Locaties[#All],5,FALSE)</f>
        <v>7316 JD</v>
      </c>
      <c r="E28" s="27" t="str">
        <f>VLOOKUP(Ruimtestaat[[#This Row],[Code]],Locaties[#All],6,FALSE)</f>
        <v>Apeldoorn</v>
      </c>
      <c r="F28" s="74"/>
      <c r="G28" s="32" t="s">
        <v>466</v>
      </c>
      <c r="H28" s="292" t="s">
        <v>559</v>
      </c>
      <c r="I28" s="293" t="s">
        <v>477</v>
      </c>
      <c r="J28" s="33">
        <v>5</v>
      </c>
      <c r="K28" s="74" t="str">
        <f>VLOOKUP(J28,Ruimtegroepen[],2,FALSE)</f>
        <v>Sanitair</v>
      </c>
      <c r="L28" s="32" t="s">
        <v>112</v>
      </c>
      <c r="M28" s="293" t="s">
        <v>539</v>
      </c>
      <c r="N28" s="294">
        <v>5</v>
      </c>
      <c r="O28" s="295"/>
      <c r="P28" s="118" t="str">
        <f>LEFT(VLOOKUP(Ruimtestaat[[#This Row],[Ruimte code]],Ruimtegroepen[#All],4,1),2)</f>
        <v>Sa</v>
      </c>
      <c r="Q28" s="107"/>
      <c r="R28" s="108">
        <v>40</v>
      </c>
      <c r="S28" s="109" t="s">
        <v>2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1000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1000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Apeldoorn</v>
      </c>
      <c r="C29" s="27" t="str">
        <f>VLOOKUP(Ruimtestaat[[#This Row],[Code]],Locaties[#All],4,FALSE)</f>
        <v>Musschenbroekstraat 11</v>
      </c>
      <c r="D29" s="27" t="str">
        <f>VLOOKUP(Ruimtestaat[[#This Row],[Code]],Locaties[#All],5,FALSE)</f>
        <v>7316 JD</v>
      </c>
      <c r="E29" s="27" t="str">
        <f>VLOOKUP(Ruimtestaat[[#This Row],[Code]],Locaties[#All],6,FALSE)</f>
        <v>Apeldoorn</v>
      </c>
      <c r="F29" s="201"/>
      <c r="G29" s="32" t="s">
        <v>466</v>
      </c>
      <c r="H29" s="292" t="s">
        <v>472</v>
      </c>
      <c r="I29" s="293" t="s">
        <v>478</v>
      </c>
      <c r="J29" s="33">
        <v>5</v>
      </c>
      <c r="K29" s="74" t="str">
        <f>VLOOKUP(J29,Ruimtegroepen[],2,FALSE)</f>
        <v>Sanitair</v>
      </c>
      <c r="L29" s="32" t="s">
        <v>112</v>
      </c>
      <c r="M29" s="293" t="s">
        <v>539</v>
      </c>
      <c r="N29" s="294">
        <v>5</v>
      </c>
      <c r="O29" s="295"/>
      <c r="P29" s="118" t="str">
        <f>LEFT(VLOOKUP(Ruimtestaat[[#This Row],[Ruimte code]],Ruimtegroepen[#All],4,1),2)</f>
        <v>Sa</v>
      </c>
      <c r="Q29" s="202"/>
      <c r="R29" s="108">
        <v>40</v>
      </c>
      <c r="S29" s="109" t="s">
        <v>2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1000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203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1000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Apeldoorn</v>
      </c>
      <c r="C30" s="27" t="str">
        <f>VLOOKUP(Ruimtestaat[[#This Row],[Code]],Locaties[#All],4,FALSE)</f>
        <v>Musschenbroekstraat 11</v>
      </c>
      <c r="D30" s="27" t="str">
        <f>VLOOKUP(Ruimtestaat[[#This Row],[Code]],Locaties[#All],5,FALSE)</f>
        <v>7316 JD</v>
      </c>
      <c r="E30" s="27" t="str">
        <f>VLOOKUP(Ruimtestaat[[#This Row],[Code]],Locaties[#All],6,FALSE)</f>
        <v>Apeldoorn</v>
      </c>
      <c r="F30" s="74"/>
      <c r="G30" s="32" t="s">
        <v>466</v>
      </c>
      <c r="H30" s="292" t="s">
        <v>474</v>
      </c>
      <c r="I30" s="293" t="s">
        <v>480</v>
      </c>
      <c r="J30" s="33">
        <v>20</v>
      </c>
      <c r="K30" s="74" t="str">
        <f>VLOOKUP(J30,Ruimtegroepen[],2,FALSE)</f>
        <v>Niet in onderhoud</v>
      </c>
      <c r="L30" s="32"/>
      <c r="M30" s="293"/>
      <c r="N30" s="294"/>
      <c r="O30" s="294">
        <v>6.2</v>
      </c>
      <c r="P30" s="118" t="str">
        <f>LEFT(VLOOKUP(Ruimtestaat[[#This Row],[Ruimte code]],Ruimtegroepen[#All],4,1),2)</f>
        <v/>
      </c>
      <c r="Q30" s="107"/>
      <c r="R30" s="108"/>
      <c r="S30" s="109"/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0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10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IF($Z30&gt;0,VLOOKUP($J30,Ruimtegroepen[],3,FALSE)*VLOOKUP($L30,Vloersoorten[],3,FALSE)*VLOOKUP($Y30,Frequenties[],3,FALSE)*VLOOKUP($A25,Locaties[],3,FALSE),0)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0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Apeldoorn</v>
      </c>
      <c r="C31" s="27" t="str">
        <f>VLOOKUP(Ruimtestaat[[#This Row],[Code]],Locaties[#All],4,FALSE)</f>
        <v>Musschenbroekstraat 11</v>
      </c>
      <c r="D31" s="27" t="str">
        <f>VLOOKUP(Ruimtestaat[[#This Row],[Code]],Locaties[#All],5,FALSE)</f>
        <v>7316 JD</v>
      </c>
      <c r="E31" s="27" t="str">
        <f>VLOOKUP(Ruimtestaat[[#This Row],[Code]],Locaties[#All],6,FALSE)</f>
        <v>Apeldoorn</v>
      </c>
      <c r="F31" s="74"/>
      <c r="G31" s="32" t="s">
        <v>466</v>
      </c>
      <c r="H31" s="292" t="s">
        <v>476</v>
      </c>
      <c r="I31" s="293" t="s">
        <v>482</v>
      </c>
      <c r="J31" s="33">
        <v>1</v>
      </c>
      <c r="K31" s="74" t="str">
        <f>VLOOKUP(J31,Ruimtegroepen[],2,FALSE)</f>
        <v>Magazijnen/bergingen</v>
      </c>
      <c r="L31" s="307" t="s">
        <v>112</v>
      </c>
      <c r="M31" s="308" t="s">
        <v>539</v>
      </c>
      <c r="N31" s="309">
        <v>23.7</v>
      </c>
      <c r="O31" s="295"/>
      <c r="P31" s="118" t="str">
        <f>LEFT(VLOOKUP(Ruimtestaat[[#This Row],[Ruimte code]],Ruimtegroepen[#All],4,1),2)</f>
        <v>Ve</v>
      </c>
      <c r="Q31" s="107"/>
      <c r="R31" s="108">
        <v>40</v>
      </c>
      <c r="S31" s="109" t="s">
        <v>16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284.39999999999998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284.39999999999998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Apeldoorn</v>
      </c>
      <c r="C32" s="27" t="str">
        <f>VLOOKUP(Ruimtestaat[[#This Row],[Code]],Locaties[#All],4,FALSE)</f>
        <v>Musschenbroekstraat 11</v>
      </c>
      <c r="D32" s="27" t="str">
        <f>VLOOKUP(Ruimtestaat[[#This Row],[Code]],Locaties[#All],5,FALSE)</f>
        <v>7316 JD</v>
      </c>
      <c r="E32" s="27" t="str">
        <f>VLOOKUP(Ruimtestaat[[#This Row],[Code]],Locaties[#All],6,FALSE)</f>
        <v>Apeldoorn</v>
      </c>
      <c r="F32" s="74"/>
      <c r="G32" s="32" t="s">
        <v>466</v>
      </c>
      <c r="H32" s="292" t="s">
        <v>479</v>
      </c>
      <c r="I32" s="293" t="s">
        <v>450</v>
      </c>
      <c r="J32" s="33">
        <v>2</v>
      </c>
      <c r="K32" s="74" t="str">
        <f>VLOOKUP(J32,Ruimtegroepen[],2,FALSE)</f>
        <v>Kantoren</v>
      </c>
      <c r="L32" s="32" t="s">
        <v>110</v>
      </c>
      <c r="M32" s="293" t="s">
        <v>413</v>
      </c>
      <c r="N32" s="294">
        <v>26</v>
      </c>
      <c r="O32" s="295"/>
      <c r="P32" s="118" t="str">
        <f>LEFT(VLOOKUP(Ruimtestaat[[#This Row],[Ruimte code]],Ruimtegroepen[#All],4,1),2)</f>
        <v>Bu</v>
      </c>
      <c r="Q32" s="107"/>
      <c r="R32" s="108">
        <v>40</v>
      </c>
      <c r="S32" s="109" t="s">
        <v>17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2080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2080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Apeldoorn</v>
      </c>
      <c r="C33" s="27" t="str">
        <f>VLOOKUP(Ruimtestaat[[#This Row],[Code]],Locaties[#All],4,FALSE)</f>
        <v>Musschenbroekstraat 11</v>
      </c>
      <c r="D33" s="27" t="str">
        <f>VLOOKUP(Ruimtestaat[[#This Row],[Code]],Locaties[#All],5,FALSE)</f>
        <v>7316 JD</v>
      </c>
      <c r="E33" s="27" t="str">
        <f>VLOOKUP(Ruimtestaat[[#This Row],[Code]],Locaties[#All],6,FALSE)</f>
        <v>Apeldoorn</v>
      </c>
      <c r="F33" s="74"/>
      <c r="G33" s="32" t="s">
        <v>466</v>
      </c>
      <c r="H33" s="292" t="s">
        <v>481</v>
      </c>
      <c r="I33" s="293" t="s">
        <v>452</v>
      </c>
      <c r="J33" s="33">
        <v>16</v>
      </c>
      <c r="K33" s="74" t="str">
        <f>VLOOKUP(J33,Ruimtegroepen[],2,FALSE)</f>
        <v>Leslokalen</v>
      </c>
      <c r="L33" s="32" t="s">
        <v>110</v>
      </c>
      <c r="M33" s="293" t="s">
        <v>413</v>
      </c>
      <c r="N33" s="294">
        <v>38.799999999999997</v>
      </c>
      <c r="O33" s="32"/>
      <c r="P33" s="118" t="str">
        <f>LEFT(VLOOKUP(Ruimtestaat[[#This Row],[Ruimte code]],Ruimtegroepen[#All],4,1),2)</f>
        <v>Le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7759.9999999999991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7759.9999999999991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Apeldoorn</v>
      </c>
      <c r="C34" s="27" t="str">
        <f>VLOOKUP(Ruimtestaat[[#This Row],[Code]],Locaties[#All],4,FALSE)</f>
        <v>Musschenbroekstraat 11</v>
      </c>
      <c r="D34" s="27" t="str">
        <f>VLOOKUP(Ruimtestaat[[#This Row],[Code]],Locaties[#All],5,FALSE)</f>
        <v>7316 JD</v>
      </c>
      <c r="E34" s="27" t="str">
        <f>VLOOKUP(Ruimtestaat[[#This Row],[Code]],Locaties[#All],6,FALSE)</f>
        <v>Apeldoorn</v>
      </c>
      <c r="F34" s="74"/>
      <c r="G34" s="32" t="s">
        <v>466</v>
      </c>
      <c r="H34" s="292" t="s">
        <v>483</v>
      </c>
      <c r="I34" s="293" t="s">
        <v>452</v>
      </c>
      <c r="J34" s="33">
        <v>16</v>
      </c>
      <c r="K34" s="74" t="str">
        <f>VLOOKUP(J34,Ruimtegroepen[],2,FALSE)</f>
        <v>Leslokalen</v>
      </c>
      <c r="L34" s="32" t="s">
        <v>110</v>
      </c>
      <c r="M34" s="293" t="s">
        <v>413</v>
      </c>
      <c r="N34" s="294">
        <v>29.2</v>
      </c>
      <c r="O34" s="295"/>
      <c r="P34" s="118" t="str">
        <f>LEFT(VLOOKUP(Ruimtestaat[[#This Row],[Ruimte code]],Ruimtegroepen[#All],4,1),2)</f>
        <v>Le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5840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IF($Z34&gt;0,VLOOKUP($J34,Ruimtegroepen[],3,FALSE)*VLOOKUP($L34,Vloersoorten[],3,FALSE)*VLOOKUP($Y34,Frequenties[],3,FALSE)*VLOOKUP($A30,Locaties[],3,FALSE),0)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5840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Apeldoorn</v>
      </c>
      <c r="C35" s="27" t="str">
        <f>VLOOKUP(Ruimtestaat[[#This Row],[Code]],Locaties[#All],4,FALSE)</f>
        <v>Musschenbroekstraat 11</v>
      </c>
      <c r="D35" s="27" t="str">
        <f>VLOOKUP(Ruimtestaat[[#This Row],[Code]],Locaties[#All],5,FALSE)</f>
        <v>7316 JD</v>
      </c>
      <c r="E35" s="27" t="str">
        <f>VLOOKUP(Ruimtestaat[[#This Row],[Code]],Locaties[#All],6,FALSE)</f>
        <v>Apeldoorn</v>
      </c>
      <c r="F35" s="74"/>
      <c r="G35" s="32" t="s">
        <v>466</v>
      </c>
      <c r="H35" s="292" t="s">
        <v>484</v>
      </c>
      <c r="I35" s="293" t="s">
        <v>486</v>
      </c>
      <c r="J35" s="33">
        <v>16</v>
      </c>
      <c r="K35" s="74" t="str">
        <f>VLOOKUP(J35,Ruimtegroepen[],2,FALSE)</f>
        <v>Leslokalen</v>
      </c>
      <c r="L35" s="32" t="s">
        <v>110</v>
      </c>
      <c r="M35" s="293" t="s">
        <v>413</v>
      </c>
      <c r="N35" s="294">
        <v>77.099999999999994</v>
      </c>
      <c r="O35" s="295"/>
      <c r="P35" s="118" t="str">
        <f>LEFT(VLOOKUP(Ruimtestaat[[#This Row],[Ruimte code]],Ruimtegroepen[#All],4,1),2)</f>
        <v>Le</v>
      </c>
      <c r="Q35" s="107"/>
      <c r="R35" s="108">
        <v>40</v>
      </c>
      <c r="S35" s="109" t="s">
        <v>2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15419.999999999998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15419.999999999998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Apeldoorn</v>
      </c>
      <c r="C36" s="27" t="str">
        <f>VLOOKUP(Ruimtestaat[[#This Row],[Code]],Locaties[#All],4,FALSE)</f>
        <v>Musschenbroekstraat 11</v>
      </c>
      <c r="D36" s="27" t="str">
        <f>VLOOKUP(Ruimtestaat[[#This Row],[Code]],Locaties[#All],5,FALSE)</f>
        <v>7316 JD</v>
      </c>
      <c r="E36" s="27" t="str">
        <f>VLOOKUP(Ruimtestaat[[#This Row],[Code]],Locaties[#All],6,FALSE)</f>
        <v>Apeldoorn</v>
      </c>
      <c r="F36" s="74"/>
      <c r="G36" s="32" t="s">
        <v>466</v>
      </c>
      <c r="H36" s="292" t="s">
        <v>487</v>
      </c>
      <c r="I36" s="293" t="s">
        <v>482</v>
      </c>
      <c r="J36" s="33">
        <v>1</v>
      </c>
      <c r="K36" s="74" t="str">
        <f>VLOOKUP(J36,Ruimtegroepen[],2,FALSE)</f>
        <v>Magazijnen/bergingen</v>
      </c>
      <c r="L36" s="307" t="s">
        <v>112</v>
      </c>
      <c r="M36" s="308" t="s">
        <v>539</v>
      </c>
      <c r="N36" s="309">
        <v>3.2</v>
      </c>
      <c r="O36" s="32"/>
      <c r="P36" s="118" t="str">
        <f>LEFT(VLOOKUP(Ruimtestaat[[#This Row],[Ruimte code]],Ruimtegroepen[#All],4,1),2)</f>
        <v>Ve</v>
      </c>
      <c r="Q36" s="107"/>
      <c r="R36" s="108">
        <v>40</v>
      </c>
      <c r="S36" s="109" t="s">
        <v>16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38.400000000000006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38.400000000000006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Apeldoorn</v>
      </c>
      <c r="C37" s="27" t="str">
        <f>VLOOKUP(Ruimtestaat[[#This Row],[Code]],Locaties[#All],4,FALSE)</f>
        <v>Musschenbroekstraat 11</v>
      </c>
      <c r="D37" s="27" t="str">
        <f>VLOOKUP(Ruimtestaat[[#This Row],[Code]],Locaties[#All],5,FALSE)</f>
        <v>7316 JD</v>
      </c>
      <c r="E37" s="27" t="str">
        <f>VLOOKUP(Ruimtestaat[[#This Row],[Code]],Locaties[#All],6,FALSE)</f>
        <v>Apeldoorn</v>
      </c>
      <c r="F37" s="74"/>
      <c r="G37" s="32" t="s">
        <v>466</v>
      </c>
      <c r="H37" s="292" t="s">
        <v>485</v>
      </c>
      <c r="I37" s="293" t="s">
        <v>489</v>
      </c>
      <c r="J37" s="33">
        <v>10</v>
      </c>
      <c r="K37" s="74" t="str">
        <f>VLOOKUP(J37,Ruimtegroepen[],2,FALSE)</f>
        <v>Trappenhuizen/lift</v>
      </c>
      <c r="L37" s="32" t="s">
        <v>111</v>
      </c>
      <c r="M37" s="293" t="s">
        <v>136</v>
      </c>
      <c r="N37" s="294">
        <v>21.4</v>
      </c>
      <c r="O37" s="295"/>
      <c r="P37" s="118" t="str">
        <f>LEFT(VLOOKUP(Ruimtestaat[[#This Row],[Ruimte code]],Ruimtegroepen[#All],4,1),2)</f>
        <v>Ve</v>
      </c>
      <c r="Q37" s="107"/>
      <c r="R37" s="108">
        <v>40</v>
      </c>
      <c r="S37" s="109" t="s">
        <v>2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4280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4280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Apeldoorn</v>
      </c>
      <c r="C38" s="27" t="str">
        <f>VLOOKUP(Ruimtestaat[[#This Row],[Code]],Locaties[#All],4,FALSE)</f>
        <v>Musschenbroekstraat 11</v>
      </c>
      <c r="D38" s="27" t="str">
        <f>VLOOKUP(Ruimtestaat[[#This Row],[Code]],Locaties[#All],5,FALSE)</f>
        <v>7316 JD</v>
      </c>
      <c r="E38" s="27" t="str">
        <f>VLOOKUP(Ruimtestaat[[#This Row],[Code]],Locaties[#All],6,FALSE)</f>
        <v>Apeldoorn</v>
      </c>
      <c r="F38" s="74"/>
      <c r="G38" s="32" t="s">
        <v>466</v>
      </c>
      <c r="H38" s="292" t="s">
        <v>488</v>
      </c>
      <c r="I38" s="293" t="s">
        <v>492</v>
      </c>
      <c r="J38" s="33">
        <v>14</v>
      </c>
      <c r="K38" s="74" t="str">
        <f>VLOOKUP(J38,Ruimtegroepen[],2,FALSE)</f>
        <v>Praktijklokalen</v>
      </c>
      <c r="L38" s="32" t="s">
        <v>110</v>
      </c>
      <c r="M38" s="293" t="s">
        <v>413</v>
      </c>
      <c r="N38" s="294">
        <v>220.3</v>
      </c>
      <c r="O38" s="32"/>
      <c r="P38" s="118" t="str">
        <f>LEFT(VLOOKUP(Ruimtestaat[[#This Row],[Ruimte code]],Ruimtegroepen[#All],4,1),2)</f>
        <v>Le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44060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IF($Z38&gt;0,VLOOKUP($J38,Ruimtegroepen[],3,FALSE)*VLOOKUP($L38,Vloersoorten[],3,FALSE)*VLOOKUP($Y38,Frequenties[],3,FALSE)*VLOOKUP($A35,Locaties[],3,FALSE),0)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44060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Apeldoorn</v>
      </c>
      <c r="C39" s="27" t="str">
        <f>VLOOKUP(Ruimtestaat[[#This Row],[Code]],Locaties[#All],4,FALSE)</f>
        <v>Musschenbroekstraat 11</v>
      </c>
      <c r="D39" s="27" t="str">
        <f>VLOOKUP(Ruimtestaat[[#This Row],[Code]],Locaties[#All],5,FALSE)</f>
        <v>7316 JD</v>
      </c>
      <c r="E39" s="27" t="str">
        <f>VLOOKUP(Ruimtestaat[[#This Row],[Code]],Locaties[#All],6,FALSE)</f>
        <v>Apeldoorn</v>
      </c>
      <c r="F39" s="74"/>
      <c r="G39" s="32" t="s">
        <v>466</v>
      </c>
      <c r="H39" s="292" t="s">
        <v>490</v>
      </c>
      <c r="I39" s="293" t="s">
        <v>561</v>
      </c>
      <c r="J39" s="33">
        <v>4</v>
      </c>
      <c r="K39" s="74" t="str">
        <f>VLOOKUP(J39,Ruimtegroepen[],2,FALSE)</f>
        <v>Vergader/spreekkamers</v>
      </c>
      <c r="L39" s="32" t="s">
        <v>110</v>
      </c>
      <c r="M39" s="293" t="s">
        <v>413</v>
      </c>
      <c r="N39" s="294">
        <v>25.6</v>
      </c>
      <c r="O39" s="295"/>
      <c r="P39" s="118" t="str">
        <f>LEFT(VLOOKUP(Ruimtestaat[[#This Row],[Ruimte code]],Ruimtegroepen[#All],4,1),2)</f>
        <v>Bu</v>
      </c>
      <c r="Q39" s="107"/>
      <c r="R39" s="108">
        <v>40</v>
      </c>
      <c r="S39" s="109" t="s">
        <v>17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2048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IF($Z39&gt;0,VLOOKUP($J39,Ruimtegroepen[],3,FALSE)*VLOOKUP($L39,Vloersoorten[],3,FALSE)*VLOOKUP($Y39,Frequenties[],3,FALSE)*VLOOKUP($A36,Locaties[],3,FALSE),0)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2048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Apeldoorn</v>
      </c>
      <c r="C40" s="27" t="str">
        <f>VLOOKUP(Ruimtestaat[[#This Row],[Code]],Locaties[#All],4,FALSE)</f>
        <v>Musschenbroekstraat 11</v>
      </c>
      <c r="D40" s="27" t="str">
        <f>VLOOKUP(Ruimtestaat[[#This Row],[Code]],Locaties[#All],5,FALSE)</f>
        <v>7316 JD</v>
      </c>
      <c r="E40" s="27" t="str">
        <f>VLOOKUP(Ruimtestaat[[#This Row],[Code]],Locaties[#All],6,FALSE)</f>
        <v>Apeldoorn</v>
      </c>
      <c r="F40" s="74"/>
      <c r="G40" s="32" t="s">
        <v>466</v>
      </c>
      <c r="H40" s="292" t="s">
        <v>491</v>
      </c>
      <c r="I40" s="293" t="s">
        <v>560</v>
      </c>
      <c r="J40" s="33">
        <v>2</v>
      </c>
      <c r="K40" s="74" t="str">
        <f>VLOOKUP(J40,Ruimtegroepen[],2,FALSE)</f>
        <v>Kantoren</v>
      </c>
      <c r="L40" s="32" t="s">
        <v>110</v>
      </c>
      <c r="M40" s="293" t="s">
        <v>413</v>
      </c>
      <c r="N40" s="294">
        <v>26.2</v>
      </c>
      <c r="O40" s="295"/>
      <c r="P40" s="118" t="str">
        <f>LEFT(VLOOKUP(Ruimtestaat[[#This Row],[Ruimte code]],Ruimtegroepen[#All],4,1),2)</f>
        <v>Bu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5240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IF($Z40&gt;0,VLOOKUP($J40,Ruimtegroepen[],3,FALSE)*VLOOKUP($L40,Vloersoorten[],3,FALSE)*VLOOKUP($Y40,Frequenties[],3,FALSE)*VLOOKUP($A37,Locaties[],3,FALSE),0)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5240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Apeldoorn</v>
      </c>
      <c r="C41" s="27" t="str">
        <f>VLOOKUP(Ruimtestaat[[#This Row],[Code]],Locaties[#All],4,FALSE)</f>
        <v>Musschenbroekstraat 11</v>
      </c>
      <c r="D41" s="27" t="str">
        <f>VLOOKUP(Ruimtestaat[[#This Row],[Code]],Locaties[#All],5,FALSE)</f>
        <v>7316 JD</v>
      </c>
      <c r="E41" s="27" t="str">
        <f>VLOOKUP(Ruimtestaat[[#This Row],[Code]],Locaties[#All],6,FALSE)</f>
        <v>Apeldoorn</v>
      </c>
      <c r="F41" s="74"/>
      <c r="G41" s="32" t="s">
        <v>466</v>
      </c>
      <c r="H41" s="292" t="s">
        <v>493</v>
      </c>
      <c r="I41" s="293" t="s">
        <v>496</v>
      </c>
      <c r="J41" s="33">
        <v>16</v>
      </c>
      <c r="K41" s="74" t="str">
        <f>VLOOKUP(J41,Ruimtegroepen[],2,FALSE)</f>
        <v>Leslokalen</v>
      </c>
      <c r="L41" s="32" t="s">
        <v>110</v>
      </c>
      <c r="M41" s="293" t="s">
        <v>413</v>
      </c>
      <c r="N41" s="294">
        <v>117.2</v>
      </c>
      <c r="O41" s="32"/>
      <c r="P41" s="118" t="str">
        <f>LEFT(VLOOKUP(Ruimtestaat[[#This Row],[Ruimte code]],Ruimtegroepen[#All],4,1),2)</f>
        <v>Le</v>
      </c>
      <c r="Q41" s="107"/>
      <c r="R41" s="108">
        <v>40</v>
      </c>
      <c r="S41" s="109" t="s">
        <v>2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23440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IF($Z41&gt;0,VLOOKUP($J41,Ruimtegroepen[],3,FALSE)*VLOOKUP($L41,Vloersoorten[],3,FALSE)*VLOOKUP($Y41,Frequenties[],3,FALSE)*VLOOKUP(#REF!,Locaties[],3,FALSE),0)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23440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Apeldoorn</v>
      </c>
      <c r="C42" s="27" t="str">
        <f>VLOOKUP(Ruimtestaat[[#This Row],[Code]],Locaties[#All],4,FALSE)</f>
        <v>Musschenbroekstraat 11</v>
      </c>
      <c r="D42" s="27" t="str">
        <f>VLOOKUP(Ruimtestaat[[#This Row],[Code]],Locaties[#All],5,FALSE)</f>
        <v>7316 JD</v>
      </c>
      <c r="E42" s="27" t="str">
        <f>VLOOKUP(Ruimtestaat[[#This Row],[Code]],Locaties[#All],6,FALSE)</f>
        <v>Apeldoorn</v>
      </c>
      <c r="F42" s="74"/>
      <c r="G42" s="32" t="s">
        <v>466</v>
      </c>
      <c r="H42" s="292" t="s">
        <v>494</v>
      </c>
      <c r="I42" s="293" t="s">
        <v>562</v>
      </c>
      <c r="J42" s="33">
        <v>14</v>
      </c>
      <c r="K42" s="74" t="str">
        <f>VLOOKUP(J42,Ruimtegroepen[],2,FALSE)</f>
        <v>Praktijklokalen</v>
      </c>
      <c r="L42" s="32" t="s">
        <v>110</v>
      </c>
      <c r="M42" s="293" t="s">
        <v>413</v>
      </c>
      <c r="N42" s="294">
        <v>89.5</v>
      </c>
      <c r="O42" s="295"/>
      <c r="P42" s="118" t="str">
        <f>LEFT(VLOOKUP(Ruimtestaat[[#This Row],[Ruimte code]],Ruimtegroepen[#All],4,1),2)</f>
        <v>Le</v>
      </c>
      <c r="Q42" s="107"/>
      <c r="R42" s="108">
        <v>40</v>
      </c>
      <c r="S42" s="109" t="s">
        <v>2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17900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17900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Apeldoorn</v>
      </c>
      <c r="C43" s="27" t="str">
        <f>VLOOKUP(Ruimtestaat[[#This Row],[Code]],Locaties[#All],4,FALSE)</f>
        <v>Musschenbroekstraat 11</v>
      </c>
      <c r="D43" s="27" t="str">
        <f>VLOOKUP(Ruimtestaat[[#This Row],[Code]],Locaties[#All],5,FALSE)</f>
        <v>7316 JD</v>
      </c>
      <c r="E43" s="27" t="str">
        <f>VLOOKUP(Ruimtestaat[[#This Row],[Code]],Locaties[#All],6,FALSE)</f>
        <v>Apeldoorn</v>
      </c>
      <c r="F43" s="74"/>
      <c r="G43" s="32" t="s">
        <v>466</v>
      </c>
      <c r="H43" s="292" t="s">
        <v>495</v>
      </c>
      <c r="I43" s="293" t="s">
        <v>499</v>
      </c>
      <c r="J43" s="33">
        <v>20</v>
      </c>
      <c r="K43" s="74" t="str">
        <f>VLOOKUP(J43,Ruimtegroepen[],2,FALSE)</f>
        <v>Niet in onderhoud</v>
      </c>
      <c r="L43" s="32"/>
      <c r="M43" s="293"/>
      <c r="N43" s="294"/>
      <c r="O43" s="295">
        <v>31.7</v>
      </c>
      <c r="P43" s="118" t="str">
        <f>LEFT(VLOOKUP(Ruimtestaat[[#This Row],[Ruimte code]],Ruimtegroepen[#All],4,1),2)</f>
        <v/>
      </c>
      <c r="Q43" s="107"/>
      <c r="R43" s="108"/>
      <c r="S43" s="109"/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Apeldoorn</v>
      </c>
      <c r="C44" s="27" t="str">
        <f>VLOOKUP(Ruimtestaat[[#This Row],[Code]],Locaties[#All],4,FALSE)</f>
        <v>Musschenbroekstraat 11</v>
      </c>
      <c r="D44" s="27" t="str">
        <f>VLOOKUP(Ruimtestaat[[#This Row],[Code]],Locaties[#All],5,FALSE)</f>
        <v>7316 JD</v>
      </c>
      <c r="E44" s="27" t="str">
        <f>VLOOKUP(Ruimtestaat[[#This Row],[Code]],Locaties[#All],6,FALSE)</f>
        <v>Apeldoorn</v>
      </c>
      <c r="F44" s="74"/>
      <c r="G44" s="32" t="s">
        <v>466</v>
      </c>
      <c r="H44" s="292" t="s">
        <v>497</v>
      </c>
      <c r="I44" s="293" t="s">
        <v>452</v>
      </c>
      <c r="J44" s="33">
        <v>16</v>
      </c>
      <c r="K44" s="74" t="str">
        <f>VLOOKUP(J44,Ruimtegroepen[],2,FALSE)</f>
        <v>Leslokalen</v>
      </c>
      <c r="L44" s="32" t="s">
        <v>110</v>
      </c>
      <c r="M44" s="293" t="s">
        <v>413</v>
      </c>
      <c r="N44" s="294">
        <v>37.4</v>
      </c>
      <c r="O44" s="32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7480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7480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Apeldoorn</v>
      </c>
      <c r="C45" s="27" t="str">
        <f>VLOOKUP(Ruimtestaat[[#This Row],[Code]],Locaties[#All],4,FALSE)</f>
        <v>Musschenbroekstraat 11</v>
      </c>
      <c r="D45" s="27" t="str">
        <f>VLOOKUP(Ruimtestaat[[#This Row],[Code]],Locaties[#All],5,FALSE)</f>
        <v>7316 JD</v>
      </c>
      <c r="E45" s="27" t="str">
        <f>VLOOKUP(Ruimtestaat[[#This Row],[Code]],Locaties[#All],6,FALSE)</f>
        <v>Apeldoorn</v>
      </c>
      <c r="F45" s="74"/>
      <c r="G45" s="32" t="s">
        <v>466</v>
      </c>
      <c r="H45" s="292" t="s">
        <v>498</v>
      </c>
      <c r="I45" s="293" t="s">
        <v>452</v>
      </c>
      <c r="J45" s="33">
        <v>16</v>
      </c>
      <c r="K45" s="74" t="str">
        <f>VLOOKUP(J45,Ruimtegroepen[],2,FALSE)</f>
        <v>Leslokalen</v>
      </c>
      <c r="L45" s="32" t="s">
        <v>110</v>
      </c>
      <c r="M45" s="293" t="s">
        <v>413</v>
      </c>
      <c r="N45" s="294">
        <v>50.4</v>
      </c>
      <c r="O45" s="295"/>
      <c r="P45" s="118" t="str">
        <f>LEFT(VLOOKUP(Ruimtestaat[[#This Row],[Ruimte code]],Ruimtegroepen[#All],4,1),2)</f>
        <v>Le</v>
      </c>
      <c r="Q45" s="107"/>
      <c r="R45" s="108">
        <v>40</v>
      </c>
      <c r="S45" s="109" t="s">
        <v>2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10080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IF($Z45&gt;0,VLOOKUP($J45,Ruimtegroepen[],3,FALSE)*VLOOKUP($L45,Vloersoorten[],3,FALSE)*VLOOKUP($Y45,Frequenties[],3,FALSE)*VLOOKUP($A40,Locaties[],3,FALSE),0)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10080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Apeldoorn</v>
      </c>
      <c r="C46" s="27" t="str">
        <f>VLOOKUP(Ruimtestaat[[#This Row],[Code]],Locaties[#All],4,FALSE)</f>
        <v>Musschenbroekstraat 11</v>
      </c>
      <c r="D46" s="27" t="str">
        <f>VLOOKUP(Ruimtestaat[[#This Row],[Code]],Locaties[#All],5,FALSE)</f>
        <v>7316 JD</v>
      </c>
      <c r="E46" s="27" t="str">
        <f>VLOOKUP(Ruimtestaat[[#This Row],[Code]],Locaties[#All],6,FALSE)</f>
        <v>Apeldoorn</v>
      </c>
      <c r="F46" s="74"/>
      <c r="G46" s="32" t="s">
        <v>466</v>
      </c>
      <c r="H46" s="292" t="s">
        <v>501</v>
      </c>
      <c r="I46" s="293" t="s">
        <v>563</v>
      </c>
      <c r="J46" s="33">
        <v>9</v>
      </c>
      <c r="K46" s="74" t="str">
        <f>VLOOKUP(J46,Ruimtegroepen[],2,FALSE)</f>
        <v>Bibliotheek/OLC</v>
      </c>
      <c r="L46" s="32" t="s">
        <v>110</v>
      </c>
      <c r="M46" s="293" t="s">
        <v>413</v>
      </c>
      <c r="N46" s="294">
        <v>159.6</v>
      </c>
      <c r="O46" s="295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31920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IF($Z46&gt;0,VLOOKUP($J46,Ruimtegroepen[],3,FALSE)*VLOOKUP($L46,Vloersoorten[],3,FALSE)*VLOOKUP($Y46,Frequenties[],3,FALSE)*VLOOKUP($A41,Locaties[],3,FALSE),0)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31920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Apeldoorn</v>
      </c>
      <c r="C47" s="27" t="str">
        <f>VLOOKUP(Ruimtestaat[[#This Row],[Code]],Locaties[#All],4,FALSE)</f>
        <v>Musschenbroekstraat 11</v>
      </c>
      <c r="D47" s="27" t="str">
        <f>VLOOKUP(Ruimtestaat[[#This Row],[Code]],Locaties[#All],5,FALSE)</f>
        <v>7316 JD</v>
      </c>
      <c r="E47" s="27" t="str">
        <f>VLOOKUP(Ruimtestaat[[#This Row],[Code]],Locaties[#All],6,FALSE)</f>
        <v>Apeldoorn</v>
      </c>
      <c r="F47" s="74"/>
      <c r="G47" s="32" t="s">
        <v>466</v>
      </c>
      <c r="H47" s="292" t="s">
        <v>564</v>
      </c>
      <c r="I47" s="293" t="s">
        <v>482</v>
      </c>
      <c r="J47" s="33">
        <v>1</v>
      </c>
      <c r="K47" s="74" t="str">
        <f>VLOOKUP(J47,Ruimtegroepen[],2,FALSE)</f>
        <v>Magazijnen/bergingen</v>
      </c>
      <c r="L47" s="32" t="s">
        <v>111</v>
      </c>
      <c r="M47" s="293" t="s">
        <v>136</v>
      </c>
      <c r="N47" s="309">
        <v>10.199999999999999</v>
      </c>
      <c r="O47" s="307"/>
      <c r="P47" s="118" t="str">
        <f>LEFT(VLOOKUP(Ruimtestaat[[#This Row],[Ruimte code]],Ruimtegroepen[#All],4,1),2)</f>
        <v>Ve</v>
      </c>
      <c r="Q47" s="107"/>
      <c r="R47" s="108">
        <v>40</v>
      </c>
      <c r="S47" s="109" t="s">
        <v>16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122.39999999999999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122.39999999999999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Apeldoorn</v>
      </c>
      <c r="C48" s="27" t="str">
        <f>VLOOKUP(Ruimtestaat[[#This Row],[Code]],Locaties[#All],4,FALSE)</f>
        <v>Musschenbroekstraat 11</v>
      </c>
      <c r="D48" s="27" t="str">
        <f>VLOOKUP(Ruimtestaat[[#This Row],[Code]],Locaties[#All],5,FALSE)</f>
        <v>7316 JD</v>
      </c>
      <c r="E48" s="27" t="str">
        <f>VLOOKUP(Ruimtestaat[[#This Row],[Code]],Locaties[#All],6,FALSE)</f>
        <v>Apeldoorn</v>
      </c>
      <c r="F48" s="74"/>
      <c r="G48" s="32" t="s">
        <v>466</v>
      </c>
      <c r="H48" s="292" t="s">
        <v>500</v>
      </c>
      <c r="I48" s="293" t="s">
        <v>482</v>
      </c>
      <c r="J48" s="33">
        <v>1</v>
      </c>
      <c r="K48" s="74" t="str">
        <f>VLOOKUP(J48,Ruimtegroepen[],2,FALSE)</f>
        <v>Magazijnen/bergingen</v>
      </c>
      <c r="L48" s="32" t="s">
        <v>111</v>
      </c>
      <c r="M48" s="293" t="s">
        <v>136</v>
      </c>
      <c r="N48" s="309">
        <v>3.2</v>
      </c>
      <c r="O48" s="310"/>
      <c r="P48" s="118" t="str">
        <f>LEFT(VLOOKUP(Ruimtestaat[[#This Row],[Ruimte code]],Ruimtegroepen[#All],4,1),2)</f>
        <v>Ve</v>
      </c>
      <c r="Q48" s="107"/>
      <c r="R48" s="108">
        <v>40</v>
      </c>
      <c r="S48" s="109" t="s">
        <v>16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38.400000000000006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IF($Z48&gt;0,VLOOKUP($J48,Ruimtegroepen[],3,FALSE)*VLOOKUP($L48,Vloersoorten[],3,FALSE)*VLOOKUP($Y48,Frequenties[],3,FALSE)*VLOOKUP($A42,Locaties[],3,FALSE),0)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38.400000000000006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Apeldoorn</v>
      </c>
      <c r="C49" s="27" t="str">
        <f>VLOOKUP(Ruimtestaat[[#This Row],[Code]],Locaties[#All],4,FALSE)</f>
        <v>Musschenbroekstraat 11</v>
      </c>
      <c r="D49" s="27" t="str">
        <f>VLOOKUP(Ruimtestaat[[#This Row],[Code]],Locaties[#All],5,FALSE)</f>
        <v>7316 JD</v>
      </c>
      <c r="E49" s="27" t="str">
        <f>VLOOKUP(Ruimtestaat[[#This Row],[Code]],Locaties[#All],6,FALSE)</f>
        <v>Apeldoorn</v>
      </c>
      <c r="F49" s="74"/>
      <c r="G49" s="32" t="s">
        <v>466</v>
      </c>
      <c r="H49" s="292" t="s">
        <v>501</v>
      </c>
      <c r="I49" s="293" t="s">
        <v>503</v>
      </c>
      <c r="J49" s="33">
        <v>20</v>
      </c>
      <c r="K49" s="74" t="str">
        <f>VLOOKUP(J49,Ruimtegroepen[],2,FALSE)</f>
        <v>Niet in onderhoud</v>
      </c>
      <c r="L49" s="32"/>
      <c r="M49" s="293"/>
      <c r="N49" s="294"/>
      <c r="O49" s="295">
        <v>5.6</v>
      </c>
      <c r="P49" s="118" t="str">
        <f>LEFT(VLOOKUP(Ruimtestaat[[#This Row],[Ruimte code]],Ruimtegroepen[#All],4,1),2)</f>
        <v/>
      </c>
      <c r="Q49" s="107"/>
      <c r="R49" s="108"/>
      <c r="S49" s="109"/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IF($Z49&gt;0,VLOOKUP($J49,Ruimtegroepen[],3,FALSE)*VLOOKUP($L49,Vloersoorten[],3,FALSE)*VLOOKUP($Y49,Frequenties[],3,FALSE)*VLOOKUP($A44,Locaties[],3,FALSE),0)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Apeldoorn</v>
      </c>
      <c r="C50" s="27" t="str">
        <f>VLOOKUP(Ruimtestaat[[#This Row],[Code]],Locaties[#All],4,FALSE)</f>
        <v>Musschenbroekstraat 11</v>
      </c>
      <c r="D50" s="27" t="str">
        <f>VLOOKUP(Ruimtestaat[[#This Row],[Code]],Locaties[#All],5,FALSE)</f>
        <v>7316 JD</v>
      </c>
      <c r="E50" s="27" t="str">
        <f>VLOOKUP(Ruimtestaat[[#This Row],[Code]],Locaties[#All],6,FALSE)</f>
        <v>Apeldoorn</v>
      </c>
      <c r="F50" s="74"/>
      <c r="G50" s="32" t="s">
        <v>442</v>
      </c>
      <c r="H50" s="292" t="s">
        <v>504</v>
      </c>
      <c r="I50" s="293" t="s">
        <v>444</v>
      </c>
      <c r="J50" s="33">
        <v>6</v>
      </c>
      <c r="K50" s="74" t="str">
        <f>VLOOKUP(J50,Ruimtegroepen[],2,FALSE)</f>
        <v>Gangen/hallen</v>
      </c>
      <c r="L50" s="32" t="s">
        <v>110</v>
      </c>
      <c r="M50" s="293" t="s">
        <v>413</v>
      </c>
      <c r="N50" s="294">
        <v>31.2</v>
      </c>
      <c r="O50" s="32"/>
      <c r="P50" s="118" t="str">
        <f>LEFT(VLOOKUP(Ruimtestaat[[#This Row],[Ruimte code]],Ruimtegroepen[#All],4,1),2)</f>
        <v>Ve</v>
      </c>
      <c r="Q50" s="107"/>
      <c r="R50" s="108">
        <v>40</v>
      </c>
      <c r="S50" s="109" t="s">
        <v>2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6240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IF($Z50&gt;0,VLOOKUP($J50,Ruimtegroepen[],3,FALSE)*VLOOKUP($L50,Vloersoorten[],3,FALSE)*VLOOKUP($Y50,Frequenties[],3,FALSE)*VLOOKUP($A46,Locaties[],3,FALSE),0)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6240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Apeldoorn</v>
      </c>
      <c r="C51" s="27" t="str">
        <f>VLOOKUP(Ruimtestaat[[#This Row],[Code]],Locaties[#All],4,FALSE)</f>
        <v>Musschenbroekstraat 11</v>
      </c>
      <c r="D51" s="27" t="str">
        <f>VLOOKUP(Ruimtestaat[[#This Row],[Code]],Locaties[#All],5,FALSE)</f>
        <v>7316 JD</v>
      </c>
      <c r="E51" s="27" t="str">
        <f>VLOOKUP(Ruimtestaat[[#This Row],[Code]],Locaties[#All],6,FALSE)</f>
        <v>Apeldoorn</v>
      </c>
      <c r="F51" s="74"/>
      <c r="G51" s="32" t="s">
        <v>442</v>
      </c>
      <c r="H51" s="292" t="s">
        <v>505</v>
      </c>
      <c r="I51" s="293" t="s">
        <v>251</v>
      </c>
      <c r="J51" s="33">
        <v>20</v>
      </c>
      <c r="K51" s="74" t="str">
        <f>VLOOKUP(J51,Ruimtegroepen[],2,FALSE)</f>
        <v>Niet in onderhoud</v>
      </c>
      <c r="L51" s="307"/>
      <c r="M51" s="308"/>
      <c r="N51" s="309"/>
      <c r="O51" s="295">
        <v>5.4</v>
      </c>
      <c r="P51" s="118" t="str">
        <f>LEFT(VLOOKUP(Ruimtestaat[[#This Row],[Ruimte code]],Ruimtegroepen[#All],4,1),2)</f>
        <v/>
      </c>
      <c r="Q51" s="107"/>
      <c r="R51" s="108"/>
      <c r="S51" s="109"/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IF($Z51&gt;0,VLOOKUP($J51,Ruimtegroepen[],3,FALSE)*VLOOKUP($L51,Vloersoorten[],3,FALSE)*VLOOKUP($Y51,Frequenties[],3,FALSE)*VLOOKUP($A48,Locaties[],3,FALSE),0)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Apeldoorn</v>
      </c>
      <c r="C52" s="27" t="str">
        <f>VLOOKUP(Ruimtestaat[[#This Row],[Code]],Locaties[#All],4,FALSE)</f>
        <v>Musschenbroekstraat 11</v>
      </c>
      <c r="D52" s="27" t="str">
        <f>VLOOKUP(Ruimtestaat[[#This Row],[Code]],Locaties[#All],5,FALSE)</f>
        <v>7316 JD</v>
      </c>
      <c r="E52" s="27" t="str">
        <f>VLOOKUP(Ruimtestaat[[#This Row],[Code]],Locaties[#All],6,FALSE)</f>
        <v>Apeldoorn</v>
      </c>
      <c r="F52" s="74"/>
      <c r="G52" s="32" t="s">
        <v>442</v>
      </c>
      <c r="H52" s="292" t="s">
        <v>506</v>
      </c>
      <c r="I52" s="293" t="s">
        <v>470</v>
      </c>
      <c r="J52" s="32">
        <v>20</v>
      </c>
      <c r="K52" s="74" t="str">
        <f>VLOOKUP(J52,Ruimtegroepen[],2,FALSE)</f>
        <v>Niet in onderhoud</v>
      </c>
      <c r="L52" s="32"/>
      <c r="M52" s="293"/>
      <c r="N52" s="294"/>
      <c r="O52" s="295">
        <v>3.6</v>
      </c>
      <c r="P52" s="118" t="str">
        <f>LEFT(VLOOKUP(Ruimtestaat[[#This Row],[Ruimte code]],Ruimtegroepen[#All],4,1),2)</f>
        <v/>
      </c>
      <c r="Q52" s="107"/>
      <c r="R52" s="108"/>
      <c r="S52" s="109"/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IF($Z52&gt;0,VLOOKUP($J52,Ruimtegroepen[],3,FALSE)*VLOOKUP($L52,Vloersoorten[],3,FALSE)*VLOOKUP($Y52,Frequenties[],3,FALSE)*VLOOKUP(#REF!,Locaties[],3,FALSE),0)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Apeldoorn</v>
      </c>
      <c r="C53" s="27" t="str">
        <f>VLOOKUP(Ruimtestaat[[#This Row],[Code]],Locaties[#All],4,FALSE)</f>
        <v>Musschenbroekstraat 11</v>
      </c>
      <c r="D53" s="27" t="str">
        <f>VLOOKUP(Ruimtestaat[[#This Row],[Code]],Locaties[#All],5,FALSE)</f>
        <v>7316 JD</v>
      </c>
      <c r="E53" s="27" t="str">
        <f>VLOOKUP(Ruimtestaat[[#This Row],[Code]],Locaties[#All],6,FALSE)</f>
        <v>Apeldoorn</v>
      </c>
      <c r="F53" s="74"/>
      <c r="G53" s="32" t="s">
        <v>442</v>
      </c>
      <c r="H53" s="292" t="s">
        <v>507</v>
      </c>
      <c r="I53" s="293" t="s">
        <v>508</v>
      </c>
      <c r="J53" s="33">
        <v>20</v>
      </c>
      <c r="K53" s="74" t="str">
        <f>VLOOKUP(J53,Ruimtegroepen[],2,FALSE)</f>
        <v>Niet in onderhoud</v>
      </c>
      <c r="L53" s="32"/>
      <c r="M53" s="293"/>
      <c r="N53" s="294"/>
      <c r="O53" s="295">
        <v>2</v>
      </c>
      <c r="P53" s="118" t="str">
        <f>LEFT(VLOOKUP(Ruimtestaat[[#This Row],[Ruimte code]],Ruimtegroepen[#All],4,1),2)</f>
        <v/>
      </c>
      <c r="Q53" s="107"/>
      <c r="R53" s="108"/>
      <c r="S53" s="109"/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IF($Z53&gt;0,VLOOKUP($J53,Ruimtegroepen[],3,FALSE)*VLOOKUP($L53,Vloersoorten[],3,FALSE)*VLOOKUP($Y53,Frequenties[],3,FALSE)*VLOOKUP(#REF!,Locaties[],3,FALSE),0)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Apeldoorn</v>
      </c>
      <c r="C54" s="27" t="str">
        <f>VLOOKUP(Ruimtestaat[[#This Row],[Code]],Locaties[#All],4,FALSE)</f>
        <v>Musschenbroekstraat 11</v>
      </c>
      <c r="D54" s="27" t="str">
        <f>VLOOKUP(Ruimtestaat[[#This Row],[Code]],Locaties[#All],5,FALSE)</f>
        <v>7316 JD</v>
      </c>
      <c r="E54" s="27" t="str">
        <f>VLOOKUP(Ruimtestaat[[#This Row],[Code]],Locaties[#All],6,FALSE)</f>
        <v>Apeldoorn</v>
      </c>
      <c r="F54" s="74"/>
      <c r="G54" s="32" t="s">
        <v>442</v>
      </c>
      <c r="H54" s="292" t="s">
        <v>509</v>
      </c>
      <c r="I54" s="293" t="s">
        <v>473</v>
      </c>
      <c r="J54" s="33">
        <v>5</v>
      </c>
      <c r="K54" s="74" t="str">
        <f>VLOOKUP(J54,Ruimtegroepen[],2,FALSE)</f>
        <v>Sanitair</v>
      </c>
      <c r="L54" s="32" t="s">
        <v>112</v>
      </c>
      <c r="M54" s="293" t="s">
        <v>539</v>
      </c>
      <c r="N54" s="294">
        <v>26.2</v>
      </c>
      <c r="O54" s="295"/>
      <c r="P54" s="118" t="str">
        <f>LEFT(VLOOKUP(Ruimtestaat[[#This Row],[Ruimte code]],Ruimtegroepen[#All],4,1),2)</f>
        <v>Sa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5240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IF($Z54&gt;0,VLOOKUP($J54,Ruimtegroepen[],3,FALSE)*VLOOKUP($L54,Vloersoorten[],3,FALSE)*VLOOKUP($Y54,Frequenties[],3,FALSE)*VLOOKUP($A50,Locaties[],3,FALSE),0)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5240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Apeldoorn</v>
      </c>
      <c r="C55" s="27" t="str">
        <f>VLOOKUP(Ruimtestaat[[#This Row],[Code]],Locaties[#All],4,FALSE)</f>
        <v>Musschenbroekstraat 11</v>
      </c>
      <c r="D55" s="27" t="str">
        <f>VLOOKUP(Ruimtestaat[[#This Row],[Code]],Locaties[#All],5,FALSE)</f>
        <v>7316 JD</v>
      </c>
      <c r="E55" s="27" t="str">
        <f>VLOOKUP(Ruimtestaat[[#This Row],[Code]],Locaties[#All],6,FALSE)</f>
        <v>Apeldoorn</v>
      </c>
      <c r="F55" s="74"/>
      <c r="G55" s="32" t="s">
        <v>442</v>
      </c>
      <c r="H55" s="292" t="s">
        <v>510</v>
      </c>
      <c r="I55" s="293" t="s">
        <v>475</v>
      </c>
      <c r="J55" s="33">
        <v>5</v>
      </c>
      <c r="K55" s="74" t="str">
        <f>VLOOKUP(J55,Ruimtegroepen[],2,FALSE)</f>
        <v>Sanitair</v>
      </c>
      <c r="L55" s="32" t="s">
        <v>112</v>
      </c>
      <c r="M55" s="293" t="s">
        <v>539</v>
      </c>
      <c r="N55" s="294">
        <v>26</v>
      </c>
      <c r="O55" s="295"/>
      <c r="P55" s="118" t="str">
        <f>LEFT(VLOOKUP(Ruimtestaat[[#This Row],[Ruimte code]],Ruimtegroepen[#All],4,1),2)</f>
        <v>Sa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5200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5200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Apeldoorn</v>
      </c>
      <c r="C56" s="27" t="str">
        <f>VLOOKUP(Ruimtestaat[[#This Row],[Code]],Locaties[#All],4,FALSE)</f>
        <v>Musschenbroekstraat 11</v>
      </c>
      <c r="D56" s="27" t="str">
        <f>VLOOKUP(Ruimtestaat[[#This Row],[Code]],Locaties[#All],5,FALSE)</f>
        <v>7316 JD</v>
      </c>
      <c r="E56" s="27" t="str">
        <f>VLOOKUP(Ruimtestaat[[#This Row],[Code]],Locaties[#All],6,FALSE)</f>
        <v>Apeldoorn</v>
      </c>
      <c r="F56" s="74"/>
      <c r="G56" s="32" t="s">
        <v>442</v>
      </c>
      <c r="H56" s="292" t="s">
        <v>511</v>
      </c>
      <c r="I56" s="293" t="s">
        <v>512</v>
      </c>
      <c r="J56" s="33">
        <v>5</v>
      </c>
      <c r="K56" s="74" t="str">
        <f>VLOOKUP(J56,Ruimtegroepen[],2,FALSE)</f>
        <v>Sanitair</v>
      </c>
      <c r="L56" s="32" t="s">
        <v>112</v>
      </c>
      <c r="M56" s="293" t="s">
        <v>539</v>
      </c>
      <c r="N56" s="294">
        <v>5</v>
      </c>
      <c r="O56" s="32"/>
      <c r="P56" s="118" t="str">
        <f>LEFT(VLOOKUP(Ruimtestaat[[#This Row],[Ruimte code]],Ruimtegroepen[#All],4,1),2)</f>
        <v>Sa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1000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IF($Z56&gt;0,VLOOKUP($J56,Ruimtegroepen[],3,FALSE)*VLOOKUP($L56,Vloersoorten[],3,FALSE)*VLOOKUP($Y56,Frequenties[],3,FALSE)*VLOOKUP(#REF!,Locaties[],3,FALSE),0)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1000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Apeldoorn</v>
      </c>
      <c r="C57" s="27" t="str">
        <f>VLOOKUP(Ruimtestaat[[#This Row],[Code]],Locaties[#All],4,FALSE)</f>
        <v>Musschenbroekstraat 11</v>
      </c>
      <c r="D57" s="27" t="str">
        <f>VLOOKUP(Ruimtestaat[[#This Row],[Code]],Locaties[#All],5,FALSE)</f>
        <v>7316 JD</v>
      </c>
      <c r="E57" s="27" t="str">
        <f>VLOOKUP(Ruimtestaat[[#This Row],[Code]],Locaties[#All],6,FALSE)</f>
        <v>Apeldoorn</v>
      </c>
      <c r="F57" s="74"/>
      <c r="G57" s="32" t="s">
        <v>442</v>
      </c>
      <c r="H57" s="292" t="s">
        <v>513</v>
      </c>
      <c r="I57" s="293" t="s">
        <v>514</v>
      </c>
      <c r="J57" s="33">
        <v>5</v>
      </c>
      <c r="K57" s="74" t="str">
        <f>VLOOKUP(J57,Ruimtegroepen[],2,FALSE)</f>
        <v>Sanitair</v>
      </c>
      <c r="L57" s="32" t="s">
        <v>112</v>
      </c>
      <c r="M57" s="293" t="s">
        <v>539</v>
      </c>
      <c r="N57" s="294">
        <v>5</v>
      </c>
      <c r="O57" s="295"/>
      <c r="P57" s="118" t="str">
        <f>LEFT(VLOOKUP(Ruimtestaat[[#This Row],[Ruimte code]],Ruimtegroepen[#All],4,1),2)</f>
        <v>Sa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1000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IF($Z57&gt;0,VLOOKUP($J57,Ruimtegroepen[],3,FALSE)*VLOOKUP($L57,Vloersoorten[],3,FALSE)*VLOOKUP($Y57,Frequenties[],3,FALSE)*VLOOKUP(#REF!,Locaties[],3,FALSE),0)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1000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Apeldoorn</v>
      </c>
      <c r="C58" s="27" t="str">
        <f>VLOOKUP(Ruimtestaat[[#This Row],[Code]],Locaties[#All],4,FALSE)</f>
        <v>Musschenbroekstraat 11</v>
      </c>
      <c r="D58" s="27" t="str">
        <f>VLOOKUP(Ruimtestaat[[#This Row],[Code]],Locaties[#All],5,FALSE)</f>
        <v>7316 JD</v>
      </c>
      <c r="E58" s="27" t="str">
        <f>VLOOKUP(Ruimtestaat[[#This Row],[Code]],Locaties[#All],6,FALSE)</f>
        <v>Apeldoorn</v>
      </c>
      <c r="F58" s="74"/>
      <c r="G58" s="32" t="s">
        <v>442</v>
      </c>
      <c r="H58" s="292" t="s">
        <v>515</v>
      </c>
      <c r="I58" s="293" t="s">
        <v>480</v>
      </c>
      <c r="J58" s="33">
        <v>20</v>
      </c>
      <c r="K58" s="74" t="str">
        <f>VLOOKUP(J58,Ruimtegroepen[],2,FALSE)</f>
        <v>Niet in onderhoud</v>
      </c>
      <c r="L58" s="32"/>
      <c r="M58" s="293"/>
      <c r="N58" s="294"/>
      <c r="O58" s="295">
        <v>6.2</v>
      </c>
      <c r="P58" s="118" t="str">
        <f>LEFT(VLOOKUP(Ruimtestaat[[#This Row],[Ruimte code]],Ruimtegroepen[#All],4,1),2)</f>
        <v/>
      </c>
      <c r="Q58" s="107"/>
      <c r="R58" s="108"/>
      <c r="S58" s="109"/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0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IF($Z58&gt;0,VLOOKUP($J58,Ruimtegroepen[],3,FALSE)*VLOOKUP($L58,Vloersoorten[],3,FALSE)*VLOOKUP($Y58,Frequenties[],3,FALSE)*VLOOKUP($A50,Locaties[],3,FALSE),0)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0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Apeldoorn</v>
      </c>
      <c r="C59" s="27" t="str">
        <f>VLOOKUP(Ruimtestaat[[#This Row],[Code]],Locaties[#All],4,FALSE)</f>
        <v>Musschenbroekstraat 11</v>
      </c>
      <c r="D59" s="27" t="str">
        <f>VLOOKUP(Ruimtestaat[[#This Row],[Code]],Locaties[#All],5,FALSE)</f>
        <v>7316 JD</v>
      </c>
      <c r="E59" s="27" t="str">
        <f>VLOOKUP(Ruimtestaat[[#This Row],[Code]],Locaties[#All],6,FALSE)</f>
        <v>Apeldoorn</v>
      </c>
      <c r="F59" s="74"/>
      <c r="G59" s="32" t="s">
        <v>442</v>
      </c>
      <c r="H59" s="292" t="s">
        <v>516</v>
      </c>
      <c r="I59" s="293" t="s">
        <v>517</v>
      </c>
      <c r="J59" s="33">
        <v>1</v>
      </c>
      <c r="K59" s="74" t="str">
        <f>VLOOKUP(J59,Ruimtegroepen[],2,FALSE)</f>
        <v>Magazijnen/bergingen</v>
      </c>
      <c r="L59" s="32" t="s">
        <v>112</v>
      </c>
      <c r="M59" s="293" t="s">
        <v>539</v>
      </c>
      <c r="N59" s="309">
        <v>10.199999999999999</v>
      </c>
      <c r="O59" s="32"/>
      <c r="P59" s="118" t="str">
        <f>LEFT(VLOOKUP(Ruimtestaat[[#This Row],[Ruimte code]],Ruimtegroepen[#All],4,1),2)</f>
        <v>Ve</v>
      </c>
      <c r="Q59" s="107"/>
      <c r="R59" s="108">
        <v>40</v>
      </c>
      <c r="S59" s="109" t="s">
        <v>16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122.39999999999999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IF($Z59&gt;0,VLOOKUP($J59,Ruimtegroepen[],3,FALSE)*VLOOKUP($L59,Vloersoorten[],3,FALSE)*VLOOKUP($Y59,Frequenties[],3,FALSE)*VLOOKUP($A51,Locaties[],3,FALSE),0)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122.39999999999999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Apeldoorn</v>
      </c>
      <c r="C60" s="27" t="str">
        <f>VLOOKUP(Ruimtestaat[[#This Row],[Code]],Locaties[#All],4,FALSE)</f>
        <v>Musschenbroekstraat 11</v>
      </c>
      <c r="D60" s="27" t="str">
        <f>VLOOKUP(Ruimtestaat[[#This Row],[Code]],Locaties[#All],5,FALSE)</f>
        <v>7316 JD</v>
      </c>
      <c r="E60" s="27" t="str">
        <f>VLOOKUP(Ruimtestaat[[#This Row],[Code]],Locaties[#All],6,FALSE)</f>
        <v>Apeldoorn</v>
      </c>
      <c r="F60" s="74"/>
      <c r="G60" s="32" t="s">
        <v>442</v>
      </c>
      <c r="H60" s="292" t="s">
        <v>518</v>
      </c>
      <c r="I60" s="308" t="s">
        <v>568</v>
      </c>
      <c r="J60" s="306">
        <v>20</v>
      </c>
      <c r="K60" s="74" t="str">
        <f>VLOOKUP(J60,Ruimtegroepen[],2,FALSE)</f>
        <v>Niet in onderhoud</v>
      </c>
      <c r="L60" s="307"/>
      <c r="M60" s="308"/>
      <c r="N60" s="309"/>
      <c r="O60" s="295">
        <v>5.7</v>
      </c>
      <c r="P60" s="118" t="str">
        <f>LEFT(VLOOKUP(Ruimtestaat[[#This Row],[Ruimte code]],Ruimtegroepen[#All],4,1),2)</f>
        <v/>
      </c>
      <c r="Q60" s="107"/>
      <c r="R60" s="108"/>
      <c r="S60" s="109"/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0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IF($Z60&gt;0,VLOOKUP($J60,Ruimtegroepen[],3,FALSE)*VLOOKUP($L60,Vloersoorten[],3,FALSE)*VLOOKUP($Y60,Frequenties[],3,FALSE)*VLOOKUP($A52,Locaties[],3,FALSE),0)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0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Apeldoorn</v>
      </c>
      <c r="C61" s="27" t="str">
        <f>VLOOKUP(Ruimtestaat[[#This Row],[Code]],Locaties[#All],4,FALSE)</f>
        <v>Musschenbroekstraat 11</v>
      </c>
      <c r="D61" s="27" t="str">
        <f>VLOOKUP(Ruimtestaat[[#This Row],[Code]],Locaties[#All],5,FALSE)</f>
        <v>7316 JD</v>
      </c>
      <c r="E61" s="27" t="str">
        <f>VLOOKUP(Ruimtestaat[[#This Row],[Code]],Locaties[#All],6,FALSE)</f>
        <v>Apeldoorn</v>
      </c>
      <c r="F61" s="74"/>
      <c r="G61" s="32" t="s">
        <v>442</v>
      </c>
      <c r="H61" s="292" t="s">
        <v>519</v>
      </c>
      <c r="I61" s="293" t="s">
        <v>520</v>
      </c>
      <c r="J61" s="33">
        <v>20</v>
      </c>
      <c r="K61" s="74" t="str">
        <f>VLOOKUP(J61,Ruimtegroepen[],2,FALSE)</f>
        <v>Niet in onderhoud</v>
      </c>
      <c r="L61" s="32"/>
      <c r="M61" s="293"/>
      <c r="N61" s="294"/>
      <c r="O61" s="295">
        <v>49.9</v>
      </c>
      <c r="P61" s="118" t="str">
        <f>LEFT(VLOOKUP(Ruimtestaat[[#This Row],[Ruimte code]],Ruimtegroepen[#All],4,1),2)</f>
        <v/>
      </c>
      <c r="Q61" s="107"/>
      <c r="R61" s="108"/>
      <c r="S61" s="109"/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IF($Z61&gt;0,VLOOKUP($J61,Ruimtegroepen[],3,FALSE)*VLOOKUP($L61,Vloersoorten[],3,FALSE)*VLOOKUP($Y61,Frequenties[],3,FALSE)*VLOOKUP($A52,Locaties[],3,FALSE),0)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Apeldoorn</v>
      </c>
      <c r="C62" s="27" t="str">
        <f>VLOOKUP(Ruimtestaat[[#This Row],[Code]],Locaties[#All],4,FALSE)</f>
        <v>Musschenbroekstraat 11</v>
      </c>
      <c r="D62" s="27" t="str">
        <f>VLOOKUP(Ruimtestaat[[#This Row],[Code]],Locaties[#All],5,FALSE)</f>
        <v>7316 JD</v>
      </c>
      <c r="E62" s="27" t="str">
        <f>VLOOKUP(Ruimtestaat[[#This Row],[Code]],Locaties[#All],6,FALSE)</f>
        <v>Apeldoorn</v>
      </c>
      <c r="F62" s="74"/>
      <c r="G62" s="32" t="s">
        <v>442</v>
      </c>
      <c r="H62" s="292" t="s">
        <v>521</v>
      </c>
      <c r="I62" s="293" t="s">
        <v>450</v>
      </c>
      <c r="J62" s="33">
        <v>2</v>
      </c>
      <c r="K62" s="74" t="str">
        <f>VLOOKUP(J62,Ruimtegroepen[],2,FALSE)</f>
        <v>Kantoren</v>
      </c>
      <c r="L62" s="32" t="s">
        <v>110</v>
      </c>
      <c r="M62" s="293" t="s">
        <v>413</v>
      </c>
      <c r="N62" s="294">
        <v>25.6</v>
      </c>
      <c r="O62" s="32"/>
      <c r="P62" s="118" t="str">
        <f>LEFT(VLOOKUP(Ruimtestaat[[#This Row],[Ruimte code]],Ruimtegroepen[#All],4,1),2)</f>
        <v>Bu</v>
      </c>
      <c r="Q62" s="107"/>
      <c r="R62" s="108">
        <v>40</v>
      </c>
      <c r="S62" s="109" t="s">
        <v>17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2048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2048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Apeldoorn</v>
      </c>
      <c r="C63" s="27" t="str">
        <f>VLOOKUP(Ruimtestaat[[#This Row],[Code]],Locaties[#All],4,FALSE)</f>
        <v>Musschenbroekstraat 11</v>
      </c>
      <c r="D63" s="27" t="str">
        <f>VLOOKUP(Ruimtestaat[[#This Row],[Code]],Locaties[#All],5,FALSE)</f>
        <v>7316 JD</v>
      </c>
      <c r="E63" s="27" t="str">
        <f>VLOOKUP(Ruimtestaat[[#This Row],[Code]],Locaties[#All],6,FALSE)</f>
        <v>Apeldoorn</v>
      </c>
      <c r="F63" s="74"/>
      <c r="G63" s="32" t="s">
        <v>442</v>
      </c>
      <c r="H63" s="292" t="s">
        <v>522</v>
      </c>
      <c r="I63" s="293" t="s">
        <v>452</v>
      </c>
      <c r="J63" s="33">
        <v>16</v>
      </c>
      <c r="K63" s="74" t="str">
        <f>VLOOKUP(J63,Ruimtegroepen[],2,FALSE)</f>
        <v>Leslokalen</v>
      </c>
      <c r="L63" s="32" t="s">
        <v>110</v>
      </c>
      <c r="M63" s="293" t="s">
        <v>413</v>
      </c>
      <c r="N63" s="294">
        <v>38.700000000000003</v>
      </c>
      <c r="O63" s="295"/>
      <c r="P63" s="118" t="str">
        <f>LEFT(VLOOKUP(Ruimtestaat[[#This Row],[Ruimte code]],Ruimtegroepen[#All],4,1),2)</f>
        <v>Le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7740.0000000000009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7740.0000000000009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Apeldoorn</v>
      </c>
      <c r="C64" s="27" t="str">
        <f>VLOOKUP(Ruimtestaat[[#This Row],[Code]],Locaties[#All],4,FALSE)</f>
        <v>Musschenbroekstraat 11</v>
      </c>
      <c r="D64" s="27" t="str">
        <f>VLOOKUP(Ruimtestaat[[#This Row],[Code]],Locaties[#All],5,FALSE)</f>
        <v>7316 JD</v>
      </c>
      <c r="E64" s="27" t="str">
        <f>VLOOKUP(Ruimtestaat[[#This Row],[Code]],Locaties[#All],6,FALSE)</f>
        <v>Apeldoorn</v>
      </c>
      <c r="F64" s="74"/>
      <c r="G64" s="32" t="s">
        <v>442</v>
      </c>
      <c r="H64" s="292" t="s">
        <v>523</v>
      </c>
      <c r="I64" s="293" t="s">
        <v>489</v>
      </c>
      <c r="J64" s="33">
        <v>10</v>
      </c>
      <c r="K64" s="74" t="str">
        <f>VLOOKUP(J64,Ruimtegroepen[],2,FALSE)</f>
        <v>Trappenhuizen/lift</v>
      </c>
      <c r="L64" s="32" t="s">
        <v>111</v>
      </c>
      <c r="M64" s="293" t="s">
        <v>136</v>
      </c>
      <c r="N64" s="294">
        <v>14.9</v>
      </c>
      <c r="O64" s="295"/>
      <c r="P64" s="118" t="str">
        <f>LEFT(VLOOKUP(Ruimtestaat[[#This Row],[Ruimte code]],Ruimtegroepen[#All],4,1),2)</f>
        <v>Ve</v>
      </c>
      <c r="Q64" s="107"/>
      <c r="R64" s="108">
        <v>40</v>
      </c>
      <c r="S64" s="109" t="s">
        <v>2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2980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IF($Z64&gt;0,VLOOKUP($J64,Ruimtegroepen[],3,FALSE)*VLOOKUP($L64,Vloersoorten[],3,FALSE)*VLOOKUP($Y64,Frequenties[],3,FALSE)*VLOOKUP($A55,Locaties[],3,FALSE),0)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2980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Apeldoorn</v>
      </c>
      <c r="C65" s="27" t="str">
        <f>VLOOKUP(Ruimtestaat[[#This Row],[Code]],Locaties[#All],4,FALSE)</f>
        <v>Musschenbroekstraat 11</v>
      </c>
      <c r="D65" s="27" t="str">
        <f>VLOOKUP(Ruimtestaat[[#This Row],[Code]],Locaties[#All],5,FALSE)</f>
        <v>7316 JD</v>
      </c>
      <c r="E65" s="27" t="str">
        <f>VLOOKUP(Ruimtestaat[[#This Row],[Code]],Locaties[#All],6,FALSE)</f>
        <v>Apeldoorn</v>
      </c>
      <c r="F65" s="74"/>
      <c r="G65" s="32" t="s">
        <v>442</v>
      </c>
      <c r="H65" s="292" t="s">
        <v>524</v>
      </c>
      <c r="I65" s="293" t="s">
        <v>452</v>
      </c>
      <c r="J65" s="33">
        <v>16</v>
      </c>
      <c r="K65" s="74" t="str">
        <f>VLOOKUP(J65,Ruimtegroepen[],2,FALSE)</f>
        <v>Leslokalen</v>
      </c>
      <c r="L65" s="32" t="s">
        <v>110</v>
      </c>
      <c r="M65" s="293" t="s">
        <v>413</v>
      </c>
      <c r="N65" s="294">
        <v>40.6</v>
      </c>
      <c r="O65" s="32"/>
      <c r="P65" s="118" t="str">
        <f>LEFT(VLOOKUP(Ruimtestaat[[#This Row],[Ruimte code]],Ruimtegroepen[#All],4,1),2)</f>
        <v>Le</v>
      </c>
      <c r="Q65" s="107"/>
      <c r="R65" s="108">
        <v>40</v>
      </c>
      <c r="S65" s="109" t="s">
        <v>2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8120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IF($Z65&gt;0,VLOOKUP($J65,Ruimtegroepen[],3,FALSE)*VLOOKUP($L65,Vloersoorten[],3,FALSE)*VLOOKUP($Y65,Frequenties[],3,FALSE)*VLOOKUP($A61,Locaties[],3,FALSE),0)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8120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Apeldoorn</v>
      </c>
      <c r="C66" s="27" t="str">
        <f>VLOOKUP(Ruimtestaat[[#This Row],[Code]],Locaties[#All],4,FALSE)</f>
        <v>Musschenbroekstraat 11</v>
      </c>
      <c r="D66" s="27" t="str">
        <f>VLOOKUP(Ruimtestaat[[#This Row],[Code]],Locaties[#All],5,FALSE)</f>
        <v>7316 JD</v>
      </c>
      <c r="E66" s="27" t="str">
        <f>VLOOKUP(Ruimtestaat[[#This Row],[Code]],Locaties[#All],6,FALSE)</f>
        <v>Apeldoorn</v>
      </c>
      <c r="F66" s="74"/>
      <c r="G66" s="32" t="s">
        <v>442</v>
      </c>
      <c r="H66" s="292" t="s">
        <v>525</v>
      </c>
      <c r="I66" s="293" t="s">
        <v>452</v>
      </c>
      <c r="J66" s="33">
        <v>16</v>
      </c>
      <c r="K66" s="74" t="str">
        <f>VLOOKUP(J66,Ruimtegroepen[],2,FALSE)</f>
        <v>Leslokalen</v>
      </c>
      <c r="L66" s="32" t="s">
        <v>110</v>
      </c>
      <c r="M66" s="293" t="s">
        <v>413</v>
      </c>
      <c r="N66" s="294">
        <v>49.7</v>
      </c>
      <c r="O66" s="295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9940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IF($Z66&gt;0,VLOOKUP($J66,Ruimtegroepen[],3,FALSE)*VLOOKUP($L66,Vloersoorten[],3,FALSE)*VLOOKUP($Y66,Frequenties[],3,FALSE)*VLOOKUP($A62,Locaties[],3,FALSE),0)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9940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Apeldoorn</v>
      </c>
      <c r="C67" s="27" t="str">
        <f>VLOOKUP(Ruimtestaat[[#This Row],[Code]],Locaties[#All],4,FALSE)</f>
        <v>Musschenbroekstraat 11</v>
      </c>
      <c r="D67" s="27" t="str">
        <f>VLOOKUP(Ruimtestaat[[#This Row],[Code]],Locaties[#All],5,FALSE)</f>
        <v>7316 JD</v>
      </c>
      <c r="E67" s="27" t="str">
        <f>VLOOKUP(Ruimtestaat[[#This Row],[Code]],Locaties[#All],6,FALSE)</f>
        <v>Apeldoorn</v>
      </c>
      <c r="F67" s="74"/>
      <c r="G67" s="32" t="s">
        <v>442</v>
      </c>
      <c r="H67" s="292" t="s">
        <v>526</v>
      </c>
      <c r="I67" s="293" t="s">
        <v>527</v>
      </c>
      <c r="J67" s="33">
        <v>2</v>
      </c>
      <c r="K67" s="74" t="str">
        <f>VLOOKUP(J67,Ruimtegroepen[],2,FALSE)</f>
        <v>Kantoren</v>
      </c>
      <c r="L67" s="32" t="s">
        <v>110</v>
      </c>
      <c r="M67" s="293" t="s">
        <v>413</v>
      </c>
      <c r="N67" s="294">
        <v>105.4</v>
      </c>
      <c r="O67" s="295"/>
      <c r="P67" s="118" t="str">
        <f>LEFT(VLOOKUP(Ruimtestaat[[#This Row],[Ruimte code]],Ruimtegroepen[#All],4,1),2)</f>
        <v>Bu</v>
      </c>
      <c r="Q67" s="107"/>
      <c r="R67" s="108">
        <v>40</v>
      </c>
      <c r="S67" s="109" t="s">
        <v>17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8432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IF($Z67&gt;0,VLOOKUP($J67,Ruimtegroepen[],3,FALSE)*VLOOKUP($L67,Vloersoorten[],3,FALSE)*VLOOKUP($Y67,Frequenties[],3,FALSE)*VLOOKUP($A63,Locaties[],3,FALSE),0)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8432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Apeldoorn</v>
      </c>
      <c r="C68" s="27" t="str">
        <f>VLOOKUP(Ruimtestaat[[#This Row],[Code]],Locaties[#All],4,FALSE)</f>
        <v>Musschenbroekstraat 11</v>
      </c>
      <c r="D68" s="27" t="str">
        <f>VLOOKUP(Ruimtestaat[[#This Row],[Code]],Locaties[#All],5,FALSE)</f>
        <v>7316 JD</v>
      </c>
      <c r="E68" s="27" t="str">
        <f>VLOOKUP(Ruimtestaat[[#This Row],[Code]],Locaties[#All],6,FALSE)</f>
        <v>Apeldoorn</v>
      </c>
      <c r="F68" s="74"/>
      <c r="G68" s="32" t="s">
        <v>442</v>
      </c>
      <c r="H68" s="292" t="s">
        <v>528</v>
      </c>
      <c r="I68" s="293" t="s">
        <v>482</v>
      </c>
      <c r="J68" s="33">
        <v>20</v>
      </c>
      <c r="K68" s="74" t="str">
        <f>VLOOKUP(J68,Ruimtegroepen[],2,FALSE)</f>
        <v>Niet in onderhoud</v>
      </c>
      <c r="L68" s="32"/>
      <c r="M68" s="293"/>
      <c r="N68" s="294"/>
      <c r="O68" s="32">
        <v>3.2</v>
      </c>
      <c r="P68" s="118" t="str">
        <f>LEFT(VLOOKUP(Ruimtestaat[[#This Row],[Ruimte code]],Ruimtegroepen[#All],4,1),2)</f>
        <v/>
      </c>
      <c r="Q68" s="107"/>
      <c r="R68" s="108"/>
      <c r="S68" s="109"/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0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0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Apeldoorn</v>
      </c>
      <c r="C69" s="27" t="str">
        <f>VLOOKUP(Ruimtestaat[[#This Row],[Code]],Locaties[#All],4,FALSE)</f>
        <v>Musschenbroekstraat 11</v>
      </c>
      <c r="D69" s="27" t="str">
        <f>VLOOKUP(Ruimtestaat[[#This Row],[Code]],Locaties[#All],5,FALSE)</f>
        <v>7316 JD</v>
      </c>
      <c r="E69" s="27" t="str">
        <f>VLOOKUP(Ruimtestaat[[#This Row],[Code]],Locaties[#All],6,FALSE)</f>
        <v>Apeldoorn</v>
      </c>
      <c r="F69" s="74"/>
      <c r="G69" s="32" t="s">
        <v>442</v>
      </c>
      <c r="H69" s="292" t="s">
        <v>530</v>
      </c>
      <c r="I69" s="293" t="s">
        <v>529</v>
      </c>
      <c r="J69" s="33">
        <v>2</v>
      </c>
      <c r="K69" s="74" t="str">
        <f>VLOOKUP(J69,Ruimtegroepen[],2,FALSE)</f>
        <v>Kantoren</v>
      </c>
      <c r="L69" s="32" t="s">
        <v>110</v>
      </c>
      <c r="M69" s="293" t="s">
        <v>413</v>
      </c>
      <c r="N69" s="294">
        <v>79.400000000000006</v>
      </c>
      <c r="O69" s="295"/>
      <c r="P69" s="118" t="str">
        <f>LEFT(VLOOKUP(Ruimtestaat[[#This Row],[Ruimte code]],Ruimtegroepen[#All],4,1),2)</f>
        <v>Bu</v>
      </c>
      <c r="Q69" s="107"/>
      <c r="R69" s="108">
        <v>40</v>
      </c>
      <c r="S69" s="109" t="s">
        <v>17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6352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6352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Apeldoorn</v>
      </c>
      <c r="C70" s="27" t="str">
        <f>VLOOKUP(Ruimtestaat[[#This Row],[Code]],Locaties[#All],4,FALSE)</f>
        <v>Musschenbroekstraat 11</v>
      </c>
      <c r="D70" s="27" t="str">
        <f>VLOOKUP(Ruimtestaat[[#This Row],[Code]],Locaties[#All],5,FALSE)</f>
        <v>7316 JD</v>
      </c>
      <c r="E70" s="27" t="str">
        <f>VLOOKUP(Ruimtestaat[[#This Row],[Code]],Locaties[#All],6,FALSE)</f>
        <v>Apeldoorn</v>
      </c>
      <c r="F70" s="74"/>
      <c r="G70" s="32" t="s">
        <v>442</v>
      </c>
      <c r="H70" s="292" t="s">
        <v>531</v>
      </c>
      <c r="I70" s="293" t="s">
        <v>452</v>
      </c>
      <c r="J70" s="33">
        <v>16</v>
      </c>
      <c r="K70" s="74" t="str">
        <f>VLOOKUP(J70,Ruimtegroepen[],2,FALSE)</f>
        <v>Leslokalen</v>
      </c>
      <c r="L70" s="32" t="s">
        <v>110</v>
      </c>
      <c r="M70" s="293" t="s">
        <v>413</v>
      </c>
      <c r="N70" s="294">
        <v>52.6</v>
      </c>
      <c r="O70" s="295"/>
      <c r="P70" s="118" t="str">
        <f>LEFT(VLOOKUP(Ruimtestaat[[#This Row],[Ruimte code]],Ruimtegroepen[#All],4,1),2)</f>
        <v>Le</v>
      </c>
      <c r="Q70" s="107"/>
      <c r="R70" s="108">
        <v>40</v>
      </c>
      <c r="S70" s="109" t="s">
        <v>2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10520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10520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Apeldoorn</v>
      </c>
      <c r="C71" s="27" t="str">
        <f>VLOOKUP(Ruimtestaat[[#This Row],[Code]],Locaties[#All],4,FALSE)</f>
        <v>Musschenbroekstraat 11</v>
      </c>
      <c r="D71" s="27" t="str">
        <f>VLOOKUP(Ruimtestaat[[#This Row],[Code]],Locaties[#All],5,FALSE)</f>
        <v>7316 JD</v>
      </c>
      <c r="E71" s="27" t="str">
        <f>VLOOKUP(Ruimtestaat[[#This Row],[Code]],Locaties[#All],6,FALSE)</f>
        <v>Apeldoorn</v>
      </c>
      <c r="F71" s="74"/>
      <c r="G71" s="32" t="s">
        <v>442</v>
      </c>
      <c r="H71" s="292" t="s">
        <v>532</v>
      </c>
      <c r="I71" s="293" t="s">
        <v>533</v>
      </c>
      <c r="J71" s="33">
        <v>6</v>
      </c>
      <c r="K71" s="74" t="str">
        <f>VLOOKUP(J71,Ruimtegroepen[],2,FALSE)</f>
        <v>Gangen/hallen</v>
      </c>
      <c r="L71" s="32" t="s">
        <v>110</v>
      </c>
      <c r="M71" s="293" t="s">
        <v>413</v>
      </c>
      <c r="N71" s="294">
        <v>134.6</v>
      </c>
      <c r="O71" s="32"/>
      <c r="P71" s="118" t="str">
        <f>LEFT(VLOOKUP(Ruimtestaat[[#This Row],[Ruimte code]],Ruimtegroepen[#All],4,1),2)</f>
        <v>Ve</v>
      </c>
      <c r="Q71" s="107"/>
      <c r="R71" s="108">
        <v>40</v>
      </c>
      <c r="S71" s="109" t="s">
        <v>2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26920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26920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Apeldoorn</v>
      </c>
      <c r="C72" s="27" t="str">
        <f>VLOOKUP(Ruimtestaat[[#This Row],[Code]],Locaties[#All],4,FALSE)</f>
        <v>Musschenbroekstraat 11</v>
      </c>
      <c r="D72" s="27" t="str">
        <f>VLOOKUP(Ruimtestaat[[#This Row],[Code]],Locaties[#All],5,FALSE)</f>
        <v>7316 JD</v>
      </c>
      <c r="E72" s="27" t="str">
        <f>VLOOKUP(Ruimtestaat[[#This Row],[Code]],Locaties[#All],6,FALSE)</f>
        <v>Apeldoorn</v>
      </c>
      <c r="F72" s="74"/>
      <c r="G72" s="32" t="s">
        <v>442</v>
      </c>
      <c r="H72" s="292" t="s">
        <v>534</v>
      </c>
      <c r="I72" s="293" t="s">
        <v>533</v>
      </c>
      <c r="J72" s="33">
        <v>6</v>
      </c>
      <c r="K72" s="74" t="str">
        <f>VLOOKUP(J72,Ruimtegroepen[],2,FALSE)</f>
        <v>Gangen/hallen</v>
      </c>
      <c r="L72" s="32" t="s">
        <v>110</v>
      </c>
      <c r="M72" s="293" t="s">
        <v>413</v>
      </c>
      <c r="N72" s="294">
        <v>36.5</v>
      </c>
      <c r="O72" s="295"/>
      <c r="P72" s="118" t="str">
        <f>LEFT(VLOOKUP(Ruimtestaat[[#This Row],[Ruimte code]],Ruimtegroepen[#All],4,1),2)</f>
        <v>Ve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7300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IF($Z72&gt;0,VLOOKUP($J72,Ruimtegroepen[],3,FALSE)*VLOOKUP($L72,Vloersoorten[],3,FALSE)*VLOOKUP($Y72,Frequenties[],3,FALSE)*VLOOKUP($A68,Locaties[],3,FALSE),0)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7300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Apeldoorn</v>
      </c>
      <c r="C73" s="27" t="str">
        <f>VLOOKUP(Ruimtestaat[[#This Row],[Code]],Locaties[#All],4,FALSE)</f>
        <v>Musschenbroekstraat 11</v>
      </c>
      <c r="D73" s="27" t="str">
        <f>VLOOKUP(Ruimtestaat[[#This Row],[Code]],Locaties[#All],5,FALSE)</f>
        <v>7316 JD</v>
      </c>
      <c r="E73" s="27" t="str">
        <f>VLOOKUP(Ruimtestaat[[#This Row],[Code]],Locaties[#All],6,FALSE)</f>
        <v>Apeldoorn</v>
      </c>
      <c r="F73" s="74"/>
      <c r="G73" s="32" t="s">
        <v>442</v>
      </c>
      <c r="H73" s="292" t="s">
        <v>569</v>
      </c>
      <c r="I73" s="293" t="s">
        <v>570</v>
      </c>
      <c r="J73" s="33">
        <v>9</v>
      </c>
      <c r="K73" s="74" t="str">
        <f>VLOOKUP(J73,Ruimtegroepen[],2,FALSE)</f>
        <v>Bibliotheek/OLC</v>
      </c>
      <c r="L73" s="32" t="s">
        <v>110</v>
      </c>
      <c r="M73" s="293" t="s">
        <v>413</v>
      </c>
      <c r="N73" s="294">
        <v>175.7</v>
      </c>
      <c r="O73" s="295"/>
      <c r="P73" s="118" t="str">
        <f>LEFT(VLOOKUP(Ruimtestaat[[#This Row],[Ruimte code]],Ruimtegroepen[#All],4,1),2)</f>
        <v>Le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35140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IF($Z73&gt;0,VLOOKUP($J73,Ruimtegroepen[],3,FALSE)*VLOOKUP($L73,Vloersoorten[],3,FALSE)*VLOOKUP($Y73,Frequenties[],3,FALSE)*VLOOKUP($A69,Locaties[],3,FALSE),0)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35140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Apeldoorn</v>
      </c>
      <c r="C74" s="27" t="str">
        <f>VLOOKUP(Ruimtestaat[[#This Row],[Code]],Locaties[#All],4,FALSE)</f>
        <v>Musschenbroekstraat 11</v>
      </c>
      <c r="D74" s="27" t="str">
        <f>VLOOKUP(Ruimtestaat[[#This Row],[Code]],Locaties[#All],5,FALSE)</f>
        <v>7316 JD</v>
      </c>
      <c r="E74" s="27" t="str">
        <f>VLOOKUP(Ruimtestaat[[#This Row],[Code]],Locaties[#All],6,FALSE)</f>
        <v>Apeldoorn</v>
      </c>
      <c r="F74" s="74"/>
      <c r="G74" s="32" t="s">
        <v>442</v>
      </c>
      <c r="H74" s="292" t="s">
        <v>571</v>
      </c>
      <c r="I74" s="293" t="s">
        <v>570</v>
      </c>
      <c r="J74" s="33">
        <v>9</v>
      </c>
      <c r="K74" s="74" t="str">
        <f>VLOOKUP(J74,Ruimtegroepen[],2,FALSE)</f>
        <v>Bibliotheek/OLC</v>
      </c>
      <c r="L74" s="32" t="s">
        <v>110</v>
      </c>
      <c r="M74" s="293" t="s">
        <v>413</v>
      </c>
      <c r="N74" s="294">
        <v>87.6</v>
      </c>
      <c r="O74" s="32"/>
      <c r="P74" s="118" t="str">
        <f>LEFT(VLOOKUP(Ruimtestaat[[#This Row],[Ruimte code]],Ruimtegroepen[#All],4,1),2)</f>
        <v>Le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17520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IF($Z74&gt;0,VLOOKUP($J74,Ruimtegroepen[],3,FALSE)*VLOOKUP($L74,Vloersoorten[],3,FALSE)*VLOOKUP($Y74,Frequenties[],3,FALSE)*VLOOKUP($A70,Locaties[],3,FALSE),0)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17520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4.25" customHeight="1">
      <c r="A75" s="136">
        <v>1</v>
      </c>
      <c r="B75" s="27" t="str">
        <f>VLOOKUP(Ruimtestaat[[#This Row],[Code]],Locaties[#All],2,FALSE)</f>
        <v>Hoornbeeck College Apeldoorn</v>
      </c>
      <c r="C75" s="27" t="str">
        <f>VLOOKUP(Ruimtestaat[[#This Row],[Code]],Locaties[#All],4,FALSE)</f>
        <v>Musschenbroekstraat 11</v>
      </c>
      <c r="D75" s="27" t="str">
        <f>VLOOKUP(Ruimtestaat[[#This Row],[Code]],Locaties[#All],5,FALSE)</f>
        <v>7316 JD</v>
      </c>
      <c r="E75" s="27" t="str">
        <f>VLOOKUP(Ruimtestaat[[#This Row],[Code]],Locaties[#All],6,FALSE)</f>
        <v>Apeldoorn</v>
      </c>
      <c r="F75" s="74"/>
      <c r="G75" s="32" t="s">
        <v>442</v>
      </c>
      <c r="H75" s="311" t="s">
        <v>535</v>
      </c>
      <c r="I75" s="308" t="s">
        <v>572</v>
      </c>
      <c r="J75" s="306">
        <v>16</v>
      </c>
      <c r="K75" s="74" t="str">
        <f>VLOOKUP(J75,Ruimtegroepen[],2,FALSE)</f>
        <v>Leslokalen</v>
      </c>
      <c r="L75" s="32" t="s">
        <v>110</v>
      </c>
      <c r="M75" s="293" t="s">
        <v>413</v>
      </c>
      <c r="N75" s="294">
        <v>72.599999999999994</v>
      </c>
      <c r="O75" s="295"/>
      <c r="P75" s="118" t="str">
        <f>LEFT(VLOOKUP(Ruimtestaat[[#This Row],[Ruimte code]],Ruimtegroepen[#All],4,1),2)</f>
        <v>Le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14519.999999999998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IF($Z75&gt;0,VLOOKUP($J75,Ruimtegroepen[],3,FALSE)*VLOOKUP($L75,Vloersoorten[],3,FALSE)*VLOOKUP($Y75,Frequenties[],3,FALSE)*VLOOKUP($A71,Locaties[],3,FALSE),0)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14519.999999999998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Apeldoorn</v>
      </c>
      <c r="C76" s="27" t="str">
        <f>VLOOKUP(Ruimtestaat[[#This Row],[Code]],Locaties[#All],4,FALSE)</f>
        <v>Musschenbroekstraat 11</v>
      </c>
      <c r="D76" s="27" t="str">
        <f>VLOOKUP(Ruimtestaat[[#This Row],[Code]],Locaties[#All],5,FALSE)</f>
        <v>7316 JD</v>
      </c>
      <c r="E76" s="27" t="str">
        <f>VLOOKUP(Ruimtestaat[[#This Row],[Code]],Locaties[#All],6,FALSE)</f>
        <v>Apeldoorn</v>
      </c>
      <c r="F76" s="74"/>
      <c r="G76" s="32" t="s">
        <v>442</v>
      </c>
      <c r="H76" s="311" t="s">
        <v>536</v>
      </c>
      <c r="I76" s="308" t="s">
        <v>573</v>
      </c>
      <c r="J76" s="306">
        <v>20</v>
      </c>
      <c r="K76" s="74" t="str">
        <f>VLOOKUP(J76,Ruimtegroepen[],2,FALSE)</f>
        <v>Niet in onderhoud</v>
      </c>
      <c r="L76" s="32" t="s">
        <v>110</v>
      </c>
      <c r="M76" s="293" t="s">
        <v>413</v>
      </c>
      <c r="N76" s="294"/>
      <c r="O76" s="295">
        <v>3.2</v>
      </c>
      <c r="P76" s="118" t="str">
        <f>LEFT(VLOOKUP(Ruimtestaat[[#This Row],[Ruimte code]],Ruimtegroepen[#All],4,1),2)</f>
        <v/>
      </c>
      <c r="Q76" s="107"/>
      <c r="R76" s="108"/>
      <c r="S76" s="109"/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IF($Z76&gt;0,VLOOKUP($J76,Ruimtegroepen[],3,FALSE)*VLOOKUP($L76,Vloersoorten[],3,FALSE)*VLOOKUP($Y76,Frequenties[],3,FALSE)*VLOOKUP($A72,Locaties[],3,FALSE),0)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Apeldoorn</v>
      </c>
      <c r="C77" s="27" t="str">
        <f>VLOOKUP(Ruimtestaat[[#This Row],[Code]],Locaties[#All],4,FALSE)</f>
        <v>Musschenbroekstraat 11</v>
      </c>
      <c r="D77" s="27" t="str">
        <f>VLOOKUP(Ruimtestaat[[#This Row],[Code]],Locaties[#All],5,FALSE)</f>
        <v>7316 JD</v>
      </c>
      <c r="E77" s="27" t="str">
        <f>VLOOKUP(Ruimtestaat[[#This Row],[Code]],Locaties[#All],6,FALSE)</f>
        <v>Apeldoorn</v>
      </c>
      <c r="F77" s="74"/>
      <c r="G77" s="32" t="s">
        <v>442</v>
      </c>
      <c r="H77" s="311" t="s">
        <v>537</v>
      </c>
      <c r="I77" s="308" t="s">
        <v>573</v>
      </c>
      <c r="J77" s="306">
        <v>20</v>
      </c>
      <c r="K77" s="74" t="str">
        <f>VLOOKUP(J77,Ruimtegroepen[],2,FALSE)</f>
        <v>Niet in onderhoud</v>
      </c>
      <c r="L77" s="32" t="s">
        <v>110</v>
      </c>
      <c r="M77" s="293" t="s">
        <v>413</v>
      </c>
      <c r="N77" s="294"/>
      <c r="O77" s="295">
        <v>3.2</v>
      </c>
      <c r="P77" s="118" t="str">
        <f>LEFT(VLOOKUP(Ruimtestaat[[#This Row],[Ruimte code]],Ruimtegroepen[#All],4,1),2)</f>
        <v/>
      </c>
      <c r="Q77" s="107"/>
      <c r="R77" s="108"/>
      <c r="S77" s="109"/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IF($Z77&gt;0,VLOOKUP($J77,Ruimtegroepen[],3,FALSE)*VLOOKUP($L77,Vloersoorten[],3,FALSE)*VLOOKUP($Y77,Frequenties[],3,FALSE)*VLOOKUP($A73,Locaties[],3,FALSE),0)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Apeldoorn</v>
      </c>
      <c r="C78" s="27" t="str">
        <f>VLOOKUP(Ruimtestaat[[#This Row],[Code]],Locaties[#All],4,FALSE)</f>
        <v>Musschenbroekstraat 11</v>
      </c>
      <c r="D78" s="27" t="str">
        <f>VLOOKUP(Ruimtestaat[[#This Row],[Code]],Locaties[#All],5,FALSE)</f>
        <v>7316 JD</v>
      </c>
      <c r="E78" s="27" t="str">
        <f>VLOOKUP(Ruimtestaat[[#This Row],[Code]],Locaties[#All],6,FALSE)</f>
        <v>Apeldoorn</v>
      </c>
      <c r="F78" s="74"/>
      <c r="G78" s="32" t="s">
        <v>442</v>
      </c>
      <c r="H78" s="292" t="s">
        <v>538</v>
      </c>
      <c r="I78" s="293" t="s">
        <v>503</v>
      </c>
      <c r="J78" s="33">
        <v>20</v>
      </c>
      <c r="K78" s="74" t="str">
        <f>VLOOKUP(J78,Ruimtegroepen[],2,FALSE)</f>
        <v>Niet in onderhoud</v>
      </c>
      <c r="L78" s="32" t="s">
        <v>110</v>
      </c>
      <c r="M78" s="293" t="s">
        <v>413</v>
      </c>
      <c r="N78" s="294"/>
      <c r="O78" s="294">
        <v>6</v>
      </c>
      <c r="P78" s="118" t="str">
        <f>LEFT(VLOOKUP(Ruimtestaat[[#This Row],[Ruimte code]],Ruimtegroepen[#All],4,1),2)</f>
        <v/>
      </c>
      <c r="Q78" s="107"/>
      <c r="R78" s="108"/>
      <c r="S78" s="109"/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0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IF($Z78&gt;0,VLOOKUP($J78,Ruimtegroepen[],3,FALSE)*VLOOKUP($L78,Vloersoorten[],3,FALSE)*VLOOKUP($Y78,Frequenties[],3,FALSE)*VLOOKUP($A73,Locaties[],3,FALSE),0)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0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Apeldoorn</v>
      </c>
      <c r="C79" s="27" t="str">
        <f>VLOOKUP(Ruimtestaat[[#This Row],[Code]],Locaties[#All],4,FALSE)</f>
        <v>Musschenbroekstraat 11</v>
      </c>
      <c r="D79" s="27" t="str">
        <f>VLOOKUP(Ruimtestaat[[#This Row],[Code]],Locaties[#All],5,FALSE)</f>
        <v>7316 JD</v>
      </c>
      <c r="E79" s="27" t="str">
        <f>VLOOKUP(Ruimtestaat[[#This Row],[Code]],Locaties[#All],6,FALSE)</f>
        <v>Apeldoorn</v>
      </c>
      <c r="F79" s="74"/>
      <c r="G79" s="27"/>
      <c r="H79" s="35"/>
      <c r="I79" s="24"/>
      <c r="K79" s="74" t="e">
        <f>VLOOKUP(J79,Ruimtegroepen[],2,FALSE)</f>
        <v>#N/A</v>
      </c>
      <c r="M79" s="27"/>
      <c r="O79" s="107"/>
      <c r="P79" s="118" t="e">
        <f>LEFT(VLOOKUP(Ruimtestaat[[#This Row],[Ruimte code]],Ruimtegroepen[#All],4,1),2)</f>
        <v>#N/A</v>
      </c>
      <c r="Q79" s="107"/>
      <c r="R79" s="108"/>
      <c r="S79" s="109"/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IF($Z79&gt;0,VLOOKUP($J79,Ruimtegroepen[],3,FALSE)*VLOOKUP($L79,Vloersoorten[],3,FALSE)*VLOOKUP($Y79,Frequenties[],3,FALSE)*VLOOKUP($A74,Locaties[],3,FALSE),0)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</sheetData>
  <sortState xmlns:xlrd2="http://schemas.microsoft.com/office/spreadsheetml/2017/richdata2" ref="B7:T960">
    <sortCondition ref="B7:B960"/>
    <sortCondition ref="F7:F960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6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407" t="s">
        <v>165</v>
      </c>
      <c r="B1" s="407"/>
      <c r="C1" s="407"/>
      <c r="D1" s="407"/>
      <c r="E1" s="407"/>
      <c r="F1" s="407"/>
      <c r="G1" s="407"/>
      <c r="H1" s="407"/>
    </row>
    <row r="2" spans="1:9" s="7" customFormat="1" ht="15" customHeight="1">
      <c r="A2" s="417" t="s">
        <v>217</v>
      </c>
      <c r="B2" s="389"/>
      <c r="C2" s="389"/>
      <c r="D2" s="389"/>
      <c r="E2" s="389"/>
      <c r="F2" s="389"/>
      <c r="G2" s="389"/>
      <c r="H2" s="389"/>
    </row>
    <row r="3" spans="1:9" ht="15" customHeight="1">
      <c r="B3" s="33"/>
      <c r="C3" s="4"/>
    </row>
    <row r="4" spans="1:9" ht="15" customHeight="1">
      <c r="A4" s="4" t="s">
        <v>252</v>
      </c>
      <c r="B4" s="28"/>
      <c r="C4" s="28"/>
      <c r="D4" s="28"/>
      <c r="E4" s="28"/>
      <c r="F4" s="187"/>
      <c r="G4" s="29"/>
    </row>
    <row r="5" spans="1:9" ht="15" customHeight="1">
      <c r="A5" s="4" t="s">
        <v>242</v>
      </c>
      <c r="B5" s="28"/>
      <c r="C5" s="28"/>
      <c r="D5" s="28"/>
      <c r="E5" s="28"/>
      <c r="F5" s="187"/>
      <c r="G5" s="29"/>
    </row>
    <row r="6" spans="1:9" ht="15" customHeight="1">
      <c r="A6" s="4" t="s">
        <v>234</v>
      </c>
      <c r="B6" s="35"/>
      <c r="C6" s="36"/>
      <c r="D6" s="36"/>
      <c r="E6" s="36"/>
      <c r="F6" s="188"/>
    </row>
    <row r="7" spans="1:9" ht="15" customHeight="1">
      <c r="A7" s="24"/>
      <c r="B7" s="35"/>
      <c r="C7" s="35"/>
      <c r="D7" s="26"/>
      <c r="E7" s="26"/>
      <c r="F7" s="189"/>
      <c r="G7" s="36"/>
    </row>
    <row r="8" spans="1:9" s="31" customFormat="1" ht="26.25" customHeight="1">
      <c r="A8" s="54" t="s">
        <v>215</v>
      </c>
      <c r="B8" s="55" t="s">
        <v>153</v>
      </c>
      <c r="C8" s="56" t="s">
        <v>152</v>
      </c>
      <c r="D8" s="54" t="s">
        <v>399</v>
      </c>
      <c r="E8" s="231" t="s">
        <v>248</v>
      </c>
      <c r="F8" s="231" t="s">
        <v>250</v>
      </c>
      <c r="G8" s="231" t="s">
        <v>249</v>
      </c>
      <c r="H8" s="231" t="s">
        <v>247</v>
      </c>
      <c r="I8" s="231" t="s">
        <v>260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32" t="e">
        <f>InvulVloer[[#This Row],[Prijs]]*Tariefsopbouw!$I$37+InvulVloer[[#This Row],[Prijs]]</f>
        <v>#DIV/0!</v>
      </c>
      <c r="F9" s="233" t="e">
        <f>InvulVloer[[#This Row],[2024]]*Tariefsopbouw!$K$37+InvulVloer[[#This Row],[2024]]</f>
        <v>#DIV/0!</v>
      </c>
      <c r="G9" s="233" t="e">
        <f>InvulVloer[[#This Row],[2025]]*Tariefsopbouw!$M$37+InvulVloer[[#This Row],[2025]]</f>
        <v>#DIV/0!</v>
      </c>
      <c r="H9" s="233" t="e">
        <f>InvulVloer[[#This Row],[2026]]*Tariefsopbouw!$O$37+InvulVloer[[#This Row],[2026]]</f>
        <v>#DIV/0!</v>
      </c>
      <c r="I9" s="233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414</v>
      </c>
      <c r="C10" s="59">
        <v>0</v>
      </c>
      <c r="D10" s="65" t="s">
        <v>155</v>
      </c>
      <c r="E10" s="232" t="e">
        <f>InvulVloer[[#This Row],[Prijs]]*Tariefsopbouw!$I$37+InvulVloer[[#This Row],[Prijs]]</f>
        <v>#DIV/0!</v>
      </c>
      <c r="F10" s="234" t="e">
        <f>InvulVloer[[#This Row],[2024]]*Tariefsopbouw!$K$37+InvulVloer[[#This Row],[2024]]</f>
        <v>#DIV/0!</v>
      </c>
      <c r="G10" s="234" t="e">
        <f>InvulVloer[[#This Row],[2025]]*Tariefsopbouw!$M$37+InvulVloer[[#This Row],[2025]]</f>
        <v>#DIV/0!</v>
      </c>
      <c r="H10" s="234" t="e">
        <f>InvulVloer[[#This Row],[2026]]*Tariefsopbouw!$O$37+InvulVloer[[#This Row],[2026]]</f>
        <v>#DIV/0!</v>
      </c>
      <c r="I10" s="234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32" t="e">
        <f>InvulVloer[[#This Row],[Prijs]]*Tariefsopbouw!$I$37+InvulVloer[[#This Row],[Prijs]]</f>
        <v>#DIV/0!</v>
      </c>
      <c r="F11" s="235" t="e">
        <f>InvulVloer[[#This Row],[2024]]*Tariefsopbouw!$K$37+InvulVloer[[#This Row],[2024]]</f>
        <v>#DIV/0!</v>
      </c>
      <c r="G11" s="235" t="e">
        <f>InvulVloer[[#This Row],[2025]]*Tariefsopbouw!$M$37+InvulVloer[[#This Row],[2025]]</f>
        <v>#DIV/0!</v>
      </c>
      <c r="H11" s="235" t="e">
        <f>InvulVloer[[#This Row],[2026]]*Tariefsopbouw!$O$37+InvulVloer[[#This Row],[2026]]</f>
        <v>#DIV/0!</v>
      </c>
      <c r="I11" s="235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32" t="e">
        <f>InvulVloer[[#This Row],[Prijs]]*Tariefsopbouw!$I$37+InvulVloer[[#This Row],[Prijs]]</f>
        <v>#DIV/0!</v>
      </c>
      <c r="F12" s="234" t="e">
        <f>InvulVloer[[#This Row],[2024]]*Tariefsopbouw!$K$37+InvulVloer[[#This Row],[2024]]</f>
        <v>#DIV/0!</v>
      </c>
      <c r="G12" s="234" t="e">
        <f>InvulVloer[[#This Row],[2025]]*Tariefsopbouw!$M$37+InvulVloer[[#This Row],[2025]]</f>
        <v>#DIV/0!</v>
      </c>
      <c r="H12" s="234" t="e">
        <f>InvulVloer[[#This Row],[2026]]*Tariefsopbouw!$O$37+InvulVloer[[#This Row],[2026]]</f>
        <v>#DIV/0!</v>
      </c>
      <c r="I12" s="234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32" t="e">
        <f>InvulVloer[[#This Row],[Prijs]]*Tariefsopbouw!$I$37+InvulVloer[[#This Row],[Prijs]]</f>
        <v>#DIV/0!</v>
      </c>
      <c r="F13" s="235" t="e">
        <f>InvulVloer[[#This Row],[2024]]*Tariefsopbouw!$K$37+InvulVloer[[#This Row],[2024]]</f>
        <v>#DIV/0!</v>
      </c>
      <c r="G13" s="235" t="e">
        <f>InvulVloer[[#This Row],[2025]]*Tariefsopbouw!$M$37+InvulVloer[[#This Row],[2025]]</f>
        <v>#DIV/0!</v>
      </c>
      <c r="H13" s="235" t="e">
        <f>InvulVloer[[#This Row],[2026]]*Tariefsopbouw!$O$37+InvulVloer[[#This Row],[2026]]</f>
        <v>#DIV/0!</v>
      </c>
      <c r="I13" s="235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32" t="e">
        <f>InvulVloer[[#This Row],[Prijs]]*Tariefsopbouw!$I$37+InvulVloer[[#This Row],[Prijs]]</f>
        <v>#DIV/0!</v>
      </c>
      <c r="F14" s="234" t="e">
        <f>InvulVloer[[#This Row],[2024]]*Tariefsopbouw!$K$37+InvulVloer[[#This Row],[2024]]</f>
        <v>#DIV/0!</v>
      </c>
      <c r="G14" s="234" t="e">
        <f>InvulVloer[[#This Row],[2025]]*Tariefsopbouw!$M$37+InvulVloer[[#This Row],[2025]]</f>
        <v>#DIV/0!</v>
      </c>
      <c r="H14" s="234" t="e">
        <f>InvulVloer[[#This Row],[2026]]*Tariefsopbouw!$O$37+InvulVloer[[#This Row],[2026]]</f>
        <v>#DIV/0!</v>
      </c>
      <c r="I14" s="234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32" t="e">
        <f>InvulVloer[[#This Row],[Prijs]]*Tariefsopbouw!$I$37+InvulVloer[[#This Row],[Prijs]]</f>
        <v>#DIV/0!</v>
      </c>
      <c r="F15" s="235" t="e">
        <f>InvulVloer[[#This Row],[2024]]*Tariefsopbouw!$K$37+InvulVloer[[#This Row],[2024]]</f>
        <v>#DIV/0!</v>
      </c>
      <c r="G15" s="235" t="e">
        <f>InvulVloer[[#This Row],[2025]]*Tariefsopbouw!$M$37+InvulVloer[[#This Row],[2025]]</f>
        <v>#DIV/0!</v>
      </c>
      <c r="H15" s="235" t="e">
        <f>InvulVloer[[#This Row],[2026]]*Tariefsopbouw!$O$37+InvulVloer[[#This Row],[2026]]</f>
        <v>#DIV/0!</v>
      </c>
      <c r="I15" s="235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32" t="e">
        <f>InvulVloer[[#This Row],[Prijs]]*Tariefsopbouw!$I$37+InvulVloer[[#This Row],[Prijs]]</f>
        <v>#DIV/0!</v>
      </c>
      <c r="F16" s="234" t="e">
        <f>InvulVloer[[#This Row],[2024]]*Tariefsopbouw!$K$37+InvulVloer[[#This Row],[2024]]</f>
        <v>#DIV/0!</v>
      </c>
      <c r="G16" s="234" t="e">
        <f>InvulVloer[[#This Row],[2025]]*Tariefsopbouw!$M$37+InvulVloer[[#This Row],[2025]]</f>
        <v>#DIV/0!</v>
      </c>
      <c r="H16" s="234" t="e">
        <f>InvulVloer[[#This Row],[2026]]*Tariefsopbouw!$O$37+InvulVloer[[#This Row],[2026]]</f>
        <v>#DIV/0!</v>
      </c>
      <c r="I16" s="234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36" t="e">
        <f>InvulVloer[[#This Row],[Prijs]]*Tariefsopbouw!$I$37+InvulVloer[[#This Row],[Prijs]]</f>
        <v>#DIV/0!</v>
      </c>
      <c r="F17" s="237" t="e">
        <f>InvulVloer[[#This Row],[2024]]*Tariefsopbouw!$K$37+InvulVloer[[#This Row],[2024]]</f>
        <v>#DIV/0!</v>
      </c>
      <c r="G17" s="236" t="e">
        <f>InvulVloer[[#This Row],[2025]]*Tariefsopbouw!$M$37+InvulVloer[[#This Row],[2025]]</f>
        <v>#DIV/0!</v>
      </c>
      <c r="H17" s="236" t="e">
        <f>InvulVloer[[#This Row],[2026]]*Tariefsopbouw!$O$37+InvulVloer[[#This Row],[2026]]</f>
        <v>#DIV/0!</v>
      </c>
      <c r="I17" s="236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9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214</v>
      </c>
      <c r="B20" s="55" t="s">
        <v>149</v>
      </c>
      <c r="C20" s="54" t="s">
        <v>215</v>
      </c>
      <c r="D20" s="66" t="s">
        <v>153</v>
      </c>
      <c r="E20" s="66" t="s">
        <v>158</v>
      </c>
      <c r="F20" s="190" t="s">
        <v>159</v>
      </c>
      <c r="G20" s="66" t="s">
        <v>163</v>
      </c>
      <c r="H20" s="67" t="s">
        <v>150</v>
      </c>
    </row>
    <row r="21" spans="1:9" ht="15" customHeight="1">
      <c r="A21" s="238">
        <v>1</v>
      </c>
      <c r="B21" s="184" t="str">
        <f>VLOOKUP(OverzichtVloer[[#This Row],[Code Locatie]],Locaties[],2,0)</f>
        <v>Hoornbeeck College Apeldoorn</v>
      </c>
      <c r="C21" s="238">
        <v>4</v>
      </c>
      <c r="D21" s="239" t="str">
        <f>IF(Vloeronderhoud!$C21&gt;0,VLOOKUP(Vloeronderhoud!$C21,$A$8:$B$17,2,FALSE),"")</f>
        <v>Tapijtreinigen, sproei-extractiemethode</v>
      </c>
      <c r="E21" s="194" t="s">
        <v>110</v>
      </c>
      <c r="F21" s="192">
        <f>SUMIFS('Ruimtestaat'!$N:$N,'Ruimtestaat'!L:L,Vloeronderhoud!E21,'Ruimtestaat'!A:A,Vloeronderhoud!A21)</f>
        <v>2586.3000000000002</v>
      </c>
      <c r="G21" s="257">
        <v>0.5</v>
      </c>
      <c r="H21" s="240">
        <f>VLOOKUP(OverzichtVloer[[#This Row],[Code Taak]],InvulVloer[],3,3)*F21*G21</f>
        <v>0</v>
      </c>
    </row>
    <row r="22" spans="1:9" ht="15.75" customHeight="1">
      <c r="A22" s="238">
        <v>1</v>
      </c>
      <c r="B22" s="184" t="str">
        <f>VLOOKUP(OverzichtVloer[[#This Row],[Code Locatie]],Locaties[],2,0)</f>
        <v>Hoornbeeck College Apeldoorn</v>
      </c>
      <c r="C22" s="238">
        <v>1</v>
      </c>
      <c r="D22" s="239" t="str">
        <f>IF(Vloeronderhoud!$C22&gt;0,VLOOKUP(Vloeronderhoud!$C22,$A$8:$B$17,2,FALSE),"")</f>
        <v>Sprayen/opblokken</v>
      </c>
      <c r="E22" s="194" t="s">
        <v>111</v>
      </c>
      <c r="F22" s="192">
        <f>SUMIFS('Ruimtestaat'!$N:$N,'Ruimtestaat'!L:L,Vloeronderhoud!E22,'Ruimtestaat'!A:A,Vloeronderhoud!A22)</f>
        <v>65.400000000000006</v>
      </c>
      <c r="G22" s="257">
        <v>1</v>
      </c>
      <c r="H22" s="240">
        <f>VLOOKUP(OverzichtVloer[[#This Row],[Code Taak]],InvulVloer[],3,3)*F22*G22</f>
        <v>0</v>
      </c>
    </row>
    <row r="23" spans="1:9" ht="15" customHeight="1">
      <c r="A23" s="238">
        <v>1</v>
      </c>
      <c r="B23" s="184" t="str">
        <f>VLOOKUP(OverzichtVloer[[#This Row],[Code Locatie]],Locaties[],2,0)</f>
        <v>Hoornbeeck College Apeldoorn</v>
      </c>
      <c r="C23" s="238">
        <v>2</v>
      </c>
      <c r="D23" s="239" t="str">
        <f>IF(Vloeronderhoud!$C23&gt;0,VLOOKUP(Vloeronderhoud!$C23,$A$8:$B$17,2,FALSE),"")</f>
        <v>Polymeren</v>
      </c>
      <c r="E23" s="194" t="s">
        <v>111</v>
      </c>
      <c r="F23" s="192">
        <f>SUMIFS('Ruimtestaat'!$N:$N,'Ruimtestaat'!L:L,Vloeronderhoud!E23,'Ruimtestaat'!A:A,Vloeronderhoud!A23)</f>
        <v>65.400000000000006</v>
      </c>
      <c r="G23" s="257">
        <v>1</v>
      </c>
      <c r="H23" s="240">
        <f>VLOOKUP(OverzichtVloer[[#This Row],[Code Taak]],InvulVloer[],3,3)*F23*G23</f>
        <v>0</v>
      </c>
    </row>
    <row r="24" spans="1:9" ht="15" customHeight="1">
      <c r="A24" s="238">
        <v>1</v>
      </c>
      <c r="B24" s="184" t="str">
        <f>VLOOKUP(OverzichtVloer[[#This Row],[Code Locatie]],Locaties[],2,0)</f>
        <v>Hoornbeeck College Apeldoorn</v>
      </c>
      <c r="C24" s="238">
        <v>3</v>
      </c>
      <c r="D24" s="239" t="str">
        <f>IF(Vloeronderhoud!$C24&gt;0,VLOOKUP(Vloeronderhoud!$C24,$A$8:$B$17,2,FALSE),"")</f>
        <v>Diepstrippen, sealen en conserveren</v>
      </c>
      <c r="E24" s="194" t="s">
        <v>111</v>
      </c>
      <c r="F24" s="192">
        <f>SUMIFS('Ruimtestaat'!$N:$N,'Ruimtestaat'!L:L,Vloeronderhoud!E24,'Ruimtestaat'!A:A,Vloeronderhoud!A24)</f>
        <v>65.400000000000006</v>
      </c>
      <c r="G24" s="194">
        <v>0.25</v>
      </c>
      <c r="H24" s="240">
        <f>VLOOKUP(OverzichtVloer[[#This Row],[Code Taak]],InvulVloer[],3,3)*F24*G24</f>
        <v>0</v>
      </c>
    </row>
    <row r="25" spans="1:9" ht="15" customHeight="1">
      <c r="A25" s="206"/>
      <c r="B25" s="207" t="s">
        <v>33</v>
      </c>
      <c r="C25" s="206"/>
      <c r="D25" s="208"/>
      <c r="E25" s="206"/>
      <c r="F25" s="209"/>
      <c r="G25" s="206"/>
      <c r="H25" s="210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1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sqref="A1:G1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11" customFormat="1" ht="26.25" customHeight="1">
      <c r="A1" s="388" t="s">
        <v>415</v>
      </c>
      <c r="B1" s="388"/>
      <c r="C1" s="388"/>
      <c r="D1" s="388"/>
      <c r="E1" s="388"/>
      <c r="F1" s="388"/>
      <c r="G1" s="388"/>
      <c r="H1" s="260"/>
    </row>
    <row r="2" spans="1:9" s="211" customFormat="1" ht="15" customHeight="1">
      <c r="A2" s="404" t="s">
        <v>217</v>
      </c>
      <c r="B2" s="405"/>
      <c r="C2" s="405"/>
      <c r="D2" s="405"/>
      <c r="E2" s="405"/>
      <c r="F2" s="405"/>
      <c r="G2" s="418"/>
    </row>
    <row r="3" spans="1:9" ht="15" customHeight="1">
      <c r="B3" s="33"/>
      <c r="D3" s="261"/>
      <c r="E3" s="262"/>
    </row>
    <row r="4" spans="1:9" ht="15" customHeight="1">
      <c r="A4" s="4" t="s">
        <v>178</v>
      </c>
      <c r="B4" s="33"/>
      <c r="D4" s="261"/>
      <c r="E4" s="261"/>
    </row>
    <row r="5" spans="1:9" ht="15" customHeight="1">
      <c r="A5" s="4" t="s">
        <v>242</v>
      </c>
      <c r="B5" s="33"/>
      <c r="D5" s="4"/>
    </row>
    <row r="6" spans="1:9" ht="15" customHeight="1">
      <c r="A6" s="4" t="s">
        <v>199</v>
      </c>
      <c r="B6" s="263"/>
      <c r="C6" s="263"/>
      <c r="D6" s="264"/>
      <c r="E6" s="264"/>
      <c r="F6" s="265"/>
      <c r="G6" s="265"/>
    </row>
    <row r="7" spans="1:9" ht="15" customHeight="1">
      <c r="A7" s="4"/>
      <c r="B7" s="263"/>
      <c r="C7" s="263"/>
      <c r="D7" s="264"/>
      <c r="E7" s="419" t="s">
        <v>253</v>
      </c>
      <c r="F7" s="419"/>
      <c r="G7" s="419"/>
      <c r="H7" s="419"/>
      <c r="I7" s="419"/>
    </row>
    <row r="8" spans="1:9" s="31" customFormat="1" ht="26.25" customHeight="1">
      <c r="A8" s="231" t="s">
        <v>416</v>
      </c>
      <c r="B8" s="266" t="s">
        <v>417</v>
      </c>
      <c r="C8" s="267" t="s">
        <v>176</v>
      </c>
      <c r="D8" s="231" t="s">
        <v>151</v>
      </c>
      <c r="E8" s="231" t="s">
        <v>248</v>
      </c>
      <c r="F8" s="231" t="s">
        <v>250</v>
      </c>
      <c r="G8" s="231" t="s">
        <v>249</v>
      </c>
      <c r="H8" s="231" t="s">
        <v>247</v>
      </c>
      <c r="I8" s="231" t="s">
        <v>260</v>
      </c>
    </row>
    <row r="9" spans="1:9" ht="15" customHeight="1">
      <c r="A9" s="268">
        <v>1</v>
      </c>
      <c r="B9" s="269" t="s">
        <v>418</v>
      </c>
      <c r="C9" s="270">
        <v>0</v>
      </c>
      <c r="D9" s="271" t="s">
        <v>419</v>
      </c>
      <c r="E9" s="232" t="e">
        <f>(InvulGlas[[#This Row],[Prijs excl. BTW]]*Tariefsopbouw!$I$37)+InvulGlas[[#This Row],[Prijs excl. BTW]]</f>
        <v>#DIV/0!</v>
      </c>
      <c r="F9" s="291" t="e">
        <f>E9*Tariefsopbouw!$K$37+Glasbewassing!E9</f>
        <v>#DIV/0!</v>
      </c>
      <c r="G9" s="232" t="e">
        <f>F9*Tariefsopbouw!$M$37+Glasbewassing!F9</f>
        <v>#DIV/0!</v>
      </c>
      <c r="H9" s="291" t="e">
        <f>G9*Tariefsopbouw!$O$37+Glasbewassing!G9</f>
        <v>#DIV/0!</v>
      </c>
      <c r="I9" s="232" t="e">
        <f>H9*Tariefsopbouw!$Q$37+Glasbewassing!H9</f>
        <v>#DIV/0!</v>
      </c>
    </row>
    <row r="10" spans="1:9" ht="15" customHeight="1">
      <c r="A10" s="268">
        <v>2</v>
      </c>
      <c r="B10" s="269" t="s">
        <v>420</v>
      </c>
      <c r="C10" s="270">
        <v>0</v>
      </c>
      <c r="D10" s="271" t="s">
        <v>419</v>
      </c>
      <c r="E10" s="232" t="e">
        <f>(InvulGlas[[#This Row],[Prijs excl. BTW]]*Tariefsopbouw!$I$37)+InvulGlas[[#This Row],[Prijs excl. BTW]]</f>
        <v>#DIV/0!</v>
      </c>
      <c r="F10" s="232" t="e">
        <f>E10*Tariefsopbouw!$K$37+Glasbewassing!E10</f>
        <v>#DIV/0!</v>
      </c>
      <c r="G10" s="232" t="e">
        <f>F10*Tariefsopbouw!$M$37+Glasbewassing!F10</f>
        <v>#DIV/0!</v>
      </c>
      <c r="H10" s="232" t="e">
        <f>G10*Tariefsopbouw!$O$37+Glasbewassing!G10</f>
        <v>#DIV/0!</v>
      </c>
      <c r="I10" s="232" t="e">
        <f>H10*Tariefsopbouw!$Q$37+Glasbewassing!H10</f>
        <v>#DIV/0!</v>
      </c>
    </row>
    <row r="11" spans="1:9" ht="15" customHeight="1">
      <c r="A11" s="268">
        <v>3</v>
      </c>
      <c r="B11" s="269" t="s">
        <v>421</v>
      </c>
      <c r="C11" s="270">
        <v>0</v>
      </c>
      <c r="D11" s="271" t="s">
        <v>419</v>
      </c>
      <c r="E11" s="232" t="e">
        <f>(InvulGlas[[#This Row],[Prijs excl. BTW]]*Tariefsopbouw!$I$37)+InvulGlas[[#This Row],[Prijs excl. BTW]]</f>
        <v>#DIV/0!</v>
      </c>
      <c r="F11" s="232" t="e">
        <f>E11*Tariefsopbouw!$K$37+Glasbewassing!E11</f>
        <v>#DIV/0!</v>
      </c>
      <c r="G11" s="232" t="e">
        <f>F11*Tariefsopbouw!$M$37+Glasbewassing!F11</f>
        <v>#DIV/0!</v>
      </c>
      <c r="H11" s="232" t="e">
        <f>G11*Tariefsopbouw!$O$37+Glasbewassing!G11</f>
        <v>#DIV/0!</v>
      </c>
      <c r="I11" s="232" t="e">
        <f>H11*Tariefsopbouw!$Q$37+Glasbewassing!H11</f>
        <v>#DIV/0!</v>
      </c>
    </row>
    <row r="12" spans="1:9" ht="15" customHeight="1">
      <c r="A12" s="268">
        <v>4</v>
      </c>
      <c r="B12" s="269" t="s">
        <v>422</v>
      </c>
      <c r="C12" s="270">
        <v>0</v>
      </c>
      <c r="D12" s="271" t="s">
        <v>419</v>
      </c>
      <c r="E12" s="232" t="e">
        <f>(InvulGlas[[#This Row],[Prijs excl. BTW]]*Tariefsopbouw!$I$37)+InvulGlas[[#This Row],[Prijs excl. BTW]]</f>
        <v>#DIV/0!</v>
      </c>
      <c r="F12" s="232" t="e">
        <f>E12*Tariefsopbouw!$K$37+Glasbewassing!E12</f>
        <v>#DIV/0!</v>
      </c>
      <c r="G12" s="232" t="e">
        <f>F12*Tariefsopbouw!$M$37+Glasbewassing!F12</f>
        <v>#DIV/0!</v>
      </c>
      <c r="H12" s="232" t="e">
        <f>G12*Tariefsopbouw!$O$37+Glasbewassing!G12</f>
        <v>#DIV/0!</v>
      </c>
      <c r="I12" s="232" t="e">
        <f>H12*Tariefsopbouw!$Q$37+Glasbewassing!H12</f>
        <v>#DIV/0!</v>
      </c>
    </row>
    <row r="13" spans="1:9" ht="15" customHeight="1">
      <c r="A13" s="268">
        <v>5</v>
      </c>
      <c r="B13" s="269" t="s">
        <v>423</v>
      </c>
      <c r="C13" s="270">
        <v>0</v>
      </c>
      <c r="D13" s="271" t="s">
        <v>419</v>
      </c>
      <c r="E13" s="232" t="e">
        <f>(InvulGlas[[#This Row],[Prijs excl. BTW]]*Tariefsopbouw!$I$37)+InvulGlas[[#This Row],[Prijs excl. BTW]]</f>
        <v>#DIV/0!</v>
      </c>
      <c r="F13" s="232" t="e">
        <f>E13*Tariefsopbouw!$K$37+Glasbewassing!E13</f>
        <v>#DIV/0!</v>
      </c>
      <c r="G13" s="232" t="e">
        <f>F13*Tariefsopbouw!$M$37+Glasbewassing!F13</f>
        <v>#DIV/0!</v>
      </c>
      <c r="H13" s="232" t="e">
        <f>G13*Tariefsopbouw!$O$37+Glasbewassing!G13</f>
        <v>#DIV/0!</v>
      </c>
      <c r="I13" s="232" t="e">
        <f>H13*Tariefsopbouw!$Q$37+Glasbewassing!H13</f>
        <v>#DIV/0!</v>
      </c>
    </row>
    <row r="14" spans="1:9" ht="15" customHeight="1">
      <c r="A14" s="268">
        <v>6</v>
      </c>
      <c r="B14" s="269" t="s">
        <v>424</v>
      </c>
      <c r="C14" s="270">
        <v>0</v>
      </c>
      <c r="D14" s="271" t="s">
        <v>419</v>
      </c>
      <c r="E14" s="232" t="e">
        <f>(InvulGlas[[#This Row],[Prijs excl. BTW]]*Tariefsopbouw!$I$37)+InvulGlas[[#This Row],[Prijs excl. BTW]]</f>
        <v>#DIV/0!</v>
      </c>
      <c r="F14" s="232" t="e">
        <f>E14*Tariefsopbouw!$K$37+Glasbewassing!E14</f>
        <v>#DIV/0!</v>
      </c>
      <c r="G14" s="232" t="e">
        <f>F14*Tariefsopbouw!$M$37+Glasbewassing!F14</f>
        <v>#DIV/0!</v>
      </c>
      <c r="H14" s="232" t="e">
        <f>G14*Tariefsopbouw!$O$37+Glasbewassing!G14</f>
        <v>#DIV/0!</v>
      </c>
      <c r="I14" s="232" t="e">
        <f>H14*Tariefsopbouw!$Q$37+Glasbewassing!H14</f>
        <v>#DIV/0!</v>
      </c>
    </row>
    <row r="15" spans="1:9" ht="15" customHeight="1">
      <c r="A15" s="268">
        <v>7</v>
      </c>
      <c r="B15" s="269" t="s">
        <v>425</v>
      </c>
      <c r="C15" s="270">
        <v>0</v>
      </c>
      <c r="D15" s="271" t="s">
        <v>419</v>
      </c>
      <c r="E15" s="232" t="e">
        <f>(InvulGlas[[#This Row],[Prijs excl. BTW]]*Tariefsopbouw!$I$37)+InvulGlas[[#This Row],[Prijs excl. BTW]]</f>
        <v>#DIV/0!</v>
      </c>
      <c r="F15" s="232" t="e">
        <f>E15*Tariefsopbouw!$K$37+Glasbewassing!E15</f>
        <v>#DIV/0!</v>
      </c>
      <c r="G15" s="232" t="e">
        <f>F15*Tariefsopbouw!$M$37+Glasbewassing!F15</f>
        <v>#DIV/0!</v>
      </c>
      <c r="H15" s="232" t="e">
        <f>G15*Tariefsopbouw!$O$37+Glasbewassing!G15</f>
        <v>#DIV/0!</v>
      </c>
      <c r="I15" s="232" t="e">
        <f>H15*Tariefsopbouw!$Q$37+Glasbewassing!H15</f>
        <v>#DIV/0!</v>
      </c>
    </row>
    <row r="16" spans="1:9" ht="15" customHeight="1">
      <c r="A16" s="268">
        <v>8</v>
      </c>
      <c r="B16" s="269" t="s">
        <v>426</v>
      </c>
      <c r="C16" s="270">
        <v>0</v>
      </c>
      <c r="D16" s="271" t="s">
        <v>419</v>
      </c>
      <c r="E16" s="232" t="e">
        <f>(InvulGlas[[#This Row],[Prijs excl. BTW]]*Tariefsopbouw!$I$37)+InvulGlas[[#This Row],[Prijs excl. BTW]]</f>
        <v>#DIV/0!</v>
      </c>
      <c r="F16" s="232" t="e">
        <f>E16*Tariefsopbouw!$K$37+Glasbewassing!E16</f>
        <v>#DIV/0!</v>
      </c>
      <c r="G16" s="232" t="e">
        <f>F16*Tariefsopbouw!$M$37+Glasbewassing!F16</f>
        <v>#DIV/0!</v>
      </c>
      <c r="H16" s="232" t="e">
        <f>G16*Tariefsopbouw!$O$37+Glasbewassing!G16</f>
        <v>#DIV/0!</v>
      </c>
      <c r="I16" s="232" t="e">
        <f>H16*Tariefsopbouw!$Q$37+Glasbewassing!H16</f>
        <v>#DIV/0!</v>
      </c>
    </row>
    <row r="17" spans="1:9" ht="15" customHeight="1">
      <c r="A17" s="268">
        <v>9</v>
      </c>
      <c r="B17" s="269" t="s">
        <v>437</v>
      </c>
      <c r="C17" s="270">
        <v>0</v>
      </c>
      <c r="D17" s="271" t="s">
        <v>42</v>
      </c>
      <c r="E17" s="232" t="e">
        <f>(InvulGlas[[#This Row],[Prijs excl. BTW]]*Tariefsopbouw!$I$37)+InvulGlas[[#This Row],[Prijs excl. BTW]]</f>
        <v>#DIV/0!</v>
      </c>
      <c r="F17" s="232" t="e">
        <f>E17*Tariefsopbouw!$K$37+Glasbewassing!E17</f>
        <v>#DIV/0!</v>
      </c>
      <c r="G17" s="232" t="e">
        <f>F17*Tariefsopbouw!$M$37+Glasbewassing!F17</f>
        <v>#DIV/0!</v>
      </c>
      <c r="H17" s="232" t="e">
        <f>G17*Tariefsopbouw!$O$37+Glasbewassing!G17</f>
        <v>#DIV/0!</v>
      </c>
      <c r="I17" s="232" t="e">
        <f>H17*Tariefsopbouw!$Q$37+Glasbewassing!H17</f>
        <v>#DIV/0!</v>
      </c>
    </row>
    <row r="18" spans="1:9" ht="15" customHeight="1">
      <c r="A18" s="268" t="s">
        <v>427</v>
      </c>
      <c r="B18" s="269" t="s">
        <v>428</v>
      </c>
      <c r="C18" s="270">
        <v>0</v>
      </c>
      <c r="D18" s="271" t="s">
        <v>47</v>
      </c>
      <c r="E18" s="232" t="e">
        <f>(InvulGlas[[#This Row],[Prijs excl. BTW]]*Tariefsopbouw!$I$37)+InvulGlas[[#This Row],[Prijs excl. BTW]]</f>
        <v>#DIV/0!</v>
      </c>
      <c r="F18" s="232" t="e">
        <f>E18*Tariefsopbouw!$K$37+Glasbewassing!E18</f>
        <v>#DIV/0!</v>
      </c>
      <c r="G18" s="232" t="e">
        <f>F18*Tariefsopbouw!$M$37+Glasbewassing!F18</f>
        <v>#DIV/0!</v>
      </c>
      <c r="H18" s="232" t="e">
        <f>G18*Tariefsopbouw!$O$37+Glasbewassing!G18</f>
        <v>#DIV/0!</v>
      </c>
      <c r="I18" s="232" t="e">
        <f>H18*Tariefsopbouw!$Q$37+Glasbewassing!H18</f>
        <v>#DIV/0!</v>
      </c>
    </row>
    <row r="19" spans="1:9" ht="15" customHeight="1">
      <c r="A19" s="268" t="s">
        <v>429</v>
      </c>
      <c r="B19" s="269" t="s">
        <v>430</v>
      </c>
      <c r="C19" s="270">
        <v>0</v>
      </c>
      <c r="D19" s="271" t="s">
        <v>47</v>
      </c>
      <c r="E19" s="232" t="e">
        <f>(InvulGlas[[#This Row],[Prijs excl. BTW]]*Tariefsopbouw!$I$37)+InvulGlas[[#This Row],[Prijs excl. BTW]]</f>
        <v>#DIV/0!</v>
      </c>
      <c r="F19" s="232" t="e">
        <f>E19*Tariefsopbouw!$K$37+Glasbewassing!E19</f>
        <v>#DIV/0!</v>
      </c>
      <c r="G19" s="232" t="e">
        <f>F19*Tariefsopbouw!$M$37+Glasbewassing!F19</f>
        <v>#DIV/0!</v>
      </c>
      <c r="H19" s="232" t="e">
        <f>G19*Tariefsopbouw!$O$37+Glasbewassing!G19</f>
        <v>#DIV/0!</v>
      </c>
      <c r="I19" s="232" t="e">
        <f>H19*Tariefsopbouw!$Q$37+Glasbewassing!H19</f>
        <v>#DIV/0!</v>
      </c>
    </row>
    <row r="20" spans="1:9" ht="15" customHeight="1">
      <c r="A20" s="268" t="s">
        <v>431</v>
      </c>
      <c r="B20" s="269" t="s">
        <v>432</v>
      </c>
      <c r="C20" s="270">
        <v>0</v>
      </c>
      <c r="D20" s="271" t="s">
        <v>47</v>
      </c>
      <c r="E20" s="232" t="e">
        <f>(InvulGlas[[#This Row],[Prijs excl. BTW]]*Tariefsopbouw!$I$37)+InvulGlas[[#This Row],[Prijs excl. BTW]]</f>
        <v>#DIV/0!</v>
      </c>
      <c r="F20" s="232" t="e">
        <f>E20*Tariefsopbouw!$K$37+Glasbewassing!E20</f>
        <v>#DIV/0!</v>
      </c>
      <c r="G20" s="232" t="e">
        <f>F20*Tariefsopbouw!$M$37+Glasbewassing!F20</f>
        <v>#DIV/0!</v>
      </c>
      <c r="H20" s="232" t="e">
        <f>G20*Tariefsopbouw!$O$37+Glasbewassing!G20</f>
        <v>#DIV/0!</v>
      </c>
      <c r="I20" s="232" t="e">
        <f>H20*Tariefsopbouw!$Q$37+Glasbewassing!H20</f>
        <v>#DIV/0!</v>
      </c>
    </row>
    <row r="21" spans="1:9" ht="15" customHeight="1">
      <c r="A21" s="268" t="s">
        <v>433</v>
      </c>
      <c r="B21" s="269" t="s">
        <v>434</v>
      </c>
      <c r="C21" s="270">
        <v>0</v>
      </c>
      <c r="D21" s="271" t="s">
        <v>47</v>
      </c>
      <c r="E21" s="272" t="e">
        <f>(InvulGlas[[#This Row],[Prijs excl. BTW]]*Tariefsopbouw!$I$37)+InvulGlas[[#This Row],[Prijs excl. BTW]]</f>
        <v>#DIV/0!</v>
      </c>
      <c r="F21" s="272" t="e">
        <f>E21*Tariefsopbouw!$K$37+Glasbewassing!E21</f>
        <v>#DIV/0!</v>
      </c>
      <c r="G21" s="272" t="e">
        <f>F21*Tariefsopbouw!$M$37+Glasbewassing!F21</f>
        <v>#DIV/0!</v>
      </c>
      <c r="H21" s="232" t="e">
        <f>G21*Tariefsopbouw!$O$37+Glasbewassing!G21</f>
        <v>#DIV/0!</v>
      </c>
      <c r="I21" s="272" t="e">
        <f>H21*Tariefsopbouw!$Q$37+Glasbewassing!H21</f>
        <v>#DIV/0!</v>
      </c>
    </row>
    <row r="22" spans="1:9" ht="15" customHeight="1">
      <c r="C22" s="28"/>
      <c r="D22" s="28"/>
    </row>
    <row r="23" spans="1:9" s="278" customFormat="1" ht="26.25" customHeight="1">
      <c r="A23" s="273" t="s">
        <v>214</v>
      </c>
      <c r="B23" s="273" t="s">
        <v>149</v>
      </c>
      <c r="C23" s="273" t="s">
        <v>416</v>
      </c>
      <c r="D23" s="274" t="s">
        <v>417</v>
      </c>
      <c r="E23" s="274" t="s">
        <v>556</v>
      </c>
      <c r="F23" s="274" t="s">
        <v>435</v>
      </c>
      <c r="G23" s="275" t="s">
        <v>150</v>
      </c>
      <c r="H23" s="276" t="s">
        <v>436</v>
      </c>
      <c r="I23" s="277" t="s">
        <v>174</v>
      </c>
    </row>
    <row r="24" spans="1:9" ht="15" customHeight="1">
      <c r="A24" s="268">
        <v>1</v>
      </c>
      <c r="B24" s="279" t="str">
        <f>VLOOKUP(OverzichtGlas[[#This Row],[Code Locatie]],Totalisatie!$A$6:$B$10,2,FALSE)</f>
        <v>Hoornbeeck College Apeldoorn</v>
      </c>
      <c r="C24" s="268">
        <v>1</v>
      </c>
      <c r="D24" s="280" t="str">
        <f>IF(Glasbewassing!$C24&gt;0,VLOOKUP(Glasbewassing!$C24,$A$8:$B$21,2,FALSE),"Hier vult u de inzet van eventuele hoogwerkers in")</f>
        <v>Gevelglas binnenzijde</v>
      </c>
      <c r="E24" s="306">
        <v>1078</v>
      </c>
      <c r="F24" s="282">
        <v>2</v>
      </c>
      <c r="G24" s="283">
        <f>IF(C24&gt;0,VLOOKUP(OverzichtGlas[[#This Row],[Code taak]],InvulGlas[],3,0)*E24*F24,0)</f>
        <v>0</v>
      </c>
      <c r="H24" s="283">
        <f>OverzichtGlas[[#This Row],[Kosten/jaar excl. BTW]]*1.21</f>
        <v>0</v>
      </c>
      <c r="I24" s="268"/>
    </row>
    <row r="25" spans="1:9" ht="15" customHeight="1">
      <c r="A25" s="268">
        <v>1</v>
      </c>
      <c r="B25" s="279" t="str">
        <f>VLOOKUP(OverzichtGlas[[#This Row],[Code Locatie]],Totalisatie!$A$6:$B$10,2,FALSE)</f>
        <v>Hoornbeeck College Apeldoorn</v>
      </c>
      <c r="C25" s="268">
        <v>2</v>
      </c>
      <c r="D25" s="280" t="str">
        <f>IF(Glasbewassing!$C25&gt;0,VLOOKUP(Glasbewassing!$C25,$A$8:$B$21,2,FALSE),"Hier vult u de inzet van eventuele hoogwerkers in")</f>
        <v>Gevelglas buitenzijde</v>
      </c>
      <c r="E25" s="306">
        <v>1078</v>
      </c>
      <c r="F25" s="282">
        <v>2</v>
      </c>
      <c r="G25" s="283">
        <f>IF(C25&gt;0,VLOOKUP(OverzichtGlas[[#This Row],[Code taak]],InvulGlas[],3,0)*E25*F25,0)</f>
        <v>0</v>
      </c>
      <c r="H25" s="283">
        <f>OverzichtGlas[[#This Row],[Kosten/jaar excl. BTW]]*1.21</f>
        <v>0</v>
      </c>
      <c r="I25" s="268"/>
    </row>
    <row r="26" spans="1:9" ht="15" customHeight="1">
      <c r="A26" s="268">
        <v>1</v>
      </c>
      <c r="B26" s="279" t="str">
        <f>VLOOKUP(OverzichtGlas[[#This Row],[Code Locatie]],Totalisatie!$A$6:$B$10,2,FALSE)</f>
        <v>Hoornbeeck College Apeldoorn</v>
      </c>
      <c r="C26" s="268">
        <v>3</v>
      </c>
      <c r="D26" s="280" t="str">
        <f>IF(Glasbewassing!$C26&gt;0,VLOOKUP(Glasbewassing!$C26,$A$8:$B$21,2,FALSE),"Hier vult u de inzet van eventuele hoogwerkers in")</f>
        <v>Separatieglas (enkel gemeten, dubbel te wassen)</v>
      </c>
      <c r="E26" s="306">
        <v>232</v>
      </c>
      <c r="F26" s="282">
        <v>2</v>
      </c>
      <c r="G26" s="283">
        <f>IF(C26&gt;0,VLOOKUP(OverzichtGlas[[#This Row],[Code taak]],InvulGlas[],3,0)*E26*F26,0)</f>
        <v>0</v>
      </c>
      <c r="H26" s="283">
        <f>OverzichtGlas[[#This Row],[Kosten/jaar excl. BTW]]*1.21</f>
        <v>0</v>
      </c>
      <c r="I26" s="268"/>
    </row>
    <row r="27" spans="1:9" ht="15" customHeight="1">
      <c r="A27" s="268">
        <v>1</v>
      </c>
      <c r="B27" s="279" t="str">
        <f>VLOOKUP(OverzichtGlas[[#This Row],[Code Locatie]],Totalisatie!$A$6:$B$10,2,FALSE)</f>
        <v>Hoornbeeck College Apeldoorn</v>
      </c>
      <c r="C27" s="268">
        <v>9</v>
      </c>
      <c r="D27" s="264" t="str">
        <f>IF(Glasbewassing!$C27&gt;0,VLOOKUP(Glasbewassing!$C27,$A$8:$B$21,2,FALSE),"Hier vult u de inzet van eventuele hoogwerkers in")</f>
        <v>Zonnepanelen</v>
      </c>
      <c r="E27" s="306">
        <v>214</v>
      </c>
      <c r="F27" s="282">
        <v>1</v>
      </c>
      <c r="G27" s="283">
        <f>IF(C27&gt;0,VLOOKUP(OverzichtGlas[[#This Row],[Code taak]],InvulGlas[],3,0)*E27*F27,0)</f>
        <v>0</v>
      </c>
      <c r="H27" s="283">
        <f>OverzichtGlas[[#This Row],[Kosten/jaar excl. BTW]]*1.21</f>
        <v>0</v>
      </c>
      <c r="I27" s="268"/>
    </row>
    <row r="28" spans="1:9" ht="15" customHeight="1">
      <c r="A28" s="268">
        <v>1</v>
      </c>
      <c r="B28" s="279" t="str">
        <f>VLOOKUP(OverzichtGlas[[#This Row],[Code Locatie]],Totalisatie!$A$6:$B$10,2,FALSE)</f>
        <v>Hoornbeeck College Apeldoorn</v>
      </c>
      <c r="C28" s="284"/>
      <c r="D28" s="264" t="str">
        <f>IF(Glasbewassing!$C28&gt;0,VLOOKUP(Glasbewassing!$C28,$A$8:$B$21,2,FALSE),"Hier vult u de inzet van eventuele hoogwerkers in")</f>
        <v>Hier vult u de inzet van eventuele hoogwerkers in</v>
      </c>
      <c r="E28" s="281"/>
      <c r="F28" s="284"/>
      <c r="G28" s="283">
        <f>IF(C28&gt;0,VLOOKUP(OverzichtGlas[[#This Row],[Code taak]],InvulGlas[],3,0)*E28*F28,0)</f>
        <v>0</v>
      </c>
      <c r="H28" s="283">
        <f>OverzichtGlas[[#This Row],[Kosten/jaar excl. BTW]]*1.21</f>
        <v>0</v>
      </c>
      <c r="I28" s="268"/>
    </row>
    <row r="29" spans="1:9" ht="15" customHeight="1">
      <c r="A29" s="268">
        <v>1</v>
      </c>
      <c r="B29" s="279" t="str">
        <f>VLOOKUP(OverzichtGlas[[#This Row],[Code Locatie]],Totalisatie!$A$6:$B$10,2,FALSE)</f>
        <v>Hoornbeeck College Apeldoorn</v>
      </c>
      <c r="C29" s="284"/>
      <c r="D29" s="264" t="str">
        <f>IF(Glasbewassing!$C29&gt;0,VLOOKUP(Glasbewassing!$C29,$A$8:$B$21,2,FALSE),"Hier vult u de inzet van eventuele hoogwerkers in")</f>
        <v>Hier vult u de inzet van eventuele hoogwerkers in</v>
      </c>
      <c r="E29" s="281"/>
      <c r="F29" s="284"/>
      <c r="G29" s="283">
        <f>IF(C29&gt;0,VLOOKUP(OverzichtGlas[[#This Row],[Code taak]],InvulGlas[],3,0)*E29*F29,0)</f>
        <v>0</v>
      </c>
      <c r="H29" s="283">
        <f>OverzichtGlas[[#This Row],[Kosten/jaar excl. BTW]]*1.21</f>
        <v>0</v>
      </c>
      <c r="I29" s="268"/>
    </row>
    <row r="30" spans="1:9" ht="15" customHeight="1">
      <c r="A30" s="285" t="s">
        <v>33</v>
      </c>
      <c r="B30" s="286"/>
      <c r="C30" s="285"/>
      <c r="D30" s="287"/>
      <c r="E30" s="285"/>
      <c r="F30" s="285"/>
      <c r="G30" s="288">
        <f>SUBTOTAL(109,OverzichtGlas[Kosten/jaar excl. BTW])</f>
        <v>0</v>
      </c>
      <c r="H30" s="288">
        <f>SUBTOTAL(109,OverzichtGlas[Kosten/jaar incl. BTW])</f>
        <v>0</v>
      </c>
      <c r="I30" s="285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C811A586-B833-4474-8283-8D24AE28A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Willem Maassen van den Brink</cp:lastModifiedBy>
  <cp:lastPrinted>2018-06-11T07:01:37Z</cp:lastPrinted>
  <dcterms:created xsi:type="dcterms:W3CDTF">1999-03-23T11:24:21Z</dcterms:created>
  <dcterms:modified xsi:type="dcterms:W3CDTF">2022-08-22T15:36:17Z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