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iet/Desktop/HHNK Herziende/"/>
    </mc:Choice>
  </mc:AlternateContent>
  <xr:revisionPtr revIDLastSave="0" documentId="13_ncr:1_{3CBBA0C9-CC1C-8843-AC13-B2F0A6D46C05}" xr6:coauthVersionLast="45" xr6:coauthVersionMax="45" xr10:uidLastSave="{00000000-0000-0000-0000-000000000000}"/>
  <bookViews>
    <workbookView xWindow="4300" yWindow="460" windowWidth="46900" windowHeight="26820" tabRatio="896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a-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3a-Jaarkalender" sheetId="56" r:id="rId9"/>
    <sheet name="1.5-Opbouw uurtarieven" sheetId="55" r:id="rId10"/>
    <sheet name="1.6-Machine-investeringskosten" sheetId="10" r:id="rId11"/>
    <sheet name="1.8-Afroepprijs" sheetId="5" r:id="rId12"/>
    <sheet name="1.9-Glasbewassing" sheetId="3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1F" localSheetId="12" hidden="1">[1]Blad1!#REF!</definedName>
    <definedName name="_2F" localSheetId="8" hidden="1">[2]Blad1!#REF!</definedName>
    <definedName name="_2F" localSheetId="7" hidden="1">[1]Blad1!#REF!</definedName>
    <definedName name="_2F" localSheetId="9" hidden="1">[3]Blad1!#REF!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localSheetId="9" hidden="1">#REF!</definedName>
    <definedName name="_Dist_Bin" hidden="1">#REF!</definedName>
    <definedName name="_Dist_Values" localSheetId="9" hidden="1">#REF!</definedName>
    <definedName name="_Dist_Values" hidden="1">#REF!</definedName>
    <definedName name="_Fill" localSheetId="8" hidden="1">'[4]#REF'!#REF!</definedName>
    <definedName name="_Fill" localSheetId="7" hidden="1">'[5]#REF'!#REF!</definedName>
    <definedName name="_Fill" localSheetId="9" hidden="1">'[6]#REF'!#REF!</definedName>
    <definedName name="_Fill" localSheetId="12" hidden="1">'[5]#REF'!#REF!</definedName>
    <definedName name="_Fill" localSheetId="0" hidden="1">'[5]#REF'!#REF!</definedName>
    <definedName name="_Fill" hidden="1">'[5]#REF'!#REF!</definedName>
    <definedName name="_xlnm._FilterDatabase" localSheetId="3" hidden="1">'1.1a-Jaarprijzen'!$A$10:$N$125</definedName>
    <definedName name="_xlnm._FilterDatabase" localSheetId="4" hidden="1">'1.2-Kengetal'!$C$16:$Q$69</definedName>
    <definedName name="_xlnm._FilterDatabase" localSheetId="5" hidden="1">'1.3-Basis ruimtestaat'!$B$10:$AE$456</definedName>
    <definedName name="_xlnm._FilterDatabase" localSheetId="6" hidden="1">'1.3a-Mutaties'!$B$12:$AC$53</definedName>
    <definedName name="_xlnm._FilterDatabase" localSheetId="12" hidden="1">'1.9-Glasbewassing'!$A$16:$X$127</definedName>
    <definedName name="_Key1" localSheetId="8" hidden="1">'[4]#REF'!#REF!</definedName>
    <definedName name="_Key1" localSheetId="7" hidden="1">'[5]#REF'!#REF!</definedName>
    <definedName name="_Key1" localSheetId="9" hidden="1">'[6]#REF'!#REF!</definedName>
    <definedName name="_Key1" localSheetId="12" hidden="1">'[5]#REF'!#REF!</definedName>
    <definedName name="_Key1" hidden="1">'[5]#REF'!#REF!</definedName>
    <definedName name="_Key2" localSheetId="7" hidden="1">#REF!</definedName>
    <definedName name="_Key2" localSheetId="9" hidden="1">#REF!</definedName>
    <definedName name="_Key2" localSheetId="12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localSheetId="9" hidden="1">#REF!</definedName>
    <definedName name="_Sort" localSheetId="12" hidden="1">#REF!</definedName>
    <definedName name="_Sort" hidden="1">#REF!</definedName>
    <definedName name="_Table1_In1" localSheetId="9" hidden="1">#REF!</definedName>
    <definedName name="_Table1_In1" hidden="1">#REF!</definedName>
    <definedName name="_Table1_Out" hidden="1">#REF!</definedName>
    <definedName name="_xlnm.Print_Area" localSheetId="2">'1.0-Contractblad'!$C$10:$I$124</definedName>
    <definedName name="_xlnm.Print_Area" localSheetId="3">'1.1a-Jaarprijzen'!$B$11:$N$273</definedName>
    <definedName name="_xlnm.Print_Area" localSheetId="4">'1.2-Kengetal'!$B$2:$Q$121</definedName>
    <definedName name="_xlnm.Print_Area" localSheetId="5">'1.3-Basis ruimtestaat'!$F$10:$N$10</definedName>
    <definedName name="_xlnm.Print_Area" localSheetId="8">'1.3a-Jaarkalender'!$A$1:$Y$57</definedName>
    <definedName name="_xlnm.Print_Area" localSheetId="6">'1.3a-Mutaties'!$F$12:$N$12</definedName>
    <definedName name="_xlnm.Print_Area" localSheetId="9">'1.5-Opbouw uurtarieven'!$B$2:$U$76</definedName>
    <definedName name="_xlnm.Print_Area" localSheetId="10">'1.6-Machine-investeringskosten'!$B$2:$H$232</definedName>
    <definedName name="_xlnm.Print_Area" localSheetId="11">'1.8-Afroepprijs'!$A$14:$I$122</definedName>
    <definedName name="_xlnm.Print_Area" localSheetId="12">'1.9-Glasbewassing'!$A$2:$Q$132</definedName>
    <definedName name="_xlnm.Print_Area" localSheetId="0">'Toelichting Calculatiemodel'!$F$3:$L$76</definedName>
    <definedName name="_xlnm.Print_Area" localSheetId="1">Voorblad!$B$1:$I$69</definedName>
    <definedName name="_xlnm.Print_Titles" localSheetId="2">'1.0-Contractblad'!$1:$11</definedName>
    <definedName name="_xlnm.Print_Titles" localSheetId="3">'1.1a-Jaarprijzen'!$1:$10</definedName>
    <definedName name="_xlnm.Print_Titles" localSheetId="4">'1.2-Kengetal'!$14:$14</definedName>
    <definedName name="_xlnm.Print_Titles" localSheetId="5">'1.3-Basis ruimtestaat'!$E:$I,'1.3-Basis ruimtestaat'!$1:$10</definedName>
    <definedName name="_xlnm.Print_Titles" localSheetId="6">'1.3a-Mutaties'!$E:$I,'1.3a-Mutaties'!$1:$12</definedName>
    <definedName name="_xlnm.Print_Titles" localSheetId="10">'1.6-Machine-investeringskosten'!$B:$B,'1.6-Machine-investeringskosten'!$2:$8</definedName>
    <definedName name="_xlnm.Print_Titles" localSheetId="11">'1.8-Afroepprijs'!$4:$13</definedName>
    <definedName name="_xlnm.Print_Titles" localSheetId="12">'1.9-Glasbewassing'!$3:$10</definedName>
    <definedName name="Allelocaties" localSheetId="6">'1.3a-Mutaties'!$A:$V</definedName>
    <definedName name="Allelocaties">'1.3-Basis ruimtestaat'!$A:$V</definedName>
    <definedName name="AprSun1" localSheetId="8">DATE(CalendarYear,4,1)-WEEKDAY(DATE(CalendarYear,4,1))+1</definedName>
    <definedName name="AprSun1">DATE(TheYear,4,1)-WEEKDAY(DATE(TheYear,4,1))+1</definedName>
    <definedName name="AugSun1" localSheetId="8">DATE(CalendarYear,8,1)-WEEKDAY(DATE(CalendarYear,8,1))+1</definedName>
    <definedName name="AugSun1">DATE(TheYear,8,1)-WEEKDAY(DATE(TheYear,8,1))+1</definedName>
    <definedName name="BasisTarief" localSheetId="9">'1.5-Opbouw uurtarieven'!$K$17:$XFD$69</definedName>
    <definedName name="basistariefglas">'1.5-Opbouw uurtarieven'!$V$17:$Y$69</definedName>
    <definedName name="basistarieftoez">'1.5-Opbouw uurtarieven'!$P$17:$U$69</definedName>
    <definedName name="basistariefuit">'1.5-Opbouw uurtarieven'!$J$17:$O$69</definedName>
    <definedName name="CalendarYear">'1.3a-Jaarkalender'!$C$1</definedName>
    <definedName name="CatMedewschoonmaak" localSheetId="9">'1.5-Opbouw uurtarieven'!$F$17:$S$17</definedName>
    <definedName name="_xlnm.Database" localSheetId="6">'1.3a-Mutaties'!$D$12:$AB$53</definedName>
    <definedName name="_xlnm.Database">'1.3-Basis ruimtestaat'!$D$10:$AD$456</definedName>
    <definedName name="database2" localSheetId="6">'1.3a-Mutaties'!$C$12:$AB$53</definedName>
    <definedName name="database2">'1.3-Basis ruimtestaat'!$C$10:$AD$456</definedName>
    <definedName name="datamutaties" localSheetId="12">#REF!</definedName>
    <definedName name="DecSun1" localSheetId="8">DATE(CalendarYear,12,1)-WEEKDAY(DATE(CalendarYear,12,1))+1</definedName>
    <definedName name="DecSun1">DATE(TheYear,12,1)-WEEKDAY(DATE(TheYear,12,1))+1</definedName>
    <definedName name="element">'[7]1.2-Kengetallen'!$B$11:$B$61</definedName>
    <definedName name="FebSun1" localSheetId="8">DATE(CalendarYear,2,1)-WEEKDAY(DATE(CalendarYear,2,1))+1</definedName>
    <definedName name="FebSun1">DATE(TheYear,2,1)-WEEKDAY(DATE(TheYear,2,1))+1</definedName>
    <definedName name="han" localSheetId="8" hidden="1">'[4]#REF'!#REF!</definedName>
    <definedName name="han" localSheetId="9" hidden="1">'[6]#REF'!#REF!</definedName>
    <definedName name="han" localSheetId="12" hidden="1">'[5]#REF'!#REF!</definedName>
    <definedName name="han" hidden="1">'[5]#REF'!#REF!</definedName>
    <definedName name="HTML_CodePage" hidden="1">1252</definedName>
    <definedName name="HTML_Control" localSheetId="2" hidden="1">{"'ma_vr'!$A$1:$AA$42"}</definedName>
    <definedName name="HTML_Control" localSheetId="8" hidden="1">{"'ma_vr'!$A$1:$AA$42"}</definedName>
    <definedName name="HTML_Control" localSheetId="7" hidden="1">{"'ma_vr'!$A$1:$AA$42"}</definedName>
    <definedName name="HTML_Control" localSheetId="9" hidden="1">{"'ma_vr'!$A$1:$AA$42"}</definedName>
    <definedName name="HTML_Control" localSheetId="12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anSun1" localSheetId="8">DATE(CalendarYear,1,1)-WEEKDAY(DATE(CalendarYear,1,1))+1</definedName>
    <definedName name="JanSun1">DATE(TheYear,1,1)-WEEKDAY(DATE(TheYear,1,1))+1</definedName>
    <definedName name="JulSun1" localSheetId="8">DATE(CalendarYear,7,1)-WEEKDAY(DATE(CalendarYear,7,1))+1</definedName>
    <definedName name="JulSun1">DATE(TheYear,7,1)-WEEKDAY(DATE(TheYear,7,1))+1</definedName>
    <definedName name="JunSun1" localSheetId="8">DATE(CalendarYear,6,1)-WEEKDAY(DATE(CalendarYear,6,1))+1</definedName>
    <definedName name="JunSun1">DATE(TheYear,6,1)-WEEKDAY(DATE(TheYear,6,1))+1</definedName>
    <definedName name="kant_KENGETAL">'[7]1.2-Kengetallen'!$B$57:$J$82</definedName>
    <definedName name="Kengetal" localSheetId="7">'[8]1.2-Kengetal'!$C$10:$P$33</definedName>
    <definedName name="Kengetal" localSheetId="9">'[9]1.2-Kengetal'!$C$16:$X$93</definedName>
    <definedName name="Kengetal" localSheetId="12">'[10]1.2-Kengetal'!$C$10:$O$34</definedName>
    <definedName name="Kengetal">'1.2-Kengetal'!$C$16:$R$69</definedName>
    <definedName name="KENGETALPRODUCTIE" localSheetId="8">'[7]1.2-Kengetallen'!$B$12:$K$52</definedName>
    <definedName name="KENGETALPRODUCTIE">'[11]1.2-Tijdseenheid Productie'!$B$19:$H$260</definedName>
    <definedName name="LNGR" localSheetId="8">'[7]1.5 Opbouw uurtarieven'!$I$18:$U$18</definedName>
    <definedName name="LNGR">'[11]1.5 Opbouw uurtarieven'!$I$13:$T$13</definedName>
    <definedName name="LOCATIE" localSheetId="6">'1.3a-Mutaties'!$E:$T</definedName>
    <definedName name="LOCATIE">'1.3-Basis ruimtestaat'!$E:$T</definedName>
    <definedName name="Loongroepen" localSheetId="7">'[8]1.5 Opbouw uurtarieven'!$A$12:$A$46</definedName>
    <definedName name="Loongroepen" localSheetId="9">'1.5-Opbouw uurtarieven'!$A$17:$A$35</definedName>
    <definedName name="MarSun1" localSheetId="8">DATE(CalendarYear,3,1)-WEEKDAY(DATE(CalendarYear,3,1))+1</definedName>
    <definedName name="MarSun1">DATE(TheYear,3,1)-WEEKDAY(DATE(TheYear,3,1))+1</definedName>
    <definedName name="MaySun1" localSheetId="8">DATE(CalendarYear,5,1)-WEEKDAY(DATE(CalendarYear,5,1))+1</definedName>
    <definedName name="MaySun1">DATE(TheYear,5,1)-WEEKDAY(DATE(TheYear,5,1))+1</definedName>
    <definedName name="Meters" localSheetId="6">'1.3a-Mutaties'!$K:$K</definedName>
    <definedName name="Meters" localSheetId="7">'[8]1.3-Basis ruimtestaat'!$K:$K</definedName>
    <definedName name="Meters" localSheetId="12">'[10]1.3-Basis ruimtestaat'!$K:$K</definedName>
    <definedName name="Meters">'1.3-Basis ruimtestaat'!$K:$K</definedName>
    <definedName name="NovSun1" localSheetId="8">DATE(CalendarYear,11,1)-WEEKDAY(DATE(CalendarYear,11,1))+1</definedName>
    <definedName name="NovSun1">DATE(TheYear,11,1)-WEEKDAY(DATE(TheYear,11,1))+1</definedName>
    <definedName name="OctSun1" localSheetId="8">DATE(CalendarYear,10,1)-WEEKDAY(DATE(CalendarYear,10,1))+1</definedName>
    <definedName name="OctSun1">DATE(TheYear,10,1)-WEEKDAY(DATE(TheYear,10,1))+1</definedName>
    <definedName name="Perceel" localSheetId="6">'1.3a-Mutaties'!$F:$W</definedName>
    <definedName name="Perceel">'1.3-Basis ruimtestaat'!$F:$X</definedName>
    <definedName name="PERCEEL2" localSheetId="6">'1.3a-Mutaties'!$A:$W</definedName>
    <definedName name="PERCEEL2">'1.3-Basis ruimtestaat'!$A:$X</definedName>
    <definedName name="q" localSheetId="8" hidden="1">[2]Blad1!#REF!</definedName>
    <definedName name="q" localSheetId="9" hidden="1">[3]Blad1!#REF!</definedName>
    <definedName name="q" localSheetId="12" hidden="1">[1]Blad1!#REF!</definedName>
    <definedName name="q" hidden="1">[1]Blad1!#REF!</definedName>
    <definedName name="SepSun1" localSheetId="8">DATE(CalendarYear,9,1)-WEEKDAY(DATE(CalendarYear,9,1))+1</definedName>
    <definedName name="SepSun1">DATE(TheYear,11,1)-WEEKDAY(DATE(TheYear,11,1))+1</definedName>
    <definedName name="Tabel" localSheetId="9">'1.5-Opbouw uurtarieven'!$L$3:$M$5</definedName>
    <definedName name="TariefGLAS">'1.5-Opbouw uurtarieven'!$V$17:$Y$17</definedName>
    <definedName name="tariefschoonmaak" localSheetId="9">'1.5-Opbouw uurtarieven'!$J$17:$Y$17</definedName>
    <definedName name="tariefSMO">'1.5-Opbouw uurtarieven'!$J$17:$O$17</definedName>
    <definedName name="tariefTZ">'1.5-Opbouw uurtarieven'!$P$17:$U$17</definedName>
    <definedName name="tarievenglas">'1.5-Opbouw uurtarieven'!$V$17:$Y$69</definedName>
    <definedName name="Totaal" localSheetId="6">'1.3a-Mutaties'!$A$12:$V$12</definedName>
    <definedName name="Totaal">'1.3-Basis ruimtestaat'!$A$10:$V$10</definedName>
    <definedName name="Totaal2" localSheetId="6">'1.3a-Mutaties'!$E$12:$V$12</definedName>
    <definedName name="Totaal2" localSheetId="7">'[8]1.3-Basis ruimtestaat'!$E$10:$T$226</definedName>
    <definedName name="Totaal2" localSheetId="12">'[10]1.3-Basis ruimtestaat'!$E$10:$T$388</definedName>
    <definedName name="Totaal2">'1.3-Basis ruimtestaat'!$E$10:$V$10</definedName>
    <definedName name="UREMAVR" localSheetId="6">'1.3a-Mutaties'!$T$12:$T$12</definedName>
    <definedName name="UREMAVR" localSheetId="7">'[8]1.3-Basis ruimtestaat'!$R$10:$R$226</definedName>
    <definedName name="UREMAVR" localSheetId="12">'[10]1.3-Basis ruimtestaat'!$R$10:$R$388</definedName>
    <definedName name="UREMAVR">'1.3-Basis ruimtestaat'!$T$10:$T$10</definedName>
    <definedName name="URENEWEEKEND" localSheetId="6">'1.3a-Mutaties'!$V$12:$V$12</definedName>
    <definedName name="URENEWEEKEND" localSheetId="12">'[10]1.3-Basis ruimtestaat'!$T$10:$T$388</definedName>
    <definedName name="URENEWEEKEND">'1.3-Basis ruimtestaat'!$V$10:$V$10</definedName>
    <definedName name="URENNALOOP" localSheetId="6">'1.3a-Mutaties'!$U$12:$U$12</definedName>
    <definedName name="URENNALOOP" localSheetId="7">'[8]1.3-Basis ruimtestaat'!$S$10:$S$226</definedName>
    <definedName name="URENNALOOP" localSheetId="12">'[10]1.3-Basis ruimtestaat'!$S$10:$S$388</definedName>
    <definedName name="URENNALOOP">'1.3-Basis ruimtestaat'!$U$10:$U$10</definedName>
    <definedName name="vloerafwerking" localSheetId="9">'[9]1.2-Kengetal'!$G$95:$H$130</definedName>
    <definedName name="vloerafwerking">'1.2-Kengetal'!$L$71:$M$107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55" l="1"/>
  <c r="K28" i="55"/>
  <c r="K31" i="55"/>
  <c r="K33" i="55"/>
  <c r="K35" i="55"/>
  <c r="K37" i="55"/>
  <c r="L22" i="55"/>
  <c r="L28" i="55"/>
  <c r="L31" i="55"/>
  <c r="L33" i="55"/>
  <c r="L35" i="55"/>
  <c r="L37" i="55"/>
  <c r="K79" i="55"/>
  <c r="K80" i="55"/>
  <c r="K81" i="55"/>
  <c r="D42" i="55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E2" i="2"/>
  <c r="G3" i="2"/>
  <c r="G4" i="2"/>
  <c r="G5" i="2"/>
  <c r="G6" i="2"/>
  <c r="G7" i="2"/>
  <c r="G8" i="2"/>
  <c r="E28" i="28"/>
  <c r="H81" i="31"/>
  <c r="L20" i="35"/>
  <c r="M20" i="35"/>
  <c r="N20" i="35"/>
  <c r="L21" i="35"/>
  <c r="M21" i="35"/>
  <c r="N21" i="35"/>
  <c r="L22" i="35"/>
  <c r="M22" i="35"/>
  <c r="N22" i="35"/>
  <c r="L23" i="35"/>
  <c r="M23" i="35"/>
  <c r="N23" i="35"/>
  <c r="L24" i="35"/>
  <c r="M24" i="35"/>
  <c r="N24" i="35"/>
  <c r="L25" i="35"/>
  <c r="M25" i="35"/>
  <c r="N25" i="35"/>
  <c r="L26" i="35"/>
  <c r="M26" i="35"/>
  <c r="N26" i="35"/>
  <c r="L27" i="35"/>
  <c r="M27" i="35"/>
  <c r="N27" i="35"/>
  <c r="L28" i="35"/>
  <c r="M28" i="35"/>
  <c r="N28" i="35"/>
  <c r="L29" i="35"/>
  <c r="M29" i="35"/>
  <c r="N29" i="35"/>
  <c r="L30" i="35"/>
  <c r="M30" i="35"/>
  <c r="N30" i="35"/>
  <c r="L31" i="35"/>
  <c r="M31" i="35"/>
  <c r="N31" i="35"/>
  <c r="L32" i="35"/>
  <c r="M32" i="35"/>
  <c r="N32" i="35"/>
  <c r="L33" i="35"/>
  <c r="M33" i="35"/>
  <c r="N33" i="35"/>
  <c r="L34" i="35"/>
  <c r="M34" i="35"/>
  <c r="N34" i="35"/>
  <c r="L35" i="35"/>
  <c r="M35" i="35"/>
  <c r="N35" i="35"/>
  <c r="L36" i="35"/>
  <c r="M36" i="35"/>
  <c r="N36" i="35"/>
  <c r="L37" i="35"/>
  <c r="M37" i="35"/>
  <c r="N37" i="35"/>
  <c r="L38" i="35"/>
  <c r="M38" i="35"/>
  <c r="N38" i="35"/>
  <c r="L39" i="35"/>
  <c r="M39" i="35"/>
  <c r="N39" i="35"/>
  <c r="L40" i="35"/>
  <c r="M40" i="35"/>
  <c r="N40" i="35"/>
  <c r="L41" i="35"/>
  <c r="M41" i="35"/>
  <c r="N41" i="35"/>
  <c r="L42" i="35"/>
  <c r="M42" i="35"/>
  <c r="N42" i="35"/>
  <c r="L43" i="35"/>
  <c r="M43" i="35"/>
  <c r="N43" i="35"/>
  <c r="L44" i="35"/>
  <c r="M44" i="35"/>
  <c r="N44" i="35"/>
  <c r="L45" i="35"/>
  <c r="M45" i="35"/>
  <c r="N45" i="35"/>
  <c r="L46" i="35"/>
  <c r="M46" i="35"/>
  <c r="N46" i="35"/>
  <c r="L47" i="35"/>
  <c r="M47" i="35"/>
  <c r="N47" i="35"/>
  <c r="G94" i="31"/>
  <c r="G81" i="31"/>
  <c r="I81" i="31"/>
  <c r="H84" i="31"/>
  <c r="G84" i="31"/>
  <c r="I84" i="31"/>
  <c r="H87" i="31"/>
  <c r="G87" i="31"/>
  <c r="I87" i="31"/>
  <c r="H90" i="31"/>
  <c r="G90" i="31"/>
  <c r="I90" i="31"/>
  <c r="I94" i="31"/>
  <c r="H98" i="31"/>
  <c r="G98" i="31"/>
  <c r="I98" i="31"/>
  <c r="H101" i="31"/>
  <c r="G101" i="31"/>
  <c r="I101" i="31"/>
  <c r="I105" i="31"/>
  <c r="I107" i="31"/>
  <c r="K105" i="31"/>
  <c r="O41" i="35"/>
  <c r="P41" i="35"/>
  <c r="Q41" i="35"/>
  <c r="R41" i="35"/>
  <c r="X41" i="35"/>
  <c r="B138" i="35"/>
  <c r="B139" i="35"/>
  <c r="B140" i="35"/>
  <c r="B141" i="35"/>
  <c r="B142" i="35"/>
  <c r="B143" i="35"/>
  <c r="B144" i="35"/>
  <c r="B145" i="35"/>
  <c r="B146" i="35"/>
  <c r="B147" i="35"/>
  <c r="B148" i="35"/>
  <c r="B149" i="35"/>
  <c r="B150" i="35"/>
  <c r="B151" i="35"/>
  <c r="B152" i="35"/>
  <c r="B153" i="35"/>
  <c r="B154" i="35"/>
  <c r="B155" i="35"/>
  <c r="B156" i="35"/>
  <c r="B157" i="35"/>
  <c r="B158" i="35"/>
  <c r="B159" i="35"/>
  <c r="B160" i="35"/>
  <c r="B161" i="35"/>
  <c r="B162" i="35"/>
  <c r="B163" i="35"/>
  <c r="B164" i="35"/>
  <c r="B165" i="35"/>
  <c r="B166" i="35"/>
  <c r="B167" i="35"/>
  <c r="B168" i="35"/>
  <c r="X20" i="35"/>
  <c r="X21" i="35"/>
  <c r="X22" i="35"/>
  <c r="X23" i="35"/>
  <c r="X24" i="35"/>
  <c r="X25" i="35"/>
  <c r="X26" i="35"/>
  <c r="X27" i="35"/>
  <c r="X28" i="35"/>
  <c r="X29" i="35"/>
  <c r="X30" i="35"/>
  <c r="X31" i="35"/>
  <c r="X32" i="35"/>
  <c r="X33" i="35"/>
  <c r="X34" i="35"/>
  <c r="X35" i="35"/>
  <c r="X36" i="35"/>
  <c r="X37" i="35"/>
  <c r="X38" i="35"/>
  <c r="X39" i="35"/>
  <c r="X40" i="35"/>
  <c r="X42" i="35"/>
  <c r="X43" i="35"/>
  <c r="X44" i="35"/>
  <c r="X45" i="35"/>
  <c r="X46" i="35"/>
  <c r="X47" i="35"/>
  <c r="W20" i="35"/>
  <c r="W21" i="35"/>
  <c r="W22" i="35"/>
  <c r="W23" i="35"/>
  <c r="W24" i="35"/>
  <c r="W25" i="35"/>
  <c r="W26" i="35"/>
  <c r="W27" i="35"/>
  <c r="W28" i="35"/>
  <c r="W29" i="35"/>
  <c r="W30" i="35"/>
  <c r="W31" i="35"/>
  <c r="W32" i="35"/>
  <c r="W33" i="35"/>
  <c r="W34" i="35"/>
  <c r="W35" i="35"/>
  <c r="W36" i="35"/>
  <c r="W37" i="35"/>
  <c r="W38" i="35"/>
  <c r="W39" i="35"/>
  <c r="W40" i="35"/>
  <c r="W41" i="35"/>
  <c r="W42" i="35"/>
  <c r="W43" i="35"/>
  <c r="W44" i="35"/>
  <c r="W45" i="35"/>
  <c r="W46" i="35"/>
  <c r="W47" i="35"/>
  <c r="M133" i="28"/>
  <c r="X11" i="2"/>
  <c r="T11" i="2"/>
  <c r="Y11" i="2"/>
  <c r="U11" i="2"/>
  <c r="Z11" i="2"/>
  <c r="V11" i="2"/>
  <c r="X12" i="2"/>
  <c r="T12" i="2"/>
  <c r="Y12" i="2"/>
  <c r="U12" i="2"/>
  <c r="Z12" i="2"/>
  <c r="V12" i="2"/>
  <c r="X13" i="2"/>
  <c r="T13" i="2"/>
  <c r="Y13" i="2"/>
  <c r="U13" i="2"/>
  <c r="Z13" i="2"/>
  <c r="V13" i="2"/>
  <c r="X14" i="2"/>
  <c r="T14" i="2"/>
  <c r="Y14" i="2"/>
  <c r="U14" i="2"/>
  <c r="Z14" i="2"/>
  <c r="V14" i="2"/>
  <c r="X15" i="2"/>
  <c r="T15" i="2"/>
  <c r="Y15" i="2"/>
  <c r="U15" i="2"/>
  <c r="Z15" i="2"/>
  <c r="V15" i="2"/>
  <c r="X16" i="2"/>
  <c r="T16" i="2"/>
  <c r="Y16" i="2"/>
  <c r="U16" i="2"/>
  <c r="Z16" i="2"/>
  <c r="V16" i="2"/>
  <c r="X17" i="2"/>
  <c r="T17" i="2"/>
  <c r="Y17" i="2"/>
  <c r="U17" i="2"/>
  <c r="Z17" i="2"/>
  <c r="V17" i="2"/>
  <c r="X18" i="2"/>
  <c r="T18" i="2"/>
  <c r="Y18" i="2"/>
  <c r="U18" i="2"/>
  <c r="Z18" i="2"/>
  <c r="V18" i="2"/>
  <c r="X19" i="2"/>
  <c r="T19" i="2"/>
  <c r="Y19" i="2"/>
  <c r="U19" i="2"/>
  <c r="Z19" i="2"/>
  <c r="V19" i="2"/>
  <c r="X20" i="2"/>
  <c r="T20" i="2"/>
  <c r="Y20" i="2"/>
  <c r="U20" i="2"/>
  <c r="Z20" i="2"/>
  <c r="V20" i="2"/>
  <c r="X21" i="2"/>
  <c r="T21" i="2"/>
  <c r="Y21" i="2"/>
  <c r="U21" i="2"/>
  <c r="Z21" i="2"/>
  <c r="V21" i="2"/>
  <c r="X22" i="2"/>
  <c r="T22" i="2"/>
  <c r="Y22" i="2"/>
  <c r="U22" i="2"/>
  <c r="Z22" i="2"/>
  <c r="V22" i="2"/>
  <c r="X23" i="2"/>
  <c r="T23" i="2"/>
  <c r="Y23" i="2"/>
  <c r="U23" i="2"/>
  <c r="Z23" i="2"/>
  <c r="V23" i="2"/>
  <c r="X24" i="2"/>
  <c r="T24" i="2"/>
  <c r="Y24" i="2"/>
  <c r="U24" i="2"/>
  <c r="Z24" i="2"/>
  <c r="V24" i="2"/>
  <c r="X25" i="2"/>
  <c r="T25" i="2"/>
  <c r="Y25" i="2"/>
  <c r="U25" i="2"/>
  <c r="Z25" i="2"/>
  <c r="V25" i="2"/>
  <c r="X26" i="2"/>
  <c r="T26" i="2"/>
  <c r="Y26" i="2"/>
  <c r="U26" i="2"/>
  <c r="Z26" i="2"/>
  <c r="V26" i="2"/>
  <c r="X27" i="2"/>
  <c r="T27" i="2"/>
  <c r="Y27" i="2"/>
  <c r="U27" i="2"/>
  <c r="Z27" i="2"/>
  <c r="V27" i="2"/>
  <c r="X28" i="2"/>
  <c r="T28" i="2"/>
  <c r="Y28" i="2"/>
  <c r="U28" i="2"/>
  <c r="Z28" i="2"/>
  <c r="V28" i="2"/>
  <c r="X29" i="2"/>
  <c r="T29" i="2"/>
  <c r="Y29" i="2"/>
  <c r="U29" i="2"/>
  <c r="Z29" i="2"/>
  <c r="V29" i="2"/>
  <c r="X30" i="2"/>
  <c r="T30" i="2"/>
  <c r="Y30" i="2"/>
  <c r="U30" i="2"/>
  <c r="Z30" i="2"/>
  <c r="V30" i="2"/>
  <c r="X31" i="2"/>
  <c r="T31" i="2"/>
  <c r="Y31" i="2"/>
  <c r="U31" i="2"/>
  <c r="Z31" i="2"/>
  <c r="V31" i="2"/>
  <c r="X32" i="2"/>
  <c r="T32" i="2"/>
  <c r="Y32" i="2"/>
  <c r="U32" i="2"/>
  <c r="Z32" i="2"/>
  <c r="V32" i="2"/>
  <c r="X33" i="2"/>
  <c r="T33" i="2"/>
  <c r="Y33" i="2"/>
  <c r="U33" i="2"/>
  <c r="Z33" i="2"/>
  <c r="V33" i="2"/>
  <c r="X34" i="2"/>
  <c r="T34" i="2"/>
  <c r="Y34" i="2"/>
  <c r="U34" i="2"/>
  <c r="Z34" i="2"/>
  <c r="V34" i="2"/>
  <c r="X35" i="2"/>
  <c r="T35" i="2"/>
  <c r="Y35" i="2"/>
  <c r="U35" i="2"/>
  <c r="Z35" i="2"/>
  <c r="V35" i="2"/>
  <c r="X36" i="2"/>
  <c r="T36" i="2"/>
  <c r="Y36" i="2"/>
  <c r="U36" i="2"/>
  <c r="Z36" i="2"/>
  <c r="V36" i="2"/>
  <c r="X37" i="2"/>
  <c r="T37" i="2"/>
  <c r="Y37" i="2"/>
  <c r="U37" i="2"/>
  <c r="Z37" i="2"/>
  <c r="V37" i="2"/>
  <c r="X38" i="2"/>
  <c r="T38" i="2"/>
  <c r="Y38" i="2"/>
  <c r="U38" i="2"/>
  <c r="Z38" i="2"/>
  <c r="V38" i="2"/>
  <c r="X39" i="2"/>
  <c r="T39" i="2"/>
  <c r="Y39" i="2"/>
  <c r="U39" i="2"/>
  <c r="Z39" i="2"/>
  <c r="V39" i="2"/>
  <c r="X40" i="2"/>
  <c r="T40" i="2"/>
  <c r="Y40" i="2"/>
  <c r="U40" i="2"/>
  <c r="Z40" i="2"/>
  <c r="V40" i="2"/>
  <c r="X41" i="2"/>
  <c r="T41" i="2"/>
  <c r="Y41" i="2"/>
  <c r="U41" i="2"/>
  <c r="Z41" i="2"/>
  <c r="V41" i="2"/>
  <c r="X42" i="2"/>
  <c r="T42" i="2"/>
  <c r="Y42" i="2"/>
  <c r="U42" i="2"/>
  <c r="Z42" i="2"/>
  <c r="V42" i="2"/>
  <c r="X43" i="2"/>
  <c r="T43" i="2"/>
  <c r="Y43" i="2"/>
  <c r="U43" i="2"/>
  <c r="Z43" i="2"/>
  <c r="V43" i="2"/>
  <c r="X44" i="2"/>
  <c r="T44" i="2"/>
  <c r="Y44" i="2"/>
  <c r="U44" i="2"/>
  <c r="Z44" i="2"/>
  <c r="V44" i="2"/>
  <c r="X45" i="2"/>
  <c r="T45" i="2"/>
  <c r="Y45" i="2"/>
  <c r="U45" i="2"/>
  <c r="Z45" i="2"/>
  <c r="V45" i="2"/>
  <c r="X46" i="2"/>
  <c r="T46" i="2"/>
  <c r="Y46" i="2"/>
  <c r="U46" i="2"/>
  <c r="Z46" i="2"/>
  <c r="V46" i="2"/>
  <c r="X47" i="2"/>
  <c r="T47" i="2"/>
  <c r="Y47" i="2"/>
  <c r="U47" i="2"/>
  <c r="Z47" i="2"/>
  <c r="V47" i="2"/>
  <c r="X48" i="2"/>
  <c r="T48" i="2"/>
  <c r="Y48" i="2"/>
  <c r="U48" i="2"/>
  <c r="Z48" i="2"/>
  <c r="V48" i="2"/>
  <c r="X49" i="2"/>
  <c r="T49" i="2"/>
  <c r="Y49" i="2"/>
  <c r="U49" i="2"/>
  <c r="Z49" i="2"/>
  <c r="V49" i="2"/>
  <c r="X50" i="2"/>
  <c r="T50" i="2"/>
  <c r="Y50" i="2"/>
  <c r="U50" i="2"/>
  <c r="Z50" i="2"/>
  <c r="V50" i="2"/>
  <c r="X51" i="2"/>
  <c r="T51" i="2"/>
  <c r="Y51" i="2"/>
  <c r="U51" i="2"/>
  <c r="Z51" i="2"/>
  <c r="V51" i="2"/>
  <c r="X52" i="2"/>
  <c r="T52" i="2"/>
  <c r="Y52" i="2"/>
  <c r="U52" i="2"/>
  <c r="Z52" i="2"/>
  <c r="V52" i="2"/>
  <c r="X53" i="2"/>
  <c r="T53" i="2"/>
  <c r="Y53" i="2"/>
  <c r="U53" i="2"/>
  <c r="Z53" i="2"/>
  <c r="V53" i="2"/>
  <c r="X54" i="2"/>
  <c r="T54" i="2"/>
  <c r="Y54" i="2"/>
  <c r="U54" i="2"/>
  <c r="Z54" i="2"/>
  <c r="V54" i="2"/>
  <c r="X55" i="2"/>
  <c r="T55" i="2"/>
  <c r="Y55" i="2"/>
  <c r="U55" i="2"/>
  <c r="Z55" i="2"/>
  <c r="V55" i="2"/>
  <c r="X56" i="2"/>
  <c r="T56" i="2"/>
  <c r="Y56" i="2"/>
  <c r="U56" i="2"/>
  <c r="Z56" i="2"/>
  <c r="V56" i="2"/>
  <c r="X57" i="2"/>
  <c r="T57" i="2"/>
  <c r="Y57" i="2"/>
  <c r="U57" i="2"/>
  <c r="Z57" i="2"/>
  <c r="V57" i="2"/>
  <c r="X58" i="2"/>
  <c r="T58" i="2"/>
  <c r="Y58" i="2"/>
  <c r="U58" i="2"/>
  <c r="Z58" i="2"/>
  <c r="V58" i="2"/>
  <c r="X59" i="2"/>
  <c r="T59" i="2"/>
  <c r="Y59" i="2"/>
  <c r="U59" i="2"/>
  <c r="Z59" i="2"/>
  <c r="V59" i="2"/>
  <c r="X60" i="2"/>
  <c r="T60" i="2"/>
  <c r="Y60" i="2"/>
  <c r="U60" i="2"/>
  <c r="Z60" i="2"/>
  <c r="V60" i="2"/>
  <c r="X61" i="2"/>
  <c r="T61" i="2"/>
  <c r="Y61" i="2"/>
  <c r="U61" i="2"/>
  <c r="Z61" i="2"/>
  <c r="V61" i="2"/>
  <c r="X62" i="2"/>
  <c r="T62" i="2"/>
  <c r="Y62" i="2"/>
  <c r="U62" i="2"/>
  <c r="Z62" i="2"/>
  <c r="V62" i="2"/>
  <c r="X63" i="2"/>
  <c r="T63" i="2"/>
  <c r="Y63" i="2"/>
  <c r="U63" i="2"/>
  <c r="Z63" i="2"/>
  <c r="V63" i="2"/>
  <c r="X64" i="2"/>
  <c r="T64" i="2"/>
  <c r="Y64" i="2"/>
  <c r="U64" i="2"/>
  <c r="Z64" i="2"/>
  <c r="V64" i="2"/>
  <c r="X65" i="2"/>
  <c r="T65" i="2"/>
  <c r="Y65" i="2"/>
  <c r="U65" i="2"/>
  <c r="Z65" i="2"/>
  <c r="V65" i="2"/>
  <c r="X66" i="2"/>
  <c r="T66" i="2"/>
  <c r="Y66" i="2"/>
  <c r="U66" i="2"/>
  <c r="Z66" i="2"/>
  <c r="V66" i="2"/>
  <c r="X67" i="2"/>
  <c r="T67" i="2"/>
  <c r="Y67" i="2"/>
  <c r="U67" i="2"/>
  <c r="Z67" i="2"/>
  <c r="V67" i="2"/>
  <c r="X68" i="2"/>
  <c r="T68" i="2"/>
  <c r="Y68" i="2"/>
  <c r="U68" i="2"/>
  <c r="Z68" i="2"/>
  <c r="V68" i="2"/>
  <c r="X69" i="2"/>
  <c r="T69" i="2"/>
  <c r="Y69" i="2"/>
  <c r="U69" i="2"/>
  <c r="Z69" i="2"/>
  <c r="V69" i="2"/>
  <c r="X70" i="2"/>
  <c r="T70" i="2"/>
  <c r="Y70" i="2"/>
  <c r="U70" i="2"/>
  <c r="Z70" i="2"/>
  <c r="V70" i="2"/>
  <c r="X71" i="2"/>
  <c r="T71" i="2"/>
  <c r="Y71" i="2"/>
  <c r="U71" i="2"/>
  <c r="Z71" i="2"/>
  <c r="V71" i="2"/>
  <c r="X72" i="2"/>
  <c r="T72" i="2"/>
  <c r="Y72" i="2"/>
  <c r="U72" i="2"/>
  <c r="Z72" i="2"/>
  <c r="V72" i="2"/>
  <c r="X73" i="2"/>
  <c r="T73" i="2"/>
  <c r="Y73" i="2"/>
  <c r="U73" i="2"/>
  <c r="Z73" i="2"/>
  <c r="V73" i="2"/>
  <c r="X74" i="2"/>
  <c r="T74" i="2"/>
  <c r="Y74" i="2"/>
  <c r="U74" i="2"/>
  <c r="Z74" i="2"/>
  <c r="V74" i="2"/>
  <c r="X75" i="2"/>
  <c r="T75" i="2"/>
  <c r="Y75" i="2"/>
  <c r="U75" i="2"/>
  <c r="Z75" i="2"/>
  <c r="V75" i="2"/>
  <c r="X76" i="2"/>
  <c r="T76" i="2"/>
  <c r="Y76" i="2"/>
  <c r="U76" i="2"/>
  <c r="Z76" i="2"/>
  <c r="V76" i="2"/>
  <c r="X77" i="2"/>
  <c r="T77" i="2"/>
  <c r="Y77" i="2"/>
  <c r="U77" i="2"/>
  <c r="Z77" i="2"/>
  <c r="V77" i="2"/>
  <c r="X78" i="2"/>
  <c r="T78" i="2"/>
  <c r="Y78" i="2"/>
  <c r="U78" i="2"/>
  <c r="Z78" i="2"/>
  <c r="V78" i="2"/>
  <c r="X79" i="2"/>
  <c r="T79" i="2"/>
  <c r="Y79" i="2"/>
  <c r="U79" i="2"/>
  <c r="Z79" i="2"/>
  <c r="V79" i="2"/>
  <c r="X80" i="2"/>
  <c r="T80" i="2"/>
  <c r="Y80" i="2"/>
  <c r="U80" i="2"/>
  <c r="Z80" i="2"/>
  <c r="V80" i="2"/>
  <c r="X81" i="2"/>
  <c r="T81" i="2"/>
  <c r="Y81" i="2"/>
  <c r="U81" i="2"/>
  <c r="Z81" i="2"/>
  <c r="V81" i="2"/>
  <c r="X82" i="2"/>
  <c r="T82" i="2"/>
  <c r="Y82" i="2"/>
  <c r="U82" i="2"/>
  <c r="Z82" i="2"/>
  <c r="V82" i="2"/>
  <c r="X83" i="2"/>
  <c r="T83" i="2"/>
  <c r="Y83" i="2"/>
  <c r="U83" i="2"/>
  <c r="Z83" i="2"/>
  <c r="V83" i="2"/>
  <c r="X84" i="2"/>
  <c r="T84" i="2"/>
  <c r="Y84" i="2"/>
  <c r="U84" i="2"/>
  <c r="Z84" i="2"/>
  <c r="V84" i="2"/>
  <c r="X85" i="2"/>
  <c r="T85" i="2"/>
  <c r="Y85" i="2"/>
  <c r="U85" i="2"/>
  <c r="Z85" i="2"/>
  <c r="V85" i="2"/>
  <c r="X86" i="2"/>
  <c r="T86" i="2"/>
  <c r="Y86" i="2"/>
  <c r="U86" i="2"/>
  <c r="Z86" i="2"/>
  <c r="V86" i="2"/>
  <c r="X87" i="2"/>
  <c r="T87" i="2"/>
  <c r="Y87" i="2"/>
  <c r="U87" i="2"/>
  <c r="Z87" i="2"/>
  <c r="V87" i="2"/>
  <c r="X88" i="2"/>
  <c r="T88" i="2"/>
  <c r="Y88" i="2"/>
  <c r="U88" i="2"/>
  <c r="Z88" i="2"/>
  <c r="V88" i="2"/>
  <c r="X89" i="2"/>
  <c r="T89" i="2"/>
  <c r="Y89" i="2"/>
  <c r="U89" i="2"/>
  <c r="Z89" i="2"/>
  <c r="V89" i="2"/>
  <c r="X90" i="2"/>
  <c r="T90" i="2"/>
  <c r="Y90" i="2"/>
  <c r="U90" i="2"/>
  <c r="Z90" i="2"/>
  <c r="V90" i="2"/>
  <c r="X91" i="2"/>
  <c r="T91" i="2"/>
  <c r="Y91" i="2"/>
  <c r="U91" i="2"/>
  <c r="Z91" i="2"/>
  <c r="V91" i="2"/>
  <c r="X92" i="2"/>
  <c r="T92" i="2"/>
  <c r="Y92" i="2"/>
  <c r="U92" i="2"/>
  <c r="Z92" i="2"/>
  <c r="V92" i="2"/>
  <c r="X93" i="2"/>
  <c r="T93" i="2"/>
  <c r="Y93" i="2"/>
  <c r="U93" i="2"/>
  <c r="Z93" i="2"/>
  <c r="V93" i="2"/>
  <c r="X94" i="2"/>
  <c r="T94" i="2"/>
  <c r="Y94" i="2"/>
  <c r="U94" i="2"/>
  <c r="Z94" i="2"/>
  <c r="V94" i="2"/>
  <c r="X95" i="2"/>
  <c r="T95" i="2"/>
  <c r="Y95" i="2"/>
  <c r="U95" i="2"/>
  <c r="Z95" i="2"/>
  <c r="V95" i="2"/>
  <c r="X96" i="2"/>
  <c r="T96" i="2"/>
  <c r="Y96" i="2"/>
  <c r="U96" i="2"/>
  <c r="Z96" i="2"/>
  <c r="V96" i="2"/>
  <c r="X97" i="2"/>
  <c r="T97" i="2"/>
  <c r="Y97" i="2"/>
  <c r="U97" i="2"/>
  <c r="Z97" i="2"/>
  <c r="V97" i="2"/>
  <c r="X98" i="2"/>
  <c r="T98" i="2"/>
  <c r="Y98" i="2"/>
  <c r="U98" i="2"/>
  <c r="Z98" i="2"/>
  <c r="V98" i="2"/>
  <c r="X99" i="2"/>
  <c r="T99" i="2"/>
  <c r="Y99" i="2"/>
  <c r="U99" i="2"/>
  <c r="Z99" i="2"/>
  <c r="V99" i="2"/>
  <c r="X100" i="2"/>
  <c r="T100" i="2"/>
  <c r="Y100" i="2"/>
  <c r="U100" i="2"/>
  <c r="Z100" i="2"/>
  <c r="V100" i="2"/>
  <c r="X101" i="2"/>
  <c r="T101" i="2"/>
  <c r="Y101" i="2"/>
  <c r="U101" i="2"/>
  <c r="Z101" i="2"/>
  <c r="V101" i="2"/>
  <c r="X102" i="2"/>
  <c r="T102" i="2"/>
  <c r="Y102" i="2"/>
  <c r="U102" i="2"/>
  <c r="Z102" i="2"/>
  <c r="V102" i="2"/>
  <c r="X103" i="2"/>
  <c r="T103" i="2"/>
  <c r="Y103" i="2"/>
  <c r="U103" i="2"/>
  <c r="Z103" i="2"/>
  <c r="V103" i="2"/>
  <c r="X104" i="2"/>
  <c r="T104" i="2"/>
  <c r="Y104" i="2"/>
  <c r="U104" i="2"/>
  <c r="Z104" i="2"/>
  <c r="V104" i="2"/>
  <c r="X105" i="2"/>
  <c r="T105" i="2"/>
  <c r="Y105" i="2"/>
  <c r="U105" i="2"/>
  <c r="Z105" i="2"/>
  <c r="V105" i="2"/>
  <c r="X106" i="2"/>
  <c r="T106" i="2"/>
  <c r="Y106" i="2"/>
  <c r="U106" i="2"/>
  <c r="Z106" i="2"/>
  <c r="V106" i="2"/>
  <c r="X107" i="2"/>
  <c r="T107" i="2"/>
  <c r="Y107" i="2"/>
  <c r="U107" i="2"/>
  <c r="Z107" i="2"/>
  <c r="V107" i="2"/>
  <c r="X108" i="2"/>
  <c r="T108" i="2"/>
  <c r="Y108" i="2"/>
  <c r="U108" i="2"/>
  <c r="Z108" i="2"/>
  <c r="V108" i="2"/>
  <c r="X109" i="2"/>
  <c r="T109" i="2"/>
  <c r="Y109" i="2"/>
  <c r="U109" i="2"/>
  <c r="Z109" i="2"/>
  <c r="V109" i="2"/>
  <c r="X110" i="2"/>
  <c r="T110" i="2"/>
  <c r="Y110" i="2"/>
  <c r="U110" i="2"/>
  <c r="Z110" i="2"/>
  <c r="V110" i="2"/>
  <c r="X111" i="2"/>
  <c r="T111" i="2"/>
  <c r="Y111" i="2"/>
  <c r="U111" i="2"/>
  <c r="Z111" i="2"/>
  <c r="V111" i="2"/>
  <c r="X112" i="2"/>
  <c r="T112" i="2"/>
  <c r="Y112" i="2"/>
  <c r="U112" i="2"/>
  <c r="Z112" i="2"/>
  <c r="V112" i="2"/>
  <c r="X113" i="2"/>
  <c r="T113" i="2"/>
  <c r="Y113" i="2"/>
  <c r="U113" i="2"/>
  <c r="Z113" i="2"/>
  <c r="V113" i="2"/>
  <c r="X114" i="2"/>
  <c r="T114" i="2"/>
  <c r="Y114" i="2"/>
  <c r="U114" i="2"/>
  <c r="Z114" i="2"/>
  <c r="V114" i="2"/>
  <c r="X115" i="2"/>
  <c r="T115" i="2"/>
  <c r="Y115" i="2"/>
  <c r="U115" i="2"/>
  <c r="Z115" i="2"/>
  <c r="V115" i="2"/>
  <c r="X116" i="2"/>
  <c r="T116" i="2"/>
  <c r="Y116" i="2"/>
  <c r="U116" i="2"/>
  <c r="Z116" i="2"/>
  <c r="V116" i="2"/>
  <c r="X117" i="2"/>
  <c r="T117" i="2"/>
  <c r="Y117" i="2"/>
  <c r="U117" i="2"/>
  <c r="Z117" i="2"/>
  <c r="V117" i="2"/>
  <c r="X118" i="2"/>
  <c r="T118" i="2"/>
  <c r="Y118" i="2"/>
  <c r="U118" i="2"/>
  <c r="Z118" i="2"/>
  <c r="V118" i="2"/>
  <c r="X119" i="2"/>
  <c r="T119" i="2"/>
  <c r="Y119" i="2"/>
  <c r="U119" i="2"/>
  <c r="Z119" i="2"/>
  <c r="V119" i="2"/>
  <c r="X120" i="2"/>
  <c r="T120" i="2"/>
  <c r="Y120" i="2"/>
  <c r="U120" i="2"/>
  <c r="Z120" i="2"/>
  <c r="V120" i="2"/>
  <c r="X121" i="2"/>
  <c r="T121" i="2"/>
  <c r="Y121" i="2"/>
  <c r="U121" i="2"/>
  <c r="Z121" i="2"/>
  <c r="V121" i="2"/>
  <c r="X122" i="2"/>
  <c r="T122" i="2"/>
  <c r="Y122" i="2"/>
  <c r="U122" i="2"/>
  <c r="Z122" i="2"/>
  <c r="V122" i="2"/>
  <c r="X123" i="2"/>
  <c r="T123" i="2"/>
  <c r="Y123" i="2"/>
  <c r="U123" i="2"/>
  <c r="Z123" i="2"/>
  <c r="V123" i="2"/>
  <c r="X124" i="2"/>
  <c r="T124" i="2"/>
  <c r="Y124" i="2"/>
  <c r="U124" i="2"/>
  <c r="Z124" i="2"/>
  <c r="V124" i="2"/>
  <c r="X125" i="2"/>
  <c r="T125" i="2"/>
  <c r="Y125" i="2"/>
  <c r="U125" i="2"/>
  <c r="Z125" i="2"/>
  <c r="V125" i="2"/>
  <c r="X126" i="2"/>
  <c r="T126" i="2"/>
  <c r="Y126" i="2"/>
  <c r="U126" i="2"/>
  <c r="Z126" i="2"/>
  <c r="V126" i="2"/>
  <c r="X127" i="2"/>
  <c r="T127" i="2"/>
  <c r="Y127" i="2"/>
  <c r="U127" i="2"/>
  <c r="Z127" i="2"/>
  <c r="V127" i="2"/>
  <c r="X128" i="2"/>
  <c r="T128" i="2"/>
  <c r="Y128" i="2"/>
  <c r="U128" i="2"/>
  <c r="Z128" i="2"/>
  <c r="V128" i="2"/>
  <c r="X129" i="2"/>
  <c r="T129" i="2"/>
  <c r="Y129" i="2"/>
  <c r="U129" i="2"/>
  <c r="Z129" i="2"/>
  <c r="V129" i="2"/>
  <c r="X130" i="2"/>
  <c r="T130" i="2"/>
  <c r="Y130" i="2"/>
  <c r="U130" i="2"/>
  <c r="Z130" i="2"/>
  <c r="V130" i="2"/>
  <c r="X131" i="2"/>
  <c r="T131" i="2"/>
  <c r="Y131" i="2"/>
  <c r="U131" i="2"/>
  <c r="Z131" i="2"/>
  <c r="V131" i="2"/>
  <c r="X132" i="2"/>
  <c r="T132" i="2"/>
  <c r="Y132" i="2"/>
  <c r="U132" i="2"/>
  <c r="Z132" i="2"/>
  <c r="V132" i="2"/>
  <c r="X133" i="2"/>
  <c r="T133" i="2"/>
  <c r="Y133" i="2"/>
  <c r="U133" i="2"/>
  <c r="Z133" i="2"/>
  <c r="V133" i="2"/>
  <c r="X134" i="2"/>
  <c r="T134" i="2"/>
  <c r="Y134" i="2"/>
  <c r="U134" i="2"/>
  <c r="Z134" i="2"/>
  <c r="V134" i="2"/>
  <c r="X135" i="2"/>
  <c r="T135" i="2"/>
  <c r="Y135" i="2"/>
  <c r="U135" i="2"/>
  <c r="Z135" i="2"/>
  <c r="V135" i="2"/>
  <c r="X136" i="2"/>
  <c r="T136" i="2"/>
  <c r="Y136" i="2"/>
  <c r="U136" i="2"/>
  <c r="Z136" i="2"/>
  <c r="V136" i="2"/>
  <c r="X137" i="2"/>
  <c r="T137" i="2"/>
  <c r="Y137" i="2"/>
  <c r="U137" i="2"/>
  <c r="Z137" i="2"/>
  <c r="V137" i="2"/>
  <c r="X138" i="2"/>
  <c r="T138" i="2"/>
  <c r="Y138" i="2"/>
  <c r="U138" i="2"/>
  <c r="Z138" i="2"/>
  <c r="V138" i="2"/>
  <c r="X139" i="2"/>
  <c r="T139" i="2"/>
  <c r="Y139" i="2"/>
  <c r="U139" i="2"/>
  <c r="Z139" i="2"/>
  <c r="V139" i="2"/>
  <c r="X140" i="2"/>
  <c r="T140" i="2"/>
  <c r="Y140" i="2"/>
  <c r="U140" i="2"/>
  <c r="Z140" i="2"/>
  <c r="V140" i="2"/>
  <c r="X141" i="2"/>
  <c r="T141" i="2"/>
  <c r="Y141" i="2"/>
  <c r="U141" i="2"/>
  <c r="Z141" i="2"/>
  <c r="V141" i="2"/>
  <c r="X142" i="2"/>
  <c r="T142" i="2"/>
  <c r="Y142" i="2"/>
  <c r="U142" i="2"/>
  <c r="Z142" i="2"/>
  <c r="V142" i="2"/>
  <c r="X143" i="2"/>
  <c r="T143" i="2"/>
  <c r="Y143" i="2"/>
  <c r="U143" i="2"/>
  <c r="Z143" i="2"/>
  <c r="V143" i="2"/>
  <c r="X144" i="2"/>
  <c r="T144" i="2"/>
  <c r="Y144" i="2"/>
  <c r="U144" i="2"/>
  <c r="Z144" i="2"/>
  <c r="V144" i="2"/>
  <c r="X145" i="2"/>
  <c r="T145" i="2"/>
  <c r="Y145" i="2"/>
  <c r="U145" i="2"/>
  <c r="Z145" i="2"/>
  <c r="V145" i="2"/>
  <c r="X146" i="2"/>
  <c r="T146" i="2"/>
  <c r="Y146" i="2"/>
  <c r="U146" i="2"/>
  <c r="Z146" i="2"/>
  <c r="V146" i="2"/>
  <c r="X147" i="2"/>
  <c r="T147" i="2"/>
  <c r="Y147" i="2"/>
  <c r="U147" i="2"/>
  <c r="Z147" i="2"/>
  <c r="V147" i="2"/>
  <c r="X148" i="2"/>
  <c r="T148" i="2"/>
  <c r="Y148" i="2"/>
  <c r="U148" i="2"/>
  <c r="Z148" i="2"/>
  <c r="V148" i="2"/>
  <c r="X149" i="2"/>
  <c r="T149" i="2"/>
  <c r="Y149" i="2"/>
  <c r="U149" i="2"/>
  <c r="Z149" i="2"/>
  <c r="V149" i="2"/>
  <c r="X150" i="2"/>
  <c r="T150" i="2"/>
  <c r="Y150" i="2"/>
  <c r="U150" i="2"/>
  <c r="Z150" i="2"/>
  <c r="V150" i="2"/>
  <c r="X151" i="2"/>
  <c r="T151" i="2"/>
  <c r="Y151" i="2"/>
  <c r="U151" i="2"/>
  <c r="Z151" i="2"/>
  <c r="V151" i="2"/>
  <c r="X152" i="2"/>
  <c r="T152" i="2"/>
  <c r="Y152" i="2"/>
  <c r="U152" i="2"/>
  <c r="Z152" i="2"/>
  <c r="V152" i="2"/>
  <c r="X153" i="2"/>
  <c r="T153" i="2"/>
  <c r="Y153" i="2"/>
  <c r="U153" i="2"/>
  <c r="Z153" i="2"/>
  <c r="V153" i="2"/>
  <c r="X154" i="2"/>
  <c r="T154" i="2"/>
  <c r="Y154" i="2"/>
  <c r="U154" i="2"/>
  <c r="Z154" i="2"/>
  <c r="V154" i="2"/>
  <c r="X155" i="2"/>
  <c r="T155" i="2"/>
  <c r="Y155" i="2"/>
  <c r="U155" i="2"/>
  <c r="Z155" i="2"/>
  <c r="V155" i="2"/>
  <c r="X156" i="2"/>
  <c r="T156" i="2"/>
  <c r="Y156" i="2"/>
  <c r="U156" i="2"/>
  <c r="Z156" i="2"/>
  <c r="V156" i="2"/>
  <c r="X157" i="2"/>
  <c r="T157" i="2"/>
  <c r="Y157" i="2"/>
  <c r="U157" i="2"/>
  <c r="Z157" i="2"/>
  <c r="V157" i="2"/>
  <c r="X158" i="2"/>
  <c r="T158" i="2"/>
  <c r="Y158" i="2"/>
  <c r="U158" i="2"/>
  <c r="Z158" i="2"/>
  <c r="V158" i="2"/>
  <c r="X159" i="2"/>
  <c r="T159" i="2"/>
  <c r="Y159" i="2"/>
  <c r="U159" i="2"/>
  <c r="Z159" i="2"/>
  <c r="V159" i="2"/>
  <c r="X160" i="2"/>
  <c r="T160" i="2"/>
  <c r="Y160" i="2"/>
  <c r="U160" i="2"/>
  <c r="Z160" i="2"/>
  <c r="V160" i="2"/>
  <c r="X161" i="2"/>
  <c r="T161" i="2"/>
  <c r="Y161" i="2"/>
  <c r="U161" i="2"/>
  <c r="Z161" i="2"/>
  <c r="V161" i="2"/>
  <c r="X162" i="2"/>
  <c r="T162" i="2"/>
  <c r="Y162" i="2"/>
  <c r="U162" i="2"/>
  <c r="Z162" i="2"/>
  <c r="V162" i="2"/>
  <c r="X163" i="2"/>
  <c r="T163" i="2"/>
  <c r="Y163" i="2"/>
  <c r="U163" i="2"/>
  <c r="Z163" i="2"/>
  <c r="V163" i="2"/>
  <c r="X164" i="2"/>
  <c r="T164" i="2"/>
  <c r="Y164" i="2"/>
  <c r="U164" i="2"/>
  <c r="Z164" i="2"/>
  <c r="V164" i="2"/>
  <c r="X165" i="2"/>
  <c r="T165" i="2"/>
  <c r="Y165" i="2"/>
  <c r="U165" i="2"/>
  <c r="Z165" i="2"/>
  <c r="V165" i="2"/>
  <c r="X166" i="2"/>
  <c r="T166" i="2"/>
  <c r="Y166" i="2"/>
  <c r="U166" i="2"/>
  <c r="Z166" i="2"/>
  <c r="V166" i="2"/>
  <c r="X167" i="2"/>
  <c r="T167" i="2"/>
  <c r="Y167" i="2"/>
  <c r="U167" i="2"/>
  <c r="Z167" i="2"/>
  <c r="V167" i="2"/>
  <c r="X168" i="2"/>
  <c r="T168" i="2"/>
  <c r="Y168" i="2"/>
  <c r="U168" i="2"/>
  <c r="Z168" i="2"/>
  <c r="V168" i="2"/>
  <c r="X169" i="2"/>
  <c r="T169" i="2"/>
  <c r="Y169" i="2"/>
  <c r="U169" i="2"/>
  <c r="Z169" i="2"/>
  <c r="V169" i="2"/>
  <c r="X170" i="2"/>
  <c r="T170" i="2"/>
  <c r="Y170" i="2"/>
  <c r="U170" i="2"/>
  <c r="Z170" i="2"/>
  <c r="V170" i="2"/>
  <c r="X171" i="2"/>
  <c r="T171" i="2"/>
  <c r="Y171" i="2"/>
  <c r="U171" i="2"/>
  <c r="Z171" i="2"/>
  <c r="V171" i="2"/>
  <c r="X172" i="2"/>
  <c r="T172" i="2"/>
  <c r="Y172" i="2"/>
  <c r="U172" i="2"/>
  <c r="Z172" i="2"/>
  <c r="V172" i="2"/>
  <c r="X173" i="2"/>
  <c r="T173" i="2"/>
  <c r="Y173" i="2"/>
  <c r="U173" i="2"/>
  <c r="Z173" i="2"/>
  <c r="V173" i="2"/>
  <c r="X174" i="2"/>
  <c r="T174" i="2"/>
  <c r="Y174" i="2"/>
  <c r="U174" i="2"/>
  <c r="Z174" i="2"/>
  <c r="V174" i="2"/>
  <c r="X175" i="2"/>
  <c r="T175" i="2"/>
  <c r="Y175" i="2"/>
  <c r="U175" i="2"/>
  <c r="Z175" i="2"/>
  <c r="V175" i="2"/>
  <c r="X176" i="2"/>
  <c r="T176" i="2"/>
  <c r="Y176" i="2"/>
  <c r="U176" i="2"/>
  <c r="Z176" i="2"/>
  <c r="V176" i="2"/>
  <c r="X177" i="2"/>
  <c r="T177" i="2"/>
  <c r="Y177" i="2"/>
  <c r="U177" i="2"/>
  <c r="Z177" i="2"/>
  <c r="V177" i="2"/>
  <c r="X178" i="2"/>
  <c r="T178" i="2"/>
  <c r="Y178" i="2"/>
  <c r="U178" i="2"/>
  <c r="Z178" i="2"/>
  <c r="V178" i="2"/>
  <c r="X179" i="2"/>
  <c r="T179" i="2"/>
  <c r="Y179" i="2"/>
  <c r="U179" i="2"/>
  <c r="Z179" i="2"/>
  <c r="V179" i="2"/>
  <c r="X180" i="2"/>
  <c r="T180" i="2"/>
  <c r="Y180" i="2"/>
  <c r="U180" i="2"/>
  <c r="Z180" i="2"/>
  <c r="V180" i="2"/>
  <c r="X181" i="2"/>
  <c r="T181" i="2"/>
  <c r="Y181" i="2"/>
  <c r="U181" i="2"/>
  <c r="Z181" i="2"/>
  <c r="V181" i="2"/>
  <c r="X182" i="2"/>
  <c r="T182" i="2"/>
  <c r="Y182" i="2"/>
  <c r="U182" i="2"/>
  <c r="Z182" i="2"/>
  <c r="V182" i="2"/>
  <c r="X183" i="2"/>
  <c r="T183" i="2"/>
  <c r="Y183" i="2"/>
  <c r="U183" i="2"/>
  <c r="Z183" i="2"/>
  <c r="V183" i="2"/>
  <c r="X184" i="2"/>
  <c r="T184" i="2"/>
  <c r="Y184" i="2"/>
  <c r="U184" i="2"/>
  <c r="Z184" i="2"/>
  <c r="V184" i="2"/>
  <c r="X185" i="2"/>
  <c r="T185" i="2"/>
  <c r="Y185" i="2"/>
  <c r="U185" i="2"/>
  <c r="Z185" i="2"/>
  <c r="V185" i="2"/>
  <c r="X186" i="2"/>
  <c r="T186" i="2"/>
  <c r="Y186" i="2"/>
  <c r="U186" i="2"/>
  <c r="Z186" i="2"/>
  <c r="V186" i="2"/>
  <c r="X187" i="2"/>
  <c r="T187" i="2"/>
  <c r="Y187" i="2"/>
  <c r="U187" i="2"/>
  <c r="Z187" i="2"/>
  <c r="V187" i="2"/>
  <c r="X188" i="2"/>
  <c r="T188" i="2"/>
  <c r="Y188" i="2"/>
  <c r="U188" i="2"/>
  <c r="Z188" i="2"/>
  <c r="V188" i="2"/>
  <c r="X189" i="2"/>
  <c r="T189" i="2"/>
  <c r="Y189" i="2"/>
  <c r="U189" i="2"/>
  <c r="Z189" i="2"/>
  <c r="V189" i="2"/>
  <c r="X190" i="2"/>
  <c r="T190" i="2"/>
  <c r="Y190" i="2"/>
  <c r="U190" i="2"/>
  <c r="Z190" i="2"/>
  <c r="V190" i="2"/>
  <c r="X191" i="2"/>
  <c r="T191" i="2"/>
  <c r="Y191" i="2"/>
  <c r="U191" i="2"/>
  <c r="Z191" i="2"/>
  <c r="V191" i="2"/>
  <c r="X192" i="2"/>
  <c r="T192" i="2"/>
  <c r="Y192" i="2"/>
  <c r="U192" i="2"/>
  <c r="Z192" i="2"/>
  <c r="V192" i="2"/>
  <c r="X193" i="2"/>
  <c r="T193" i="2"/>
  <c r="Y193" i="2"/>
  <c r="U193" i="2"/>
  <c r="Z193" i="2"/>
  <c r="V193" i="2"/>
  <c r="X194" i="2"/>
  <c r="T194" i="2"/>
  <c r="Y194" i="2"/>
  <c r="U194" i="2"/>
  <c r="Z194" i="2"/>
  <c r="V194" i="2"/>
  <c r="X195" i="2"/>
  <c r="T195" i="2"/>
  <c r="Y195" i="2"/>
  <c r="U195" i="2"/>
  <c r="Z195" i="2"/>
  <c r="V195" i="2"/>
  <c r="X196" i="2"/>
  <c r="T196" i="2"/>
  <c r="Y196" i="2"/>
  <c r="U196" i="2"/>
  <c r="Z196" i="2"/>
  <c r="V196" i="2"/>
  <c r="X197" i="2"/>
  <c r="T197" i="2"/>
  <c r="Y197" i="2"/>
  <c r="U197" i="2"/>
  <c r="Z197" i="2"/>
  <c r="V197" i="2"/>
  <c r="X198" i="2"/>
  <c r="T198" i="2"/>
  <c r="Y198" i="2"/>
  <c r="U198" i="2"/>
  <c r="Z198" i="2"/>
  <c r="V198" i="2"/>
  <c r="X199" i="2"/>
  <c r="T199" i="2"/>
  <c r="Y199" i="2"/>
  <c r="U199" i="2"/>
  <c r="Z199" i="2"/>
  <c r="V199" i="2"/>
  <c r="X200" i="2"/>
  <c r="T200" i="2"/>
  <c r="Y200" i="2"/>
  <c r="U200" i="2"/>
  <c r="Z200" i="2"/>
  <c r="V200" i="2"/>
  <c r="X201" i="2"/>
  <c r="T201" i="2"/>
  <c r="Y201" i="2"/>
  <c r="U201" i="2"/>
  <c r="Z201" i="2"/>
  <c r="V201" i="2"/>
  <c r="X202" i="2"/>
  <c r="T202" i="2"/>
  <c r="Y202" i="2"/>
  <c r="U202" i="2"/>
  <c r="Z202" i="2"/>
  <c r="V202" i="2"/>
  <c r="X203" i="2"/>
  <c r="T203" i="2"/>
  <c r="Y203" i="2"/>
  <c r="U203" i="2"/>
  <c r="Z203" i="2"/>
  <c r="V203" i="2"/>
  <c r="X204" i="2"/>
  <c r="T204" i="2"/>
  <c r="Y204" i="2"/>
  <c r="U204" i="2"/>
  <c r="Z204" i="2"/>
  <c r="V204" i="2"/>
  <c r="X205" i="2"/>
  <c r="T205" i="2"/>
  <c r="Y205" i="2"/>
  <c r="U205" i="2"/>
  <c r="Z205" i="2"/>
  <c r="V205" i="2"/>
  <c r="X206" i="2"/>
  <c r="T206" i="2"/>
  <c r="Y206" i="2"/>
  <c r="U206" i="2"/>
  <c r="Z206" i="2"/>
  <c r="V206" i="2"/>
  <c r="X207" i="2"/>
  <c r="T207" i="2"/>
  <c r="Y207" i="2"/>
  <c r="U207" i="2"/>
  <c r="Z207" i="2"/>
  <c r="V207" i="2"/>
  <c r="X208" i="2"/>
  <c r="T208" i="2"/>
  <c r="Y208" i="2"/>
  <c r="U208" i="2"/>
  <c r="Z208" i="2"/>
  <c r="V208" i="2"/>
  <c r="X209" i="2"/>
  <c r="T209" i="2"/>
  <c r="Y209" i="2"/>
  <c r="U209" i="2"/>
  <c r="Z209" i="2"/>
  <c r="V209" i="2"/>
  <c r="X210" i="2"/>
  <c r="T210" i="2"/>
  <c r="Y210" i="2"/>
  <c r="U210" i="2"/>
  <c r="Z210" i="2"/>
  <c r="V210" i="2"/>
  <c r="X211" i="2"/>
  <c r="T211" i="2"/>
  <c r="Y211" i="2"/>
  <c r="U211" i="2"/>
  <c r="Z211" i="2"/>
  <c r="V211" i="2"/>
  <c r="X212" i="2"/>
  <c r="T212" i="2"/>
  <c r="Y212" i="2"/>
  <c r="U212" i="2"/>
  <c r="Z212" i="2"/>
  <c r="V212" i="2"/>
  <c r="X213" i="2"/>
  <c r="T213" i="2"/>
  <c r="Y213" i="2"/>
  <c r="U213" i="2"/>
  <c r="Z213" i="2"/>
  <c r="V213" i="2"/>
  <c r="X214" i="2"/>
  <c r="T214" i="2"/>
  <c r="Y214" i="2"/>
  <c r="U214" i="2"/>
  <c r="Z214" i="2"/>
  <c r="V214" i="2"/>
  <c r="X215" i="2"/>
  <c r="T215" i="2"/>
  <c r="Y215" i="2"/>
  <c r="U215" i="2"/>
  <c r="Z215" i="2"/>
  <c r="V215" i="2"/>
  <c r="X216" i="2"/>
  <c r="T216" i="2"/>
  <c r="Y216" i="2"/>
  <c r="U216" i="2"/>
  <c r="Z216" i="2"/>
  <c r="V216" i="2"/>
  <c r="X217" i="2"/>
  <c r="T217" i="2"/>
  <c r="Y217" i="2"/>
  <c r="U217" i="2"/>
  <c r="Z217" i="2"/>
  <c r="V217" i="2"/>
  <c r="X218" i="2"/>
  <c r="T218" i="2"/>
  <c r="Y218" i="2"/>
  <c r="U218" i="2"/>
  <c r="Z218" i="2"/>
  <c r="V218" i="2"/>
  <c r="X219" i="2"/>
  <c r="T219" i="2"/>
  <c r="Y219" i="2"/>
  <c r="U219" i="2"/>
  <c r="Z219" i="2"/>
  <c r="V219" i="2"/>
  <c r="X220" i="2"/>
  <c r="T220" i="2"/>
  <c r="Y220" i="2"/>
  <c r="U220" i="2"/>
  <c r="Z220" i="2"/>
  <c r="V220" i="2"/>
  <c r="X221" i="2"/>
  <c r="T221" i="2"/>
  <c r="Y221" i="2"/>
  <c r="U221" i="2"/>
  <c r="Z221" i="2"/>
  <c r="V221" i="2"/>
  <c r="X222" i="2"/>
  <c r="T222" i="2"/>
  <c r="Y222" i="2"/>
  <c r="U222" i="2"/>
  <c r="Z222" i="2"/>
  <c r="V222" i="2"/>
  <c r="X223" i="2"/>
  <c r="T223" i="2"/>
  <c r="Y223" i="2"/>
  <c r="U223" i="2"/>
  <c r="Z223" i="2"/>
  <c r="V223" i="2"/>
  <c r="X224" i="2"/>
  <c r="T224" i="2"/>
  <c r="Y224" i="2"/>
  <c r="U224" i="2"/>
  <c r="Z224" i="2"/>
  <c r="V224" i="2"/>
  <c r="X225" i="2"/>
  <c r="T225" i="2"/>
  <c r="Y225" i="2"/>
  <c r="U225" i="2"/>
  <c r="Z225" i="2"/>
  <c r="V225" i="2"/>
  <c r="X226" i="2"/>
  <c r="T226" i="2"/>
  <c r="Y226" i="2"/>
  <c r="U226" i="2"/>
  <c r="Z226" i="2"/>
  <c r="V226" i="2"/>
  <c r="X227" i="2"/>
  <c r="T227" i="2"/>
  <c r="Y227" i="2"/>
  <c r="U227" i="2"/>
  <c r="Z227" i="2"/>
  <c r="V227" i="2"/>
  <c r="X228" i="2"/>
  <c r="T228" i="2"/>
  <c r="Y228" i="2"/>
  <c r="U228" i="2"/>
  <c r="Z228" i="2"/>
  <c r="V228" i="2"/>
  <c r="X229" i="2"/>
  <c r="T229" i="2"/>
  <c r="Y229" i="2"/>
  <c r="U229" i="2"/>
  <c r="Z229" i="2"/>
  <c r="V229" i="2"/>
  <c r="X230" i="2"/>
  <c r="T230" i="2"/>
  <c r="Y230" i="2"/>
  <c r="U230" i="2"/>
  <c r="Z230" i="2"/>
  <c r="V230" i="2"/>
  <c r="X231" i="2"/>
  <c r="T231" i="2"/>
  <c r="Y231" i="2"/>
  <c r="U231" i="2"/>
  <c r="Z231" i="2"/>
  <c r="V231" i="2"/>
  <c r="X232" i="2"/>
  <c r="T232" i="2"/>
  <c r="Y232" i="2"/>
  <c r="U232" i="2"/>
  <c r="Z232" i="2"/>
  <c r="V232" i="2"/>
  <c r="X233" i="2"/>
  <c r="T233" i="2"/>
  <c r="Y233" i="2"/>
  <c r="U233" i="2"/>
  <c r="Z233" i="2"/>
  <c r="V233" i="2"/>
  <c r="X234" i="2"/>
  <c r="T234" i="2"/>
  <c r="Y234" i="2"/>
  <c r="U234" i="2"/>
  <c r="Z234" i="2"/>
  <c r="V234" i="2"/>
  <c r="X235" i="2"/>
  <c r="T235" i="2"/>
  <c r="Y235" i="2"/>
  <c r="U235" i="2"/>
  <c r="Z235" i="2"/>
  <c r="V235" i="2"/>
  <c r="X236" i="2"/>
  <c r="T236" i="2"/>
  <c r="Y236" i="2"/>
  <c r="U236" i="2"/>
  <c r="Z236" i="2"/>
  <c r="V236" i="2"/>
  <c r="X237" i="2"/>
  <c r="T237" i="2"/>
  <c r="Y237" i="2"/>
  <c r="U237" i="2"/>
  <c r="Z237" i="2"/>
  <c r="V237" i="2"/>
  <c r="X238" i="2"/>
  <c r="T238" i="2"/>
  <c r="Y238" i="2"/>
  <c r="U238" i="2"/>
  <c r="Z238" i="2"/>
  <c r="V238" i="2"/>
  <c r="X239" i="2"/>
  <c r="T239" i="2"/>
  <c r="Y239" i="2"/>
  <c r="U239" i="2"/>
  <c r="Z239" i="2"/>
  <c r="V239" i="2"/>
  <c r="X240" i="2"/>
  <c r="T240" i="2"/>
  <c r="Y240" i="2"/>
  <c r="U240" i="2"/>
  <c r="Z240" i="2"/>
  <c r="V240" i="2"/>
  <c r="X241" i="2"/>
  <c r="T241" i="2"/>
  <c r="Y241" i="2"/>
  <c r="U241" i="2"/>
  <c r="Z241" i="2"/>
  <c r="V241" i="2"/>
  <c r="X242" i="2"/>
  <c r="T242" i="2"/>
  <c r="Y242" i="2"/>
  <c r="U242" i="2"/>
  <c r="Z242" i="2"/>
  <c r="V242" i="2"/>
  <c r="X243" i="2"/>
  <c r="T243" i="2"/>
  <c r="Y243" i="2"/>
  <c r="U243" i="2"/>
  <c r="Z243" i="2"/>
  <c r="V243" i="2"/>
  <c r="X244" i="2"/>
  <c r="T244" i="2"/>
  <c r="Y244" i="2"/>
  <c r="U244" i="2"/>
  <c r="Z244" i="2"/>
  <c r="V244" i="2"/>
  <c r="X245" i="2"/>
  <c r="T245" i="2"/>
  <c r="Y245" i="2"/>
  <c r="U245" i="2"/>
  <c r="Z245" i="2"/>
  <c r="V245" i="2"/>
  <c r="X246" i="2"/>
  <c r="T246" i="2"/>
  <c r="Y246" i="2"/>
  <c r="U246" i="2"/>
  <c r="Z246" i="2"/>
  <c r="V246" i="2"/>
  <c r="X247" i="2"/>
  <c r="T247" i="2"/>
  <c r="Y247" i="2"/>
  <c r="U247" i="2"/>
  <c r="Z247" i="2"/>
  <c r="V247" i="2"/>
  <c r="X248" i="2"/>
  <c r="T248" i="2"/>
  <c r="Y248" i="2"/>
  <c r="U248" i="2"/>
  <c r="Z248" i="2"/>
  <c r="V248" i="2"/>
  <c r="X249" i="2"/>
  <c r="T249" i="2"/>
  <c r="Y249" i="2"/>
  <c r="U249" i="2"/>
  <c r="Z249" i="2"/>
  <c r="V249" i="2"/>
  <c r="X250" i="2"/>
  <c r="T250" i="2"/>
  <c r="Y250" i="2"/>
  <c r="U250" i="2"/>
  <c r="Z250" i="2"/>
  <c r="V250" i="2"/>
  <c r="X251" i="2"/>
  <c r="T251" i="2"/>
  <c r="Y251" i="2"/>
  <c r="U251" i="2"/>
  <c r="Z251" i="2"/>
  <c r="V251" i="2"/>
  <c r="X252" i="2"/>
  <c r="T252" i="2"/>
  <c r="Y252" i="2"/>
  <c r="U252" i="2"/>
  <c r="Z252" i="2"/>
  <c r="V252" i="2"/>
  <c r="X253" i="2"/>
  <c r="T253" i="2"/>
  <c r="Y253" i="2"/>
  <c r="U253" i="2"/>
  <c r="Z253" i="2"/>
  <c r="V253" i="2"/>
  <c r="X254" i="2"/>
  <c r="T254" i="2"/>
  <c r="Y254" i="2"/>
  <c r="U254" i="2"/>
  <c r="Z254" i="2"/>
  <c r="V254" i="2"/>
  <c r="X255" i="2"/>
  <c r="T255" i="2"/>
  <c r="Y255" i="2"/>
  <c r="U255" i="2"/>
  <c r="Z255" i="2"/>
  <c r="V255" i="2"/>
  <c r="X256" i="2"/>
  <c r="T256" i="2"/>
  <c r="Y256" i="2"/>
  <c r="U256" i="2"/>
  <c r="Z256" i="2"/>
  <c r="V256" i="2"/>
  <c r="X257" i="2"/>
  <c r="T257" i="2"/>
  <c r="Y257" i="2"/>
  <c r="U257" i="2"/>
  <c r="Z257" i="2"/>
  <c r="V257" i="2"/>
  <c r="X258" i="2"/>
  <c r="T258" i="2"/>
  <c r="Y258" i="2"/>
  <c r="U258" i="2"/>
  <c r="Z258" i="2"/>
  <c r="V258" i="2"/>
  <c r="X259" i="2"/>
  <c r="T259" i="2"/>
  <c r="Y259" i="2"/>
  <c r="U259" i="2"/>
  <c r="Z259" i="2"/>
  <c r="V259" i="2"/>
  <c r="X260" i="2"/>
  <c r="T260" i="2"/>
  <c r="Y260" i="2"/>
  <c r="U260" i="2"/>
  <c r="Z260" i="2"/>
  <c r="V260" i="2"/>
  <c r="X261" i="2"/>
  <c r="T261" i="2"/>
  <c r="Y261" i="2"/>
  <c r="U261" i="2"/>
  <c r="Z261" i="2"/>
  <c r="V261" i="2"/>
  <c r="X262" i="2"/>
  <c r="T262" i="2"/>
  <c r="Y262" i="2"/>
  <c r="U262" i="2"/>
  <c r="Z262" i="2"/>
  <c r="V262" i="2"/>
  <c r="X263" i="2"/>
  <c r="T263" i="2"/>
  <c r="Y263" i="2"/>
  <c r="U263" i="2"/>
  <c r="Z263" i="2"/>
  <c r="V263" i="2"/>
  <c r="X264" i="2"/>
  <c r="T264" i="2"/>
  <c r="Y264" i="2"/>
  <c r="U264" i="2"/>
  <c r="Z264" i="2"/>
  <c r="V264" i="2"/>
  <c r="X265" i="2"/>
  <c r="T265" i="2"/>
  <c r="Y265" i="2"/>
  <c r="U265" i="2"/>
  <c r="Z265" i="2"/>
  <c r="V265" i="2"/>
  <c r="X266" i="2"/>
  <c r="T266" i="2"/>
  <c r="Y266" i="2"/>
  <c r="U266" i="2"/>
  <c r="Z266" i="2"/>
  <c r="V266" i="2"/>
  <c r="X267" i="2"/>
  <c r="T267" i="2"/>
  <c r="Y267" i="2"/>
  <c r="U267" i="2"/>
  <c r="Z267" i="2"/>
  <c r="V267" i="2"/>
  <c r="X268" i="2"/>
  <c r="T268" i="2"/>
  <c r="Y268" i="2"/>
  <c r="U268" i="2"/>
  <c r="Z268" i="2"/>
  <c r="V268" i="2"/>
  <c r="X269" i="2"/>
  <c r="T269" i="2"/>
  <c r="Y269" i="2"/>
  <c r="U269" i="2"/>
  <c r="Z269" i="2"/>
  <c r="V269" i="2"/>
  <c r="X270" i="2"/>
  <c r="T270" i="2"/>
  <c r="Y270" i="2"/>
  <c r="U270" i="2"/>
  <c r="Z270" i="2"/>
  <c r="V270" i="2"/>
  <c r="X271" i="2"/>
  <c r="T271" i="2"/>
  <c r="Y271" i="2"/>
  <c r="U271" i="2"/>
  <c r="Z271" i="2"/>
  <c r="V271" i="2"/>
  <c r="X272" i="2"/>
  <c r="T272" i="2"/>
  <c r="Y272" i="2"/>
  <c r="U272" i="2"/>
  <c r="Z272" i="2"/>
  <c r="V272" i="2"/>
  <c r="X273" i="2"/>
  <c r="T273" i="2"/>
  <c r="Y273" i="2"/>
  <c r="U273" i="2"/>
  <c r="Z273" i="2"/>
  <c r="V273" i="2"/>
  <c r="X274" i="2"/>
  <c r="T274" i="2"/>
  <c r="Y274" i="2"/>
  <c r="U274" i="2"/>
  <c r="Z274" i="2"/>
  <c r="V274" i="2"/>
  <c r="X275" i="2"/>
  <c r="T275" i="2"/>
  <c r="Y275" i="2"/>
  <c r="U275" i="2"/>
  <c r="Z275" i="2"/>
  <c r="V275" i="2"/>
  <c r="X276" i="2"/>
  <c r="T276" i="2"/>
  <c r="Y276" i="2"/>
  <c r="U276" i="2"/>
  <c r="Z276" i="2"/>
  <c r="V276" i="2"/>
  <c r="X277" i="2"/>
  <c r="T277" i="2"/>
  <c r="Y277" i="2"/>
  <c r="U277" i="2"/>
  <c r="Z277" i="2"/>
  <c r="V277" i="2"/>
  <c r="X278" i="2"/>
  <c r="T278" i="2"/>
  <c r="Y278" i="2"/>
  <c r="U278" i="2"/>
  <c r="Z278" i="2"/>
  <c r="V278" i="2"/>
  <c r="X279" i="2"/>
  <c r="T279" i="2"/>
  <c r="Y279" i="2"/>
  <c r="U279" i="2"/>
  <c r="Z279" i="2"/>
  <c r="V279" i="2"/>
  <c r="X280" i="2"/>
  <c r="T280" i="2"/>
  <c r="Y280" i="2"/>
  <c r="U280" i="2"/>
  <c r="Z280" i="2"/>
  <c r="V280" i="2"/>
  <c r="X281" i="2"/>
  <c r="T281" i="2"/>
  <c r="Y281" i="2"/>
  <c r="U281" i="2"/>
  <c r="Z281" i="2"/>
  <c r="V281" i="2"/>
  <c r="X282" i="2"/>
  <c r="T282" i="2"/>
  <c r="Y282" i="2"/>
  <c r="U282" i="2"/>
  <c r="Z282" i="2"/>
  <c r="V282" i="2"/>
  <c r="X283" i="2"/>
  <c r="T283" i="2"/>
  <c r="Y283" i="2"/>
  <c r="U283" i="2"/>
  <c r="Z283" i="2"/>
  <c r="V283" i="2"/>
  <c r="X284" i="2"/>
  <c r="T284" i="2"/>
  <c r="Y284" i="2"/>
  <c r="U284" i="2"/>
  <c r="Z284" i="2"/>
  <c r="V284" i="2"/>
  <c r="X285" i="2"/>
  <c r="T285" i="2"/>
  <c r="Y285" i="2"/>
  <c r="U285" i="2"/>
  <c r="Z285" i="2"/>
  <c r="V285" i="2"/>
  <c r="X286" i="2"/>
  <c r="T286" i="2"/>
  <c r="Y286" i="2"/>
  <c r="U286" i="2"/>
  <c r="Z286" i="2"/>
  <c r="V286" i="2"/>
  <c r="X287" i="2"/>
  <c r="T287" i="2"/>
  <c r="Y287" i="2"/>
  <c r="U287" i="2"/>
  <c r="Z287" i="2"/>
  <c r="V287" i="2"/>
  <c r="X288" i="2"/>
  <c r="T288" i="2"/>
  <c r="Y288" i="2"/>
  <c r="U288" i="2"/>
  <c r="Z288" i="2"/>
  <c r="V288" i="2"/>
  <c r="X289" i="2"/>
  <c r="T289" i="2"/>
  <c r="Y289" i="2"/>
  <c r="U289" i="2"/>
  <c r="Z289" i="2"/>
  <c r="V289" i="2"/>
  <c r="X290" i="2"/>
  <c r="T290" i="2"/>
  <c r="Y290" i="2"/>
  <c r="U290" i="2"/>
  <c r="Z290" i="2"/>
  <c r="V290" i="2"/>
  <c r="X291" i="2"/>
  <c r="T291" i="2"/>
  <c r="Y291" i="2"/>
  <c r="U291" i="2"/>
  <c r="Z291" i="2"/>
  <c r="V291" i="2"/>
  <c r="X292" i="2"/>
  <c r="T292" i="2"/>
  <c r="Y292" i="2"/>
  <c r="U292" i="2"/>
  <c r="Z292" i="2"/>
  <c r="V292" i="2"/>
  <c r="X293" i="2"/>
  <c r="T293" i="2"/>
  <c r="Y293" i="2"/>
  <c r="U293" i="2"/>
  <c r="Z293" i="2"/>
  <c r="V293" i="2"/>
  <c r="X294" i="2"/>
  <c r="T294" i="2"/>
  <c r="Y294" i="2"/>
  <c r="U294" i="2"/>
  <c r="Z294" i="2"/>
  <c r="V294" i="2"/>
  <c r="X295" i="2"/>
  <c r="T295" i="2"/>
  <c r="Y295" i="2"/>
  <c r="U295" i="2"/>
  <c r="Z295" i="2"/>
  <c r="V295" i="2"/>
  <c r="X296" i="2"/>
  <c r="T296" i="2"/>
  <c r="Y296" i="2"/>
  <c r="U296" i="2"/>
  <c r="Z296" i="2"/>
  <c r="V296" i="2"/>
  <c r="X297" i="2"/>
  <c r="T297" i="2"/>
  <c r="Y297" i="2"/>
  <c r="U297" i="2"/>
  <c r="Z297" i="2"/>
  <c r="V297" i="2"/>
  <c r="X298" i="2"/>
  <c r="T298" i="2"/>
  <c r="Y298" i="2"/>
  <c r="U298" i="2"/>
  <c r="Z298" i="2"/>
  <c r="V298" i="2"/>
  <c r="X299" i="2"/>
  <c r="T299" i="2"/>
  <c r="Y299" i="2"/>
  <c r="U299" i="2"/>
  <c r="Z299" i="2"/>
  <c r="V299" i="2"/>
  <c r="X300" i="2"/>
  <c r="T300" i="2"/>
  <c r="Y300" i="2"/>
  <c r="U300" i="2"/>
  <c r="Z300" i="2"/>
  <c r="V300" i="2"/>
  <c r="X301" i="2"/>
  <c r="T301" i="2"/>
  <c r="Y301" i="2"/>
  <c r="U301" i="2"/>
  <c r="Z301" i="2"/>
  <c r="V301" i="2"/>
  <c r="X302" i="2"/>
  <c r="T302" i="2"/>
  <c r="Y302" i="2"/>
  <c r="U302" i="2"/>
  <c r="Z302" i="2"/>
  <c r="V302" i="2"/>
  <c r="X303" i="2"/>
  <c r="T303" i="2"/>
  <c r="Y303" i="2"/>
  <c r="U303" i="2"/>
  <c r="Z303" i="2"/>
  <c r="V303" i="2"/>
  <c r="X304" i="2"/>
  <c r="T304" i="2"/>
  <c r="Y304" i="2"/>
  <c r="U304" i="2"/>
  <c r="Z304" i="2"/>
  <c r="V304" i="2"/>
  <c r="X305" i="2"/>
  <c r="T305" i="2"/>
  <c r="Y305" i="2"/>
  <c r="U305" i="2"/>
  <c r="Z305" i="2"/>
  <c r="V305" i="2"/>
  <c r="X306" i="2"/>
  <c r="T306" i="2"/>
  <c r="Y306" i="2"/>
  <c r="U306" i="2"/>
  <c r="Z306" i="2"/>
  <c r="V306" i="2"/>
  <c r="X307" i="2"/>
  <c r="T307" i="2"/>
  <c r="Y307" i="2"/>
  <c r="U307" i="2"/>
  <c r="Z307" i="2"/>
  <c r="V307" i="2"/>
  <c r="X308" i="2"/>
  <c r="T308" i="2"/>
  <c r="Y308" i="2"/>
  <c r="U308" i="2"/>
  <c r="Z308" i="2"/>
  <c r="V308" i="2"/>
  <c r="X309" i="2"/>
  <c r="T309" i="2"/>
  <c r="Y309" i="2"/>
  <c r="U309" i="2"/>
  <c r="Z309" i="2"/>
  <c r="V309" i="2"/>
  <c r="X310" i="2"/>
  <c r="T310" i="2"/>
  <c r="Y310" i="2"/>
  <c r="U310" i="2"/>
  <c r="Z310" i="2"/>
  <c r="V310" i="2"/>
  <c r="X311" i="2"/>
  <c r="T311" i="2"/>
  <c r="Y311" i="2"/>
  <c r="U311" i="2"/>
  <c r="Z311" i="2"/>
  <c r="V311" i="2"/>
  <c r="X312" i="2"/>
  <c r="T312" i="2"/>
  <c r="Y312" i="2"/>
  <c r="U312" i="2"/>
  <c r="Z312" i="2"/>
  <c r="V312" i="2"/>
  <c r="X313" i="2"/>
  <c r="T313" i="2"/>
  <c r="Y313" i="2"/>
  <c r="U313" i="2"/>
  <c r="Z313" i="2"/>
  <c r="V313" i="2"/>
  <c r="X314" i="2"/>
  <c r="T314" i="2"/>
  <c r="Y314" i="2"/>
  <c r="U314" i="2"/>
  <c r="Z314" i="2"/>
  <c r="V314" i="2"/>
  <c r="X315" i="2"/>
  <c r="T315" i="2"/>
  <c r="Y315" i="2"/>
  <c r="U315" i="2"/>
  <c r="Z315" i="2"/>
  <c r="V315" i="2"/>
  <c r="X316" i="2"/>
  <c r="T316" i="2"/>
  <c r="Y316" i="2"/>
  <c r="U316" i="2"/>
  <c r="Z316" i="2"/>
  <c r="V316" i="2"/>
  <c r="X317" i="2"/>
  <c r="T317" i="2"/>
  <c r="Y317" i="2"/>
  <c r="U317" i="2"/>
  <c r="Z317" i="2"/>
  <c r="V317" i="2"/>
  <c r="X318" i="2"/>
  <c r="T318" i="2"/>
  <c r="Y318" i="2"/>
  <c r="U318" i="2"/>
  <c r="Z318" i="2"/>
  <c r="V318" i="2"/>
  <c r="X319" i="2"/>
  <c r="T319" i="2"/>
  <c r="Y319" i="2"/>
  <c r="U319" i="2"/>
  <c r="Z319" i="2"/>
  <c r="V319" i="2"/>
  <c r="X320" i="2"/>
  <c r="T320" i="2"/>
  <c r="Y320" i="2"/>
  <c r="U320" i="2"/>
  <c r="Z320" i="2"/>
  <c r="V320" i="2"/>
  <c r="X321" i="2"/>
  <c r="T321" i="2"/>
  <c r="Y321" i="2"/>
  <c r="U321" i="2"/>
  <c r="Z321" i="2"/>
  <c r="V321" i="2"/>
  <c r="X322" i="2"/>
  <c r="T322" i="2"/>
  <c r="Y322" i="2"/>
  <c r="U322" i="2"/>
  <c r="Z322" i="2"/>
  <c r="V322" i="2"/>
  <c r="X323" i="2"/>
  <c r="T323" i="2"/>
  <c r="Y323" i="2"/>
  <c r="U323" i="2"/>
  <c r="Z323" i="2"/>
  <c r="V323" i="2"/>
  <c r="X324" i="2"/>
  <c r="T324" i="2"/>
  <c r="Y324" i="2"/>
  <c r="U324" i="2"/>
  <c r="Z324" i="2"/>
  <c r="V324" i="2"/>
  <c r="X325" i="2"/>
  <c r="T325" i="2"/>
  <c r="Y325" i="2"/>
  <c r="U325" i="2"/>
  <c r="Z325" i="2"/>
  <c r="V325" i="2"/>
  <c r="X326" i="2"/>
  <c r="T326" i="2"/>
  <c r="Y326" i="2"/>
  <c r="U326" i="2"/>
  <c r="Z326" i="2"/>
  <c r="V326" i="2"/>
  <c r="X327" i="2"/>
  <c r="T327" i="2"/>
  <c r="Y327" i="2"/>
  <c r="U327" i="2"/>
  <c r="Z327" i="2"/>
  <c r="V327" i="2"/>
  <c r="X328" i="2"/>
  <c r="T328" i="2"/>
  <c r="Y328" i="2"/>
  <c r="U328" i="2"/>
  <c r="Z328" i="2"/>
  <c r="V328" i="2"/>
  <c r="X329" i="2"/>
  <c r="T329" i="2"/>
  <c r="Y329" i="2"/>
  <c r="U329" i="2"/>
  <c r="Z329" i="2"/>
  <c r="V329" i="2"/>
  <c r="X330" i="2"/>
  <c r="T330" i="2"/>
  <c r="Y330" i="2"/>
  <c r="U330" i="2"/>
  <c r="Z330" i="2"/>
  <c r="V330" i="2"/>
  <c r="X331" i="2"/>
  <c r="T331" i="2"/>
  <c r="Y331" i="2"/>
  <c r="U331" i="2"/>
  <c r="Z331" i="2"/>
  <c r="V331" i="2"/>
  <c r="X332" i="2"/>
  <c r="T332" i="2"/>
  <c r="Y332" i="2"/>
  <c r="U332" i="2"/>
  <c r="Z332" i="2"/>
  <c r="V332" i="2"/>
  <c r="X333" i="2"/>
  <c r="T333" i="2"/>
  <c r="Y333" i="2"/>
  <c r="U333" i="2"/>
  <c r="Z333" i="2"/>
  <c r="V333" i="2"/>
  <c r="X334" i="2"/>
  <c r="T334" i="2"/>
  <c r="Y334" i="2"/>
  <c r="U334" i="2"/>
  <c r="Z334" i="2"/>
  <c r="V334" i="2"/>
  <c r="X335" i="2"/>
  <c r="T335" i="2"/>
  <c r="Y335" i="2"/>
  <c r="U335" i="2"/>
  <c r="Z335" i="2"/>
  <c r="V335" i="2"/>
  <c r="X336" i="2"/>
  <c r="T336" i="2"/>
  <c r="Y336" i="2"/>
  <c r="U336" i="2"/>
  <c r="Z336" i="2"/>
  <c r="V336" i="2"/>
  <c r="X337" i="2"/>
  <c r="T337" i="2"/>
  <c r="Y337" i="2"/>
  <c r="U337" i="2"/>
  <c r="Z337" i="2"/>
  <c r="V337" i="2"/>
  <c r="X338" i="2"/>
  <c r="T338" i="2"/>
  <c r="Y338" i="2"/>
  <c r="U338" i="2"/>
  <c r="Z338" i="2"/>
  <c r="V338" i="2"/>
  <c r="X339" i="2"/>
  <c r="T339" i="2"/>
  <c r="Y339" i="2"/>
  <c r="U339" i="2"/>
  <c r="Z339" i="2"/>
  <c r="V339" i="2"/>
  <c r="X340" i="2"/>
  <c r="T340" i="2"/>
  <c r="Y340" i="2"/>
  <c r="U340" i="2"/>
  <c r="Z340" i="2"/>
  <c r="V340" i="2"/>
  <c r="X341" i="2"/>
  <c r="T341" i="2"/>
  <c r="Y341" i="2"/>
  <c r="U341" i="2"/>
  <c r="Z341" i="2"/>
  <c r="V341" i="2"/>
  <c r="X342" i="2"/>
  <c r="T342" i="2"/>
  <c r="Y342" i="2"/>
  <c r="U342" i="2"/>
  <c r="Z342" i="2"/>
  <c r="V342" i="2"/>
  <c r="X343" i="2"/>
  <c r="T343" i="2"/>
  <c r="Y343" i="2"/>
  <c r="U343" i="2"/>
  <c r="Z343" i="2"/>
  <c r="V343" i="2"/>
  <c r="X344" i="2"/>
  <c r="T344" i="2"/>
  <c r="Y344" i="2"/>
  <c r="U344" i="2"/>
  <c r="Z344" i="2"/>
  <c r="V344" i="2"/>
  <c r="X345" i="2"/>
  <c r="T345" i="2"/>
  <c r="Y345" i="2"/>
  <c r="U345" i="2"/>
  <c r="Z345" i="2"/>
  <c r="V345" i="2"/>
  <c r="X346" i="2"/>
  <c r="T346" i="2"/>
  <c r="Y346" i="2"/>
  <c r="U346" i="2"/>
  <c r="Z346" i="2"/>
  <c r="V346" i="2"/>
  <c r="X347" i="2"/>
  <c r="T347" i="2"/>
  <c r="Y347" i="2"/>
  <c r="U347" i="2"/>
  <c r="Z347" i="2"/>
  <c r="V347" i="2"/>
  <c r="X348" i="2"/>
  <c r="T348" i="2"/>
  <c r="Y348" i="2"/>
  <c r="U348" i="2"/>
  <c r="Z348" i="2"/>
  <c r="V348" i="2"/>
  <c r="X349" i="2"/>
  <c r="T349" i="2"/>
  <c r="Y349" i="2"/>
  <c r="U349" i="2"/>
  <c r="Z349" i="2"/>
  <c r="V349" i="2"/>
  <c r="X350" i="2"/>
  <c r="T350" i="2"/>
  <c r="Y350" i="2"/>
  <c r="U350" i="2"/>
  <c r="Z350" i="2"/>
  <c r="V350" i="2"/>
  <c r="X351" i="2"/>
  <c r="T351" i="2"/>
  <c r="Y351" i="2"/>
  <c r="U351" i="2"/>
  <c r="Z351" i="2"/>
  <c r="V351" i="2"/>
  <c r="X352" i="2"/>
  <c r="T352" i="2"/>
  <c r="Y352" i="2"/>
  <c r="U352" i="2"/>
  <c r="Z352" i="2"/>
  <c r="V352" i="2"/>
  <c r="X353" i="2"/>
  <c r="T353" i="2"/>
  <c r="Y353" i="2"/>
  <c r="U353" i="2"/>
  <c r="Z353" i="2"/>
  <c r="V353" i="2"/>
  <c r="X354" i="2"/>
  <c r="T354" i="2"/>
  <c r="Y354" i="2"/>
  <c r="U354" i="2"/>
  <c r="Z354" i="2"/>
  <c r="V354" i="2"/>
  <c r="X355" i="2"/>
  <c r="T355" i="2"/>
  <c r="Y355" i="2"/>
  <c r="U355" i="2"/>
  <c r="Z355" i="2"/>
  <c r="V355" i="2"/>
  <c r="X356" i="2"/>
  <c r="T356" i="2"/>
  <c r="Y356" i="2"/>
  <c r="U356" i="2"/>
  <c r="Z356" i="2"/>
  <c r="V356" i="2"/>
  <c r="X357" i="2"/>
  <c r="T357" i="2"/>
  <c r="Y357" i="2"/>
  <c r="U357" i="2"/>
  <c r="Z357" i="2"/>
  <c r="V357" i="2"/>
  <c r="X358" i="2"/>
  <c r="T358" i="2"/>
  <c r="Y358" i="2"/>
  <c r="U358" i="2"/>
  <c r="Z358" i="2"/>
  <c r="V358" i="2"/>
  <c r="X359" i="2"/>
  <c r="T359" i="2"/>
  <c r="Y359" i="2"/>
  <c r="U359" i="2"/>
  <c r="Z359" i="2"/>
  <c r="V359" i="2"/>
  <c r="X360" i="2"/>
  <c r="T360" i="2"/>
  <c r="Y360" i="2"/>
  <c r="U360" i="2"/>
  <c r="Z360" i="2"/>
  <c r="V360" i="2"/>
  <c r="X361" i="2"/>
  <c r="T361" i="2"/>
  <c r="Y361" i="2"/>
  <c r="U361" i="2"/>
  <c r="Z361" i="2"/>
  <c r="V361" i="2"/>
  <c r="X362" i="2"/>
  <c r="T362" i="2"/>
  <c r="Y362" i="2"/>
  <c r="U362" i="2"/>
  <c r="Z362" i="2"/>
  <c r="V362" i="2"/>
  <c r="X363" i="2"/>
  <c r="T363" i="2"/>
  <c r="Y363" i="2"/>
  <c r="U363" i="2"/>
  <c r="Z363" i="2"/>
  <c r="V363" i="2"/>
  <c r="X364" i="2"/>
  <c r="T364" i="2"/>
  <c r="Y364" i="2"/>
  <c r="U364" i="2"/>
  <c r="Z364" i="2"/>
  <c r="V364" i="2"/>
  <c r="X365" i="2"/>
  <c r="T365" i="2"/>
  <c r="Y365" i="2"/>
  <c r="U365" i="2"/>
  <c r="Z365" i="2"/>
  <c r="V365" i="2"/>
  <c r="X366" i="2"/>
  <c r="T366" i="2"/>
  <c r="Y366" i="2"/>
  <c r="U366" i="2"/>
  <c r="Z366" i="2"/>
  <c r="V366" i="2"/>
  <c r="X367" i="2"/>
  <c r="T367" i="2"/>
  <c r="Y367" i="2"/>
  <c r="U367" i="2"/>
  <c r="Z367" i="2"/>
  <c r="V367" i="2"/>
  <c r="X368" i="2"/>
  <c r="T368" i="2"/>
  <c r="Y368" i="2"/>
  <c r="U368" i="2"/>
  <c r="Z368" i="2"/>
  <c r="V368" i="2"/>
  <c r="X369" i="2"/>
  <c r="T369" i="2"/>
  <c r="Y369" i="2"/>
  <c r="U369" i="2"/>
  <c r="Z369" i="2"/>
  <c r="V369" i="2"/>
  <c r="X370" i="2"/>
  <c r="T370" i="2"/>
  <c r="Y370" i="2"/>
  <c r="U370" i="2"/>
  <c r="Z370" i="2"/>
  <c r="V370" i="2"/>
  <c r="X371" i="2"/>
  <c r="T371" i="2"/>
  <c r="Y371" i="2"/>
  <c r="U371" i="2"/>
  <c r="Z371" i="2"/>
  <c r="V371" i="2"/>
  <c r="X372" i="2"/>
  <c r="T372" i="2"/>
  <c r="Y372" i="2"/>
  <c r="U372" i="2"/>
  <c r="Z372" i="2"/>
  <c r="V372" i="2"/>
  <c r="X373" i="2"/>
  <c r="T373" i="2"/>
  <c r="Y373" i="2"/>
  <c r="U373" i="2"/>
  <c r="Z373" i="2"/>
  <c r="V373" i="2"/>
  <c r="X374" i="2"/>
  <c r="T374" i="2"/>
  <c r="Y374" i="2"/>
  <c r="U374" i="2"/>
  <c r="Z374" i="2"/>
  <c r="V374" i="2"/>
  <c r="X375" i="2"/>
  <c r="T375" i="2"/>
  <c r="Y375" i="2"/>
  <c r="U375" i="2"/>
  <c r="Z375" i="2"/>
  <c r="V375" i="2"/>
  <c r="X376" i="2"/>
  <c r="T376" i="2"/>
  <c r="Y376" i="2"/>
  <c r="U376" i="2"/>
  <c r="Z376" i="2"/>
  <c r="V376" i="2"/>
  <c r="X377" i="2"/>
  <c r="T377" i="2"/>
  <c r="Y377" i="2"/>
  <c r="U377" i="2"/>
  <c r="Z377" i="2"/>
  <c r="V377" i="2"/>
  <c r="X378" i="2"/>
  <c r="T378" i="2"/>
  <c r="Y378" i="2"/>
  <c r="U378" i="2"/>
  <c r="Z378" i="2"/>
  <c r="V378" i="2"/>
  <c r="X379" i="2"/>
  <c r="T379" i="2"/>
  <c r="Y379" i="2"/>
  <c r="U379" i="2"/>
  <c r="Z379" i="2"/>
  <c r="V379" i="2"/>
  <c r="X380" i="2"/>
  <c r="T380" i="2"/>
  <c r="Y380" i="2"/>
  <c r="U380" i="2"/>
  <c r="Z380" i="2"/>
  <c r="V380" i="2"/>
  <c r="X381" i="2"/>
  <c r="T381" i="2"/>
  <c r="Y381" i="2"/>
  <c r="U381" i="2"/>
  <c r="Z381" i="2"/>
  <c r="V381" i="2"/>
  <c r="X382" i="2"/>
  <c r="T382" i="2"/>
  <c r="Y382" i="2"/>
  <c r="U382" i="2"/>
  <c r="Z382" i="2"/>
  <c r="V382" i="2"/>
  <c r="X383" i="2"/>
  <c r="T383" i="2"/>
  <c r="Y383" i="2"/>
  <c r="U383" i="2"/>
  <c r="Z383" i="2"/>
  <c r="V383" i="2"/>
  <c r="X384" i="2"/>
  <c r="T384" i="2"/>
  <c r="Y384" i="2"/>
  <c r="U384" i="2"/>
  <c r="Z384" i="2"/>
  <c r="V384" i="2"/>
  <c r="X385" i="2"/>
  <c r="T385" i="2"/>
  <c r="Y385" i="2"/>
  <c r="U385" i="2"/>
  <c r="Z385" i="2"/>
  <c r="V385" i="2"/>
  <c r="X386" i="2"/>
  <c r="T386" i="2"/>
  <c r="Y386" i="2"/>
  <c r="U386" i="2"/>
  <c r="Z386" i="2"/>
  <c r="V386" i="2"/>
  <c r="X387" i="2"/>
  <c r="T387" i="2"/>
  <c r="Y387" i="2"/>
  <c r="U387" i="2"/>
  <c r="Z387" i="2"/>
  <c r="V387" i="2"/>
  <c r="X388" i="2"/>
  <c r="T388" i="2"/>
  <c r="Y388" i="2"/>
  <c r="U388" i="2"/>
  <c r="Z388" i="2"/>
  <c r="V388" i="2"/>
  <c r="X389" i="2"/>
  <c r="T389" i="2"/>
  <c r="Y389" i="2"/>
  <c r="U389" i="2"/>
  <c r="Z389" i="2"/>
  <c r="V389" i="2"/>
  <c r="X390" i="2"/>
  <c r="T390" i="2"/>
  <c r="Y390" i="2"/>
  <c r="U390" i="2"/>
  <c r="Z390" i="2"/>
  <c r="V390" i="2"/>
  <c r="X391" i="2"/>
  <c r="T391" i="2"/>
  <c r="Y391" i="2"/>
  <c r="U391" i="2"/>
  <c r="Z391" i="2"/>
  <c r="V391" i="2"/>
  <c r="X392" i="2"/>
  <c r="T392" i="2"/>
  <c r="Y392" i="2"/>
  <c r="U392" i="2"/>
  <c r="Z392" i="2"/>
  <c r="V392" i="2"/>
  <c r="X393" i="2"/>
  <c r="T393" i="2"/>
  <c r="Y393" i="2"/>
  <c r="U393" i="2"/>
  <c r="Z393" i="2"/>
  <c r="V393" i="2"/>
  <c r="X394" i="2"/>
  <c r="T394" i="2"/>
  <c r="Y394" i="2"/>
  <c r="U394" i="2"/>
  <c r="Z394" i="2"/>
  <c r="V394" i="2"/>
  <c r="X395" i="2"/>
  <c r="T395" i="2"/>
  <c r="Y395" i="2"/>
  <c r="U395" i="2"/>
  <c r="Z395" i="2"/>
  <c r="V395" i="2"/>
  <c r="X396" i="2"/>
  <c r="T396" i="2"/>
  <c r="Y396" i="2"/>
  <c r="U396" i="2"/>
  <c r="Z396" i="2"/>
  <c r="V396" i="2"/>
  <c r="X397" i="2"/>
  <c r="T397" i="2"/>
  <c r="Y397" i="2"/>
  <c r="U397" i="2"/>
  <c r="Z397" i="2"/>
  <c r="V397" i="2"/>
  <c r="X398" i="2"/>
  <c r="T398" i="2"/>
  <c r="Y398" i="2"/>
  <c r="U398" i="2"/>
  <c r="Z398" i="2"/>
  <c r="V398" i="2"/>
  <c r="X399" i="2"/>
  <c r="T399" i="2"/>
  <c r="Y399" i="2"/>
  <c r="U399" i="2"/>
  <c r="Z399" i="2"/>
  <c r="V399" i="2"/>
  <c r="X400" i="2"/>
  <c r="T400" i="2"/>
  <c r="Y400" i="2"/>
  <c r="U400" i="2"/>
  <c r="Z400" i="2"/>
  <c r="V400" i="2"/>
  <c r="X401" i="2"/>
  <c r="T401" i="2"/>
  <c r="Y401" i="2"/>
  <c r="U401" i="2"/>
  <c r="Z401" i="2"/>
  <c r="V401" i="2"/>
  <c r="X402" i="2"/>
  <c r="T402" i="2"/>
  <c r="Y402" i="2"/>
  <c r="U402" i="2"/>
  <c r="Z402" i="2"/>
  <c r="V402" i="2"/>
  <c r="X403" i="2"/>
  <c r="T403" i="2"/>
  <c r="Y403" i="2"/>
  <c r="U403" i="2"/>
  <c r="Z403" i="2"/>
  <c r="V403" i="2"/>
  <c r="X404" i="2"/>
  <c r="T404" i="2"/>
  <c r="Y404" i="2"/>
  <c r="U404" i="2"/>
  <c r="Z404" i="2"/>
  <c r="V404" i="2"/>
  <c r="X405" i="2"/>
  <c r="T405" i="2"/>
  <c r="Y405" i="2"/>
  <c r="U405" i="2"/>
  <c r="Z405" i="2"/>
  <c r="V405" i="2"/>
  <c r="X406" i="2"/>
  <c r="T406" i="2"/>
  <c r="Y406" i="2"/>
  <c r="U406" i="2"/>
  <c r="Z406" i="2"/>
  <c r="V406" i="2"/>
  <c r="X407" i="2"/>
  <c r="T407" i="2"/>
  <c r="Y407" i="2"/>
  <c r="U407" i="2"/>
  <c r="Z407" i="2"/>
  <c r="V407" i="2"/>
  <c r="X408" i="2"/>
  <c r="T408" i="2"/>
  <c r="Y408" i="2"/>
  <c r="U408" i="2"/>
  <c r="Z408" i="2"/>
  <c r="V408" i="2"/>
  <c r="X409" i="2"/>
  <c r="T409" i="2"/>
  <c r="Y409" i="2"/>
  <c r="U409" i="2"/>
  <c r="Z409" i="2"/>
  <c r="V409" i="2"/>
  <c r="X410" i="2"/>
  <c r="T410" i="2"/>
  <c r="Y410" i="2"/>
  <c r="U410" i="2"/>
  <c r="Z410" i="2"/>
  <c r="V410" i="2"/>
  <c r="X411" i="2"/>
  <c r="T411" i="2"/>
  <c r="Y411" i="2"/>
  <c r="U411" i="2"/>
  <c r="Z411" i="2"/>
  <c r="V411" i="2"/>
  <c r="X412" i="2"/>
  <c r="T412" i="2"/>
  <c r="Y412" i="2"/>
  <c r="U412" i="2"/>
  <c r="Z412" i="2"/>
  <c r="V412" i="2"/>
  <c r="X413" i="2"/>
  <c r="T413" i="2"/>
  <c r="Y413" i="2"/>
  <c r="U413" i="2"/>
  <c r="Z413" i="2"/>
  <c r="V413" i="2"/>
  <c r="X414" i="2"/>
  <c r="T414" i="2"/>
  <c r="Y414" i="2"/>
  <c r="U414" i="2"/>
  <c r="Z414" i="2"/>
  <c r="V414" i="2"/>
  <c r="X415" i="2"/>
  <c r="T415" i="2"/>
  <c r="Y415" i="2"/>
  <c r="U415" i="2"/>
  <c r="Z415" i="2"/>
  <c r="V415" i="2"/>
  <c r="X416" i="2"/>
  <c r="T416" i="2"/>
  <c r="Y416" i="2"/>
  <c r="U416" i="2"/>
  <c r="Z416" i="2"/>
  <c r="V416" i="2"/>
  <c r="X417" i="2"/>
  <c r="T417" i="2"/>
  <c r="Y417" i="2"/>
  <c r="U417" i="2"/>
  <c r="Z417" i="2"/>
  <c r="V417" i="2"/>
  <c r="X418" i="2"/>
  <c r="T418" i="2"/>
  <c r="Y418" i="2"/>
  <c r="U418" i="2"/>
  <c r="Z418" i="2"/>
  <c r="V418" i="2"/>
  <c r="X419" i="2"/>
  <c r="T419" i="2"/>
  <c r="Y419" i="2"/>
  <c r="U419" i="2"/>
  <c r="Z419" i="2"/>
  <c r="V419" i="2"/>
  <c r="X420" i="2"/>
  <c r="T420" i="2"/>
  <c r="Y420" i="2"/>
  <c r="U420" i="2"/>
  <c r="Z420" i="2"/>
  <c r="V420" i="2"/>
  <c r="X421" i="2"/>
  <c r="T421" i="2"/>
  <c r="Y421" i="2"/>
  <c r="U421" i="2"/>
  <c r="Z421" i="2"/>
  <c r="V421" i="2"/>
  <c r="X422" i="2"/>
  <c r="T422" i="2"/>
  <c r="Y422" i="2"/>
  <c r="U422" i="2"/>
  <c r="Z422" i="2"/>
  <c r="V422" i="2"/>
  <c r="X423" i="2"/>
  <c r="T423" i="2"/>
  <c r="Y423" i="2"/>
  <c r="U423" i="2"/>
  <c r="Z423" i="2"/>
  <c r="V423" i="2"/>
  <c r="X424" i="2"/>
  <c r="T424" i="2"/>
  <c r="Y424" i="2"/>
  <c r="U424" i="2"/>
  <c r="Z424" i="2"/>
  <c r="V424" i="2"/>
  <c r="X425" i="2"/>
  <c r="T425" i="2"/>
  <c r="Y425" i="2"/>
  <c r="U425" i="2"/>
  <c r="Z425" i="2"/>
  <c r="V425" i="2"/>
  <c r="X426" i="2"/>
  <c r="T426" i="2"/>
  <c r="Y426" i="2"/>
  <c r="U426" i="2"/>
  <c r="Z426" i="2"/>
  <c r="V426" i="2"/>
  <c r="X427" i="2"/>
  <c r="T427" i="2"/>
  <c r="Y427" i="2"/>
  <c r="U427" i="2"/>
  <c r="Z427" i="2"/>
  <c r="V427" i="2"/>
  <c r="X428" i="2"/>
  <c r="T428" i="2"/>
  <c r="Y428" i="2"/>
  <c r="U428" i="2"/>
  <c r="Z428" i="2"/>
  <c r="V428" i="2"/>
  <c r="X429" i="2"/>
  <c r="T429" i="2"/>
  <c r="Y429" i="2"/>
  <c r="U429" i="2"/>
  <c r="Z429" i="2"/>
  <c r="V429" i="2"/>
  <c r="X430" i="2"/>
  <c r="T430" i="2"/>
  <c r="Y430" i="2"/>
  <c r="U430" i="2"/>
  <c r="Z430" i="2"/>
  <c r="V430" i="2"/>
  <c r="X431" i="2"/>
  <c r="T431" i="2"/>
  <c r="Y431" i="2"/>
  <c r="U431" i="2"/>
  <c r="Z431" i="2"/>
  <c r="V431" i="2"/>
  <c r="X432" i="2"/>
  <c r="T432" i="2"/>
  <c r="Y432" i="2"/>
  <c r="U432" i="2"/>
  <c r="Z432" i="2"/>
  <c r="V432" i="2"/>
  <c r="X433" i="2"/>
  <c r="T433" i="2"/>
  <c r="Y433" i="2"/>
  <c r="U433" i="2"/>
  <c r="Z433" i="2"/>
  <c r="V433" i="2"/>
  <c r="X434" i="2"/>
  <c r="T434" i="2"/>
  <c r="Y434" i="2"/>
  <c r="U434" i="2"/>
  <c r="Z434" i="2"/>
  <c r="V434" i="2"/>
  <c r="X435" i="2"/>
  <c r="T435" i="2"/>
  <c r="Y435" i="2"/>
  <c r="U435" i="2"/>
  <c r="Z435" i="2"/>
  <c r="V435" i="2"/>
  <c r="X436" i="2"/>
  <c r="T436" i="2"/>
  <c r="Y436" i="2"/>
  <c r="U436" i="2"/>
  <c r="Z436" i="2"/>
  <c r="V436" i="2"/>
  <c r="X437" i="2"/>
  <c r="T437" i="2"/>
  <c r="Y437" i="2"/>
  <c r="U437" i="2"/>
  <c r="Z437" i="2"/>
  <c r="V437" i="2"/>
  <c r="X438" i="2"/>
  <c r="T438" i="2"/>
  <c r="Y438" i="2"/>
  <c r="U438" i="2"/>
  <c r="Z438" i="2"/>
  <c r="V438" i="2"/>
  <c r="X439" i="2"/>
  <c r="T439" i="2"/>
  <c r="Y439" i="2"/>
  <c r="U439" i="2"/>
  <c r="Z439" i="2"/>
  <c r="V439" i="2"/>
  <c r="X440" i="2"/>
  <c r="T440" i="2"/>
  <c r="Y440" i="2"/>
  <c r="U440" i="2"/>
  <c r="Z440" i="2"/>
  <c r="V440" i="2"/>
  <c r="X441" i="2"/>
  <c r="T441" i="2"/>
  <c r="Y441" i="2"/>
  <c r="U441" i="2"/>
  <c r="Z441" i="2"/>
  <c r="V441" i="2"/>
  <c r="X442" i="2"/>
  <c r="T442" i="2"/>
  <c r="Y442" i="2"/>
  <c r="U442" i="2"/>
  <c r="Z442" i="2"/>
  <c r="V442" i="2"/>
  <c r="X443" i="2"/>
  <c r="T443" i="2"/>
  <c r="Y443" i="2"/>
  <c r="U443" i="2"/>
  <c r="Z443" i="2"/>
  <c r="V443" i="2"/>
  <c r="X444" i="2"/>
  <c r="T444" i="2"/>
  <c r="Y444" i="2"/>
  <c r="U444" i="2"/>
  <c r="Z444" i="2"/>
  <c r="V444" i="2"/>
  <c r="X445" i="2"/>
  <c r="T445" i="2"/>
  <c r="Y445" i="2"/>
  <c r="U445" i="2"/>
  <c r="Z445" i="2"/>
  <c r="V445" i="2"/>
  <c r="X446" i="2"/>
  <c r="T446" i="2"/>
  <c r="Y446" i="2"/>
  <c r="U446" i="2"/>
  <c r="Z446" i="2"/>
  <c r="V446" i="2"/>
  <c r="X447" i="2"/>
  <c r="T447" i="2"/>
  <c r="Y447" i="2"/>
  <c r="U447" i="2"/>
  <c r="Z447" i="2"/>
  <c r="V447" i="2"/>
  <c r="X448" i="2"/>
  <c r="T448" i="2"/>
  <c r="Y448" i="2"/>
  <c r="U448" i="2"/>
  <c r="Z448" i="2"/>
  <c r="V448" i="2"/>
  <c r="X449" i="2"/>
  <c r="T449" i="2"/>
  <c r="Y449" i="2"/>
  <c r="U449" i="2"/>
  <c r="Z449" i="2"/>
  <c r="V449" i="2"/>
  <c r="X450" i="2"/>
  <c r="T450" i="2"/>
  <c r="Y450" i="2"/>
  <c r="U450" i="2"/>
  <c r="Z450" i="2"/>
  <c r="V450" i="2"/>
  <c r="X451" i="2"/>
  <c r="T451" i="2"/>
  <c r="Y451" i="2"/>
  <c r="U451" i="2"/>
  <c r="Z451" i="2"/>
  <c r="V451" i="2"/>
  <c r="X452" i="2"/>
  <c r="T452" i="2"/>
  <c r="Y452" i="2"/>
  <c r="U452" i="2"/>
  <c r="Z452" i="2"/>
  <c r="V452" i="2"/>
  <c r="X453" i="2"/>
  <c r="T453" i="2"/>
  <c r="Y453" i="2"/>
  <c r="U453" i="2"/>
  <c r="Z453" i="2"/>
  <c r="V453" i="2"/>
  <c r="X454" i="2"/>
  <c r="T454" i="2"/>
  <c r="Y454" i="2"/>
  <c r="U454" i="2"/>
  <c r="Z454" i="2"/>
  <c r="V454" i="2"/>
  <c r="X455" i="2"/>
  <c r="T455" i="2"/>
  <c r="Y455" i="2"/>
  <c r="U455" i="2"/>
  <c r="Z455" i="2"/>
  <c r="V455" i="2"/>
  <c r="X456" i="2"/>
  <c r="T456" i="2"/>
  <c r="Y456" i="2"/>
  <c r="U456" i="2"/>
  <c r="Z456" i="2"/>
  <c r="V456" i="2"/>
  <c r="T7" i="2"/>
  <c r="U7" i="2"/>
  <c r="V7" i="2"/>
  <c r="G28" i="31"/>
  <c r="G95" i="10"/>
  <c r="C99" i="10"/>
  <c r="E17" i="10"/>
  <c r="E22" i="10"/>
  <c r="E24" i="10"/>
  <c r="E25" i="10"/>
  <c r="E27" i="10"/>
  <c r="E29" i="10"/>
  <c r="E92" i="10"/>
  <c r="E99" i="10"/>
  <c r="E133" i="28"/>
  <c r="G15" i="31"/>
  <c r="H15" i="31"/>
  <c r="I15" i="31"/>
  <c r="G18" i="31"/>
  <c r="H18" i="31"/>
  <c r="I18" i="31"/>
  <c r="G21" i="31"/>
  <c r="H21" i="31"/>
  <c r="I21" i="31"/>
  <c r="G24" i="31"/>
  <c r="H24" i="31"/>
  <c r="I24" i="31"/>
  <c r="G27" i="31"/>
  <c r="H27" i="31"/>
  <c r="I27" i="31"/>
  <c r="I28" i="31"/>
  <c r="K28" i="31"/>
  <c r="H128" i="28"/>
  <c r="I128" i="28"/>
  <c r="H13" i="28"/>
  <c r="I13" i="28"/>
  <c r="F133" i="28"/>
  <c r="I133" i="28"/>
  <c r="H33" i="31"/>
  <c r="G33" i="31"/>
  <c r="I33" i="31"/>
  <c r="G36" i="31"/>
  <c r="H36" i="31"/>
  <c r="I36" i="31"/>
  <c r="G39" i="31"/>
  <c r="H39" i="31"/>
  <c r="I39" i="31"/>
  <c r="I40" i="31"/>
  <c r="G40" i="31"/>
  <c r="K40" i="31"/>
  <c r="L128" i="28"/>
  <c r="D40" i="31"/>
  <c r="L13" i="28"/>
  <c r="H133" i="28"/>
  <c r="AA11" i="2"/>
  <c r="W11" i="2"/>
  <c r="AA12" i="2"/>
  <c r="W12" i="2"/>
  <c r="AA13" i="2"/>
  <c r="W13" i="2"/>
  <c r="AA14" i="2"/>
  <c r="W14" i="2"/>
  <c r="AA15" i="2"/>
  <c r="W15" i="2"/>
  <c r="AA16" i="2"/>
  <c r="W16" i="2"/>
  <c r="AA17" i="2"/>
  <c r="W17" i="2"/>
  <c r="AA18" i="2"/>
  <c r="W18" i="2"/>
  <c r="AA19" i="2"/>
  <c r="W19" i="2"/>
  <c r="AA20" i="2"/>
  <c r="W20" i="2"/>
  <c r="AA21" i="2"/>
  <c r="W21" i="2"/>
  <c r="AA22" i="2"/>
  <c r="W22" i="2"/>
  <c r="AA23" i="2"/>
  <c r="W23" i="2"/>
  <c r="AA24" i="2"/>
  <c r="W24" i="2"/>
  <c r="AA25" i="2"/>
  <c r="W25" i="2"/>
  <c r="AA26" i="2"/>
  <c r="W26" i="2"/>
  <c r="AA27" i="2"/>
  <c r="W27" i="2"/>
  <c r="AA28" i="2"/>
  <c r="W28" i="2"/>
  <c r="AA29" i="2"/>
  <c r="W29" i="2"/>
  <c r="AA30" i="2"/>
  <c r="W30" i="2"/>
  <c r="AA31" i="2"/>
  <c r="W31" i="2"/>
  <c r="AA32" i="2"/>
  <c r="W32" i="2"/>
  <c r="AA33" i="2"/>
  <c r="W33" i="2"/>
  <c r="AA34" i="2"/>
  <c r="W34" i="2"/>
  <c r="AA35" i="2"/>
  <c r="W35" i="2"/>
  <c r="AA36" i="2"/>
  <c r="W36" i="2"/>
  <c r="AA37" i="2"/>
  <c r="W37" i="2"/>
  <c r="AA38" i="2"/>
  <c r="W38" i="2"/>
  <c r="AA39" i="2"/>
  <c r="W39" i="2"/>
  <c r="AA40" i="2"/>
  <c r="W40" i="2"/>
  <c r="AA41" i="2"/>
  <c r="W41" i="2"/>
  <c r="AA42" i="2"/>
  <c r="W42" i="2"/>
  <c r="AA43" i="2"/>
  <c r="W43" i="2"/>
  <c r="AA44" i="2"/>
  <c r="W44" i="2"/>
  <c r="AA45" i="2"/>
  <c r="W45" i="2"/>
  <c r="AA46" i="2"/>
  <c r="W46" i="2"/>
  <c r="AA47" i="2"/>
  <c r="W47" i="2"/>
  <c r="AA48" i="2"/>
  <c r="W48" i="2"/>
  <c r="AA49" i="2"/>
  <c r="W49" i="2"/>
  <c r="AA50" i="2"/>
  <c r="W50" i="2"/>
  <c r="AA51" i="2"/>
  <c r="W51" i="2"/>
  <c r="AA52" i="2"/>
  <c r="W52" i="2"/>
  <c r="AA53" i="2"/>
  <c r="W53" i="2"/>
  <c r="AA54" i="2"/>
  <c r="W54" i="2"/>
  <c r="AA55" i="2"/>
  <c r="W55" i="2"/>
  <c r="AA56" i="2"/>
  <c r="W56" i="2"/>
  <c r="AA57" i="2"/>
  <c r="W57" i="2"/>
  <c r="AA58" i="2"/>
  <c r="W58" i="2"/>
  <c r="AA59" i="2"/>
  <c r="W59" i="2"/>
  <c r="AA60" i="2"/>
  <c r="W60" i="2"/>
  <c r="AA61" i="2"/>
  <c r="W61" i="2"/>
  <c r="AA62" i="2"/>
  <c r="W62" i="2"/>
  <c r="AA63" i="2"/>
  <c r="W63" i="2"/>
  <c r="AA64" i="2"/>
  <c r="W64" i="2"/>
  <c r="AA65" i="2"/>
  <c r="W65" i="2"/>
  <c r="AA66" i="2"/>
  <c r="W66" i="2"/>
  <c r="AA67" i="2"/>
  <c r="W67" i="2"/>
  <c r="AA68" i="2"/>
  <c r="W68" i="2"/>
  <c r="AA69" i="2"/>
  <c r="W69" i="2"/>
  <c r="AA70" i="2"/>
  <c r="W70" i="2"/>
  <c r="AA71" i="2"/>
  <c r="W71" i="2"/>
  <c r="AA72" i="2"/>
  <c r="W72" i="2"/>
  <c r="AA73" i="2"/>
  <c r="W73" i="2"/>
  <c r="AA74" i="2"/>
  <c r="W74" i="2"/>
  <c r="AA75" i="2"/>
  <c r="W75" i="2"/>
  <c r="AA76" i="2"/>
  <c r="W76" i="2"/>
  <c r="AA77" i="2"/>
  <c r="W77" i="2"/>
  <c r="AA78" i="2"/>
  <c r="W78" i="2"/>
  <c r="AA79" i="2"/>
  <c r="W79" i="2"/>
  <c r="AA80" i="2"/>
  <c r="W80" i="2"/>
  <c r="AA81" i="2"/>
  <c r="W81" i="2"/>
  <c r="AA82" i="2"/>
  <c r="W82" i="2"/>
  <c r="AA83" i="2"/>
  <c r="W83" i="2"/>
  <c r="AA84" i="2"/>
  <c r="W84" i="2"/>
  <c r="AA85" i="2"/>
  <c r="W85" i="2"/>
  <c r="AA86" i="2"/>
  <c r="W86" i="2"/>
  <c r="AA87" i="2"/>
  <c r="W87" i="2"/>
  <c r="AA88" i="2"/>
  <c r="W88" i="2"/>
  <c r="AA89" i="2"/>
  <c r="W89" i="2"/>
  <c r="AA90" i="2"/>
  <c r="W90" i="2"/>
  <c r="AA91" i="2"/>
  <c r="W91" i="2"/>
  <c r="AA92" i="2"/>
  <c r="W92" i="2"/>
  <c r="AA93" i="2"/>
  <c r="W93" i="2"/>
  <c r="AA94" i="2"/>
  <c r="W94" i="2"/>
  <c r="AA95" i="2"/>
  <c r="W95" i="2"/>
  <c r="AA96" i="2"/>
  <c r="W96" i="2"/>
  <c r="AA97" i="2"/>
  <c r="W97" i="2"/>
  <c r="AA98" i="2"/>
  <c r="W98" i="2"/>
  <c r="AA99" i="2"/>
  <c r="W99" i="2"/>
  <c r="AA100" i="2"/>
  <c r="W100" i="2"/>
  <c r="AA101" i="2"/>
  <c r="W101" i="2"/>
  <c r="AA102" i="2"/>
  <c r="W102" i="2"/>
  <c r="AA103" i="2"/>
  <c r="W103" i="2"/>
  <c r="AA104" i="2"/>
  <c r="W104" i="2"/>
  <c r="AA105" i="2"/>
  <c r="W105" i="2"/>
  <c r="AA106" i="2"/>
  <c r="W106" i="2"/>
  <c r="AA107" i="2"/>
  <c r="W107" i="2"/>
  <c r="AA108" i="2"/>
  <c r="W108" i="2"/>
  <c r="AA109" i="2"/>
  <c r="W109" i="2"/>
  <c r="AA110" i="2"/>
  <c r="W110" i="2"/>
  <c r="AA111" i="2"/>
  <c r="W111" i="2"/>
  <c r="AA112" i="2"/>
  <c r="W112" i="2"/>
  <c r="AA113" i="2"/>
  <c r="W113" i="2"/>
  <c r="AA114" i="2"/>
  <c r="W114" i="2"/>
  <c r="AA115" i="2"/>
  <c r="W115" i="2"/>
  <c r="AA116" i="2"/>
  <c r="W116" i="2"/>
  <c r="AA117" i="2"/>
  <c r="W117" i="2"/>
  <c r="AA118" i="2"/>
  <c r="W118" i="2"/>
  <c r="AA119" i="2"/>
  <c r="W119" i="2"/>
  <c r="AA120" i="2"/>
  <c r="W120" i="2"/>
  <c r="AA121" i="2"/>
  <c r="W121" i="2"/>
  <c r="AA122" i="2"/>
  <c r="W122" i="2"/>
  <c r="AA123" i="2"/>
  <c r="W123" i="2"/>
  <c r="AA124" i="2"/>
  <c r="W124" i="2"/>
  <c r="AA125" i="2"/>
  <c r="W125" i="2"/>
  <c r="AA126" i="2"/>
  <c r="W126" i="2"/>
  <c r="AA127" i="2"/>
  <c r="W127" i="2"/>
  <c r="AA128" i="2"/>
  <c r="W128" i="2"/>
  <c r="AA129" i="2"/>
  <c r="W129" i="2"/>
  <c r="AA130" i="2"/>
  <c r="W130" i="2"/>
  <c r="AA131" i="2"/>
  <c r="W131" i="2"/>
  <c r="AA132" i="2"/>
  <c r="W132" i="2"/>
  <c r="AA133" i="2"/>
  <c r="W133" i="2"/>
  <c r="AA134" i="2"/>
  <c r="W134" i="2"/>
  <c r="AA135" i="2"/>
  <c r="W135" i="2"/>
  <c r="AA136" i="2"/>
  <c r="W136" i="2"/>
  <c r="AA137" i="2"/>
  <c r="W137" i="2"/>
  <c r="AA138" i="2"/>
  <c r="W138" i="2"/>
  <c r="AA139" i="2"/>
  <c r="W139" i="2"/>
  <c r="AA140" i="2"/>
  <c r="W140" i="2"/>
  <c r="AA141" i="2"/>
  <c r="W141" i="2"/>
  <c r="AA142" i="2"/>
  <c r="W142" i="2"/>
  <c r="AA143" i="2"/>
  <c r="W143" i="2"/>
  <c r="AA144" i="2"/>
  <c r="W144" i="2"/>
  <c r="AA145" i="2"/>
  <c r="W145" i="2"/>
  <c r="AA146" i="2"/>
  <c r="W146" i="2"/>
  <c r="AA147" i="2"/>
  <c r="W147" i="2"/>
  <c r="AA148" i="2"/>
  <c r="W148" i="2"/>
  <c r="AA149" i="2"/>
  <c r="W149" i="2"/>
  <c r="AA150" i="2"/>
  <c r="W150" i="2"/>
  <c r="AA151" i="2"/>
  <c r="W151" i="2"/>
  <c r="AA152" i="2"/>
  <c r="W152" i="2"/>
  <c r="AA153" i="2"/>
  <c r="W153" i="2"/>
  <c r="AA154" i="2"/>
  <c r="W154" i="2"/>
  <c r="AA155" i="2"/>
  <c r="W155" i="2"/>
  <c r="AA156" i="2"/>
  <c r="W156" i="2"/>
  <c r="AA157" i="2"/>
  <c r="W157" i="2"/>
  <c r="AA158" i="2"/>
  <c r="W158" i="2"/>
  <c r="AA159" i="2"/>
  <c r="W159" i="2"/>
  <c r="AA160" i="2"/>
  <c r="W160" i="2"/>
  <c r="AA161" i="2"/>
  <c r="W161" i="2"/>
  <c r="AA162" i="2"/>
  <c r="W162" i="2"/>
  <c r="AA163" i="2"/>
  <c r="W163" i="2"/>
  <c r="AA164" i="2"/>
  <c r="W164" i="2"/>
  <c r="AA165" i="2"/>
  <c r="W165" i="2"/>
  <c r="AA166" i="2"/>
  <c r="W166" i="2"/>
  <c r="AA167" i="2"/>
  <c r="W167" i="2"/>
  <c r="AA168" i="2"/>
  <c r="W168" i="2"/>
  <c r="AA169" i="2"/>
  <c r="W169" i="2"/>
  <c r="AA170" i="2"/>
  <c r="W170" i="2"/>
  <c r="AA171" i="2"/>
  <c r="W171" i="2"/>
  <c r="AA172" i="2"/>
  <c r="W172" i="2"/>
  <c r="AA173" i="2"/>
  <c r="W173" i="2"/>
  <c r="AA174" i="2"/>
  <c r="W174" i="2"/>
  <c r="AA175" i="2"/>
  <c r="W175" i="2"/>
  <c r="AA176" i="2"/>
  <c r="W176" i="2"/>
  <c r="AA177" i="2"/>
  <c r="W177" i="2"/>
  <c r="AA178" i="2"/>
  <c r="W178" i="2"/>
  <c r="AA179" i="2"/>
  <c r="W179" i="2"/>
  <c r="AA180" i="2"/>
  <c r="W180" i="2"/>
  <c r="AA181" i="2"/>
  <c r="W181" i="2"/>
  <c r="AA182" i="2"/>
  <c r="W182" i="2"/>
  <c r="AA183" i="2"/>
  <c r="W183" i="2"/>
  <c r="AA184" i="2"/>
  <c r="W184" i="2"/>
  <c r="AA185" i="2"/>
  <c r="W185" i="2"/>
  <c r="AA186" i="2"/>
  <c r="W186" i="2"/>
  <c r="AA187" i="2"/>
  <c r="W187" i="2"/>
  <c r="AA188" i="2"/>
  <c r="W188" i="2"/>
  <c r="AA189" i="2"/>
  <c r="W189" i="2"/>
  <c r="AA190" i="2"/>
  <c r="W190" i="2"/>
  <c r="AA191" i="2"/>
  <c r="W191" i="2"/>
  <c r="AA192" i="2"/>
  <c r="W192" i="2"/>
  <c r="AA193" i="2"/>
  <c r="W193" i="2"/>
  <c r="AA194" i="2"/>
  <c r="W194" i="2"/>
  <c r="AA195" i="2"/>
  <c r="W195" i="2"/>
  <c r="AA196" i="2"/>
  <c r="W196" i="2"/>
  <c r="AA197" i="2"/>
  <c r="W197" i="2"/>
  <c r="AA198" i="2"/>
  <c r="W198" i="2"/>
  <c r="AA199" i="2"/>
  <c r="W199" i="2"/>
  <c r="AA200" i="2"/>
  <c r="W200" i="2"/>
  <c r="AA201" i="2"/>
  <c r="W201" i="2"/>
  <c r="AA202" i="2"/>
  <c r="W202" i="2"/>
  <c r="AA203" i="2"/>
  <c r="W203" i="2"/>
  <c r="AA204" i="2"/>
  <c r="W204" i="2"/>
  <c r="AA205" i="2"/>
  <c r="W205" i="2"/>
  <c r="AA206" i="2"/>
  <c r="W206" i="2"/>
  <c r="AA207" i="2"/>
  <c r="W207" i="2"/>
  <c r="AA208" i="2"/>
  <c r="W208" i="2"/>
  <c r="AA209" i="2"/>
  <c r="W209" i="2"/>
  <c r="AA210" i="2"/>
  <c r="W210" i="2"/>
  <c r="AA211" i="2"/>
  <c r="W211" i="2"/>
  <c r="AA212" i="2"/>
  <c r="W212" i="2"/>
  <c r="AA213" i="2"/>
  <c r="W213" i="2"/>
  <c r="AA214" i="2"/>
  <c r="W214" i="2"/>
  <c r="AA215" i="2"/>
  <c r="W215" i="2"/>
  <c r="AA216" i="2"/>
  <c r="W216" i="2"/>
  <c r="AA217" i="2"/>
  <c r="W217" i="2"/>
  <c r="AA218" i="2"/>
  <c r="W218" i="2"/>
  <c r="AA219" i="2"/>
  <c r="W219" i="2"/>
  <c r="AA220" i="2"/>
  <c r="W220" i="2"/>
  <c r="AA221" i="2"/>
  <c r="W221" i="2"/>
  <c r="AA222" i="2"/>
  <c r="W222" i="2"/>
  <c r="AA223" i="2"/>
  <c r="W223" i="2"/>
  <c r="AA224" i="2"/>
  <c r="W224" i="2"/>
  <c r="AA225" i="2"/>
  <c r="W225" i="2"/>
  <c r="AA226" i="2"/>
  <c r="W226" i="2"/>
  <c r="AA227" i="2"/>
  <c r="W227" i="2"/>
  <c r="AA228" i="2"/>
  <c r="W228" i="2"/>
  <c r="AA229" i="2"/>
  <c r="W229" i="2"/>
  <c r="AA230" i="2"/>
  <c r="W230" i="2"/>
  <c r="AA231" i="2"/>
  <c r="W231" i="2"/>
  <c r="AA232" i="2"/>
  <c r="W232" i="2"/>
  <c r="AA233" i="2"/>
  <c r="W233" i="2"/>
  <c r="AA234" i="2"/>
  <c r="W234" i="2"/>
  <c r="AA235" i="2"/>
  <c r="W235" i="2"/>
  <c r="AA236" i="2"/>
  <c r="W236" i="2"/>
  <c r="AA237" i="2"/>
  <c r="W237" i="2"/>
  <c r="AA238" i="2"/>
  <c r="W238" i="2"/>
  <c r="AA239" i="2"/>
  <c r="W239" i="2"/>
  <c r="AA240" i="2"/>
  <c r="W240" i="2"/>
  <c r="AA241" i="2"/>
  <c r="W241" i="2"/>
  <c r="AA242" i="2"/>
  <c r="W242" i="2"/>
  <c r="AA243" i="2"/>
  <c r="W243" i="2"/>
  <c r="AA244" i="2"/>
  <c r="W244" i="2"/>
  <c r="AA245" i="2"/>
  <c r="W245" i="2"/>
  <c r="AA246" i="2"/>
  <c r="W246" i="2"/>
  <c r="AA247" i="2"/>
  <c r="W247" i="2"/>
  <c r="AA248" i="2"/>
  <c r="W248" i="2"/>
  <c r="AA249" i="2"/>
  <c r="W249" i="2"/>
  <c r="AA250" i="2"/>
  <c r="W250" i="2"/>
  <c r="AA251" i="2"/>
  <c r="W251" i="2"/>
  <c r="AA252" i="2"/>
  <c r="W252" i="2"/>
  <c r="AA253" i="2"/>
  <c r="W253" i="2"/>
  <c r="AA254" i="2"/>
  <c r="W254" i="2"/>
  <c r="AA255" i="2"/>
  <c r="W255" i="2"/>
  <c r="AA256" i="2"/>
  <c r="W256" i="2"/>
  <c r="AA257" i="2"/>
  <c r="W257" i="2"/>
  <c r="AA258" i="2"/>
  <c r="W258" i="2"/>
  <c r="AA259" i="2"/>
  <c r="W259" i="2"/>
  <c r="AA260" i="2"/>
  <c r="W260" i="2"/>
  <c r="AA261" i="2"/>
  <c r="W261" i="2"/>
  <c r="AA262" i="2"/>
  <c r="W262" i="2"/>
  <c r="AA263" i="2"/>
  <c r="W263" i="2"/>
  <c r="AA264" i="2"/>
  <c r="W264" i="2"/>
  <c r="AA265" i="2"/>
  <c r="W265" i="2"/>
  <c r="AA266" i="2"/>
  <c r="W266" i="2"/>
  <c r="AA267" i="2"/>
  <c r="W267" i="2"/>
  <c r="AA268" i="2"/>
  <c r="W268" i="2"/>
  <c r="AA269" i="2"/>
  <c r="W269" i="2"/>
  <c r="AA270" i="2"/>
  <c r="W270" i="2"/>
  <c r="AA271" i="2"/>
  <c r="W271" i="2"/>
  <c r="AA272" i="2"/>
  <c r="W272" i="2"/>
  <c r="AA273" i="2"/>
  <c r="W273" i="2"/>
  <c r="AA274" i="2"/>
  <c r="W274" i="2"/>
  <c r="AA275" i="2"/>
  <c r="W275" i="2"/>
  <c r="AA276" i="2"/>
  <c r="W276" i="2"/>
  <c r="AA277" i="2"/>
  <c r="W277" i="2"/>
  <c r="AA278" i="2"/>
  <c r="W278" i="2"/>
  <c r="AA279" i="2"/>
  <c r="W279" i="2"/>
  <c r="AA280" i="2"/>
  <c r="W280" i="2"/>
  <c r="AA281" i="2"/>
  <c r="W281" i="2"/>
  <c r="AA282" i="2"/>
  <c r="W282" i="2"/>
  <c r="AA283" i="2"/>
  <c r="W283" i="2"/>
  <c r="AA284" i="2"/>
  <c r="W284" i="2"/>
  <c r="AA285" i="2"/>
  <c r="W285" i="2"/>
  <c r="AA286" i="2"/>
  <c r="W286" i="2"/>
  <c r="AA287" i="2"/>
  <c r="W287" i="2"/>
  <c r="AA288" i="2"/>
  <c r="W288" i="2"/>
  <c r="AA289" i="2"/>
  <c r="W289" i="2"/>
  <c r="AA290" i="2"/>
  <c r="W290" i="2"/>
  <c r="AA291" i="2"/>
  <c r="W291" i="2"/>
  <c r="AA292" i="2"/>
  <c r="W292" i="2"/>
  <c r="AA293" i="2"/>
  <c r="W293" i="2"/>
  <c r="AA294" i="2"/>
  <c r="W294" i="2"/>
  <c r="AA295" i="2"/>
  <c r="W295" i="2"/>
  <c r="AA296" i="2"/>
  <c r="W296" i="2"/>
  <c r="AA297" i="2"/>
  <c r="W297" i="2"/>
  <c r="AA298" i="2"/>
  <c r="W298" i="2"/>
  <c r="AA299" i="2"/>
  <c r="W299" i="2"/>
  <c r="AA300" i="2"/>
  <c r="W300" i="2"/>
  <c r="AA301" i="2"/>
  <c r="W301" i="2"/>
  <c r="AA302" i="2"/>
  <c r="W302" i="2"/>
  <c r="AA303" i="2"/>
  <c r="W303" i="2"/>
  <c r="AA304" i="2"/>
  <c r="W304" i="2"/>
  <c r="AA305" i="2"/>
  <c r="W305" i="2"/>
  <c r="AA306" i="2"/>
  <c r="W306" i="2"/>
  <c r="AA307" i="2"/>
  <c r="W307" i="2"/>
  <c r="AA308" i="2"/>
  <c r="W308" i="2"/>
  <c r="AA309" i="2"/>
  <c r="W309" i="2"/>
  <c r="AA310" i="2"/>
  <c r="W310" i="2"/>
  <c r="AA311" i="2"/>
  <c r="W311" i="2"/>
  <c r="AA312" i="2"/>
  <c r="W312" i="2"/>
  <c r="AA313" i="2"/>
  <c r="W313" i="2"/>
  <c r="AA314" i="2"/>
  <c r="W314" i="2"/>
  <c r="AA315" i="2"/>
  <c r="W315" i="2"/>
  <c r="AA316" i="2"/>
  <c r="W316" i="2"/>
  <c r="AA317" i="2"/>
  <c r="W317" i="2"/>
  <c r="AA318" i="2"/>
  <c r="W318" i="2"/>
  <c r="AA319" i="2"/>
  <c r="W319" i="2"/>
  <c r="AA320" i="2"/>
  <c r="W320" i="2"/>
  <c r="AA321" i="2"/>
  <c r="W321" i="2"/>
  <c r="AA322" i="2"/>
  <c r="W322" i="2"/>
  <c r="AA323" i="2"/>
  <c r="W323" i="2"/>
  <c r="AA324" i="2"/>
  <c r="W324" i="2"/>
  <c r="AA325" i="2"/>
  <c r="W325" i="2"/>
  <c r="AA326" i="2"/>
  <c r="W326" i="2"/>
  <c r="AA327" i="2"/>
  <c r="W327" i="2"/>
  <c r="AA328" i="2"/>
  <c r="W328" i="2"/>
  <c r="AA329" i="2"/>
  <c r="W329" i="2"/>
  <c r="AA330" i="2"/>
  <c r="W330" i="2"/>
  <c r="AA331" i="2"/>
  <c r="W331" i="2"/>
  <c r="AA332" i="2"/>
  <c r="W332" i="2"/>
  <c r="AA333" i="2"/>
  <c r="W333" i="2"/>
  <c r="AA334" i="2"/>
  <c r="W334" i="2"/>
  <c r="AA335" i="2"/>
  <c r="W335" i="2"/>
  <c r="AA336" i="2"/>
  <c r="W336" i="2"/>
  <c r="AA337" i="2"/>
  <c r="W337" i="2"/>
  <c r="AA338" i="2"/>
  <c r="W338" i="2"/>
  <c r="AA339" i="2"/>
  <c r="W339" i="2"/>
  <c r="AA340" i="2"/>
  <c r="W340" i="2"/>
  <c r="AA341" i="2"/>
  <c r="W341" i="2"/>
  <c r="AA342" i="2"/>
  <c r="W342" i="2"/>
  <c r="AA343" i="2"/>
  <c r="W343" i="2"/>
  <c r="AA344" i="2"/>
  <c r="W344" i="2"/>
  <c r="AA345" i="2"/>
  <c r="W345" i="2"/>
  <c r="AA346" i="2"/>
  <c r="W346" i="2"/>
  <c r="AA347" i="2"/>
  <c r="W347" i="2"/>
  <c r="AA348" i="2"/>
  <c r="W348" i="2"/>
  <c r="AA349" i="2"/>
  <c r="W349" i="2"/>
  <c r="AA350" i="2"/>
  <c r="W350" i="2"/>
  <c r="AA351" i="2"/>
  <c r="W351" i="2"/>
  <c r="AA352" i="2"/>
  <c r="W352" i="2"/>
  <c r="AA353" i="2"/>
  <c r="W353" i="2"/>
  <c r="AA354" i="2"/>
  <c r="W354" i="2"/>
  <c r="AA355" i="2"/>
  <c r="W355" i="2"/>
  <c r="AA356" i="2"/>
  <c r="W356" i="2"/>
  <c r="AA357" i="2"/>
  <c r="W357" i="2"/>
  <c r="AA358" i="2"/>
  <c r="W358" i="2"/>
  <c r="AA359" i="2"/>
  <c r="W359" i="2"/>
  <c r="AA360" i="2"/>
  <c r="W360" i="2"/>
  <c r="AA361" i="2"/>
  <c r="W361" i="2"/>
  <c r="AA362" i="2"/>
  <c r="W362" i="2"/>
  <c r="AA363" i="2"/>
  <c r="W363" i="2"/>
  <c r="AA364" i="2"/>
  <c r="W364" i="2"/>
  <c r="AA365" i="2"/>
  <c r="W365" i="2"/>
  <c r="AA366" i="2"/>
  <c r="W366" i="2"/>
  <c r="AA367" i="2"/>
  <c r="W367" i="2"/>
  <c r="AA368" i="2"/>
  <c r="W368" i="2"/>
  <c r="AA369" i="2"/>
  <c r="W369" i="2"/>
  <c r="AA370" i="2"/>
  <c r="W370" i="2"/>
  <c r="AA371" i="2"/>
  <c r="W371" i="2"/>
  <c r="AA372" i="2"/>
  <c r="W372" i="2"/>
  <c r="AA373" i="2"/>
  <c r="W373" i="2"/>
  <c r="AA374" i="2"/>
  <c r="W374" i="2"/>
  <c r="AA375" i="2"/>
  <c r="W375" i="2"/>
  <c r="AA376" i="2"/>
  <c r="W376" i="2"/>
  <c r="AA377" i="2"/>
  <c r="W377" i="2"/>
  <c r="AA378" i="2"/>
  <c r="W378" i="2"/>
  <c r="AA379" i="2"/>
  <c r="W379" i="2"/>
  <c r="AA380" i="2"/>
  <c r="W380" i="2"/>
  <c r="AA381" i="2"/>
  <c r="W381" i="2"/>
  <c r="AA382" i="2"/>
  <c r="W382" i="2"/>
  <c r="AA383" i="2"/>
  <c r="W383" i="2"/>
  <c r="AA384" i="2"/>
  <c r="W384" i="2"/>
  <c r="AA385" i="2"/>
  <c r="W385" i="2"/>
  <c r="AA386" i="2"/>
  <c r="W386" i="2"/>
  <c r="AA387" i="2"/>
  <c r="W387" i="2"/>
  <c r="AA388" i="2"/>
  <c r="W388" i="2"/>
  <c r="AA389" i="2"/>
  <c r="W389" i="2"/>
  <c r="AA390" i="2"/>
  <c r="W390" i="2"/>
  <c r="AA391" i="2"/>
  <c r="W391" i="2"/>
  <c r="AA392" i="2"/>
  <c r="W392" i="2"/>
  <c r="AA393" i="2"/>
  <c r="W393" i="2"/>
  <c r="AA394" i="2"/>
  <c r="W394" i="2"/>
  <c r="AA395" i="2"/>
  <c r="W395" i="2"/>
  <c r="AA396" i="2"/>
  <c r="W396" i="2"/>
  <c r="AA397" i="2"/>
  <c r="W397" i="2"/>
  <c r="AA398" i="2"/>
  <c r="W398" i="2"/>
  <c r="AA399" i="2"/>
  <c r="W399" i="2"/>
  <c r="AA400" i="2"/>
  <c r="W400" i="2"/>
  <c r="AA401" i="2"/>
  <c r="W401" i="2"/>
  <c r="AA402" i="2"/>
  <c r="W402" i="2"/>
  <c r="AA403" i="2"/>
  <c r="W403" i="2"/>
  <c r="AA404" i="2"/>
  <c r="W404" i="2"/>
  <c r="AA405" i="2"/>
  <c r="W405" i="2"/>
  <c r="AA406" i="2"/>
  <c r="W406" i="2"/>
  <c r="AA407" i="2"/>
  <c r="W407" i="2"/>
  <c r="AA408" i="2"/>
  <c r="W408" i="2"/>
  <c r="AA409" i="2"/>
  <c r="W409" i="2"/>
  <c r="AA410" i="2"/>
  <c r="W410" i="2"/>
  <c r="AA411" i="2"/>
  <c r="W411" i="2"/>
  <c r="AA412" i="2"/>
  <c r="W412" i="2"/>
  <c r="AA413" i="2"/>
  <c r="W413" i="2"/>
  <c r="AA414" i="2"/>
  <c r="W414" i="2"/>
  <c r="AA415" i="2"/>
  <c r="W415" i="2"/>
  <c r="AA416" i="2"/>
  <c r="W416" i="2"/>
  <c r="AA417" i="2"/>
  <c r="W417" i="2"/>
  <c r="AA418" i="2"/>
  <c r="W418" i="2"/>
  <c r="AA419" i="2"/>
  <c r="W419" i="2"/>
  <c r="AA420" i="2"/>
  <c r="W420" i="2"/>
  <c r="AA421" i="2"/>
  <c r="W421" i="2"/>
  <c r="AA422" i="2"/>
  <c r="W422" i="2"/>
  <c r="AA423" i="2"/>
  <c r="W423" i="2"/>
  <c r="AA424" i="2"/>
  <c r="W424" i="2"/>
  <c r="AA425" i="2"/>
  <c r="W425" i="2"/>
  <c r="AA426" i="2"/>
  <c r="W426" i="2"/>
  <c r="AA427" i="2"/>
  <c r="W427" i="2"/>
  <c r="AA428" i="2"/>
  <c r="W428" i="2"/>
  <c r="AA429" i="2"/>
  <c r="W429" i="2"/>
  <c r="AA430" i="2"/>
  <c r="W430" i="2"/>
  <c r="AA431" i="2"/>
  <c r="W431" i="2"/>
  <c r="AA432" i="2"/>
  <c r="W432" i="2"/>
  <c r="AA433" i="2"/>
  <c r="W433" i="2"/>
  <c r="AA434" i="2"/>
  <c r="W434" i="2"/>
  <c r="AA435" i="2"/>
  <c r="W435" i="2"/>
  <c r="AA436" i="2"/>
  <c r="W436" i="2"/>
  <c r="AA437" i="2"/>
  <c r="W437" i="2"/>
  <c r="AA438" i="2"/>
  <c r="W438" i="2"/>
  <c r="AA439" i="2"/>
  <c r="W439" i="2"/>
  <c r="AA440" i="2"/>
  <c r="W440" i="2"/>
  <c r="AA441" i="2"/>
  <c r="W441" i="2"/>
  <c r="AA442" i="2"/>
  <c r="W442" i="2"/>
  <c r="AA443" i="2"/>
  <c r="W443" i="2"/>
  <c r="AA444" i="2"/>
  <c r="W444" i="2"/>
  <c r="AA445" i="2"/>
  <c r="W445" i="2"/>
  <c r="AA446" i="2"/>
  <c r="W446" i="2"/>
  <c r="AA447" i="2"/>
  <c r="W447" i="2"/>
  <c r="AA448" i="2"/>
  <c r="W448" i="2"/>
  <c r="AA449" i="2"/>
  <c r="W449" i="2"/>
  <c r="AA450" i="2"/>
  <c r="W450" i="2"/>
  <c r="AA451" i="2"/>
  <c r="W451" i="2"/>
  <c r="AA452" i="2"/>
  <c r="W452" i="2"/>
  <c r="AA453" i="2"/>
  <c r="W453" i="2"/>
  <c r="AA454" i="2"/>
  <c r="W454" i="2"/>
  <c r="AA455" i="2"/>
  <c r="W455" i="2"/>
  <c r="AA456" i="2"/>
  <c r="W456" i="2"/>
  <c r="G52" i="31"/>
  <c r="G47" i="31"/>
  <c r="H47" i="31"/>
  <c r="I47" i="31"/>
  <c r="G50" i="31"/>
  <c r="H50" i="31"/>
  <c r="I50" i="31"/>
  <c r="I52" i="31"/>
  <c r="K52" i="31"/>
  <c r="J128" i="28"/>
  <c r="J13" i="28"/>
  <c r="G133" i="28"/>
  <c r="J133" i="28"/>
  <c r="N133" i="28"/>
  <c r="O38" i="35"/>
  <c r="P38" i="35"/>
  <c r="Q38" i="35"/>
  <c r="R38" i="35"/>
  <c r="M134" i="28"/>
  <c r="C100" i="10"/>
  <c r="E100" i="10"/>
  <c r="E134" i="28"/>
  <c r="H14" i="28"/>
  <c r="I14" i="28"/>
  <c r="F134" i="28"/>
  <c r="I134" i="28"/>
  <c r="L14" i="28"/>
  <c r="H134" i="28"/>
  <c r="J14" i="28"/>
  <c r="G134" i="28"/>
  <c r="J134" i="28"/>
  <c r="N134" i="28"/>
  <c r="O31" i="35"/>
  <c r="P31" i="35"/>
  <c r="Q31" i="35"/>
  <c r="R31" i="35"/>
  <c r="M135" i="28"/>
  <c r="C101" i="10"/>
  <c r="E101" i="10"/>
  <c r="E135" i="28"/>
  <c r="H15" i="28"/>
  <c r="I15" i="28"/>
  <c r="F135" i="28"/>
  <c r="I135" i="28"/>
  <c r="L15" i="28"/>
  <c r="H135" i="28"/>
  <c r="J15" i="28"/>
  <c r="G135" i="28"/>
  <c r="J135" i="28"/>
  <c r="N135" i="28"/>
  <c r="O36" i="35"/>
  <c r="P36" i="35"/>
  <c r="Q36" i="35"/>
  <c r="R36" i="35"/>
  <c r="M136" i="28"/>
  <c r="C102" i="10"/>
  <c r="E102" i="10"/>
  <c r="E136" i="28"/>
  <c r="H16" i="28"/>
  <c r="I16" i="28"/>
  <c r="F136" i="28"/>
  <c r="I136" i="28"/>
  <c r="L16" i="28"/>
  <c r="H136" i="28"/>
  <c r="J16" i="28"/>
  <c r="G136" i="28"/>
  <c r="J136" i="28"/>
  <c r="N136" i="28"/>
  <c r="O37" i="35"/>
  <c r="P37" i="35"/>
  <c r="Q37" i="35"/>
  <c r="R37" i="35"/>
  <c r="M137" i="28"/>
  <c r="C103" i="10"/>
  <c r="E103" i="10"/>
  <c r="E137" i="28"/>
  <c r="H17" i="28"/>
  <c r="I17" i="28"/>
  <c r="F137" i="28"/>
  <c r="I137" i="28"/>
  <c r="L17" i="28"/>
  <c r="H137" i="28"/>
  <c r="J17" i="28"/>
  <c r="G137" i="28"/>
  <c r="J137" i="28"/>
  <c r="N137" i="28"/>
  <c r="O32" i="35"/>
  <c r="P32" i="35"/>
  <c r="Q32" i="35"/>
  <c r="R32" i="35"/>
  <c r="M138" i="28"/>
  <c r="C104" i="10"/>
  <c r="E104" i="10"/>
  <c r="E138" i="28"/>
  <c r="H18" i="28"/>
  <c r="I18" i="28"/>
  <c r="F138" i="28"/>
  <c r="I138" i="28"/>
  <c r="L18" i="28"/>
  <c r="H138" i="28"/>
  <c r="J18" i="28"/>
  <c r="G138" i="28"/>
  <c r="J138" i="28"/>
  <c r="N138" i="28"/>
  <c r="O42" i="35"/>
  <c r="P42" i="35"/>
  <c r="Q42" i="35"/>
  <c r="R42" i="35"/>
  <c r="O43" i="35"/>
  <c r="P43" i="35"/>
  <c r="Q43" i="35"/>
  <c r="R43" i="35"/>
  <c r="M139" i="28"/>
  <c r="C105" i="10"/>
  <c r="E105" i="10"/>
  <c r="E139" i="28"/>
  <c r="H19" i="28"/>
  <c r="I19" i="28"/>
  <c r="F139" i="28"/>
  <c r="I139" i="28"/>
  <c r="L19" i="28"/>
  <c r="H139" i="28"/>
  <c r="J19" i="28"/>
  <c r="G139" i="28"/>
  <c r="J139" i="28"/>
  <c r="N139" i="28"/>
  <c r="O33" i="35"/>
  <c r="P33" i="35"/>
  <c r="Q33" i="35"/>
  <c r="R33" i="35"/>
  <c r="O20" i="35"/>
  <c r="P20" i="35"/>
  <c r="Q20" i="35"/>
  <c r="R20" i="35"/>
  <c r="O21" i="35"/>
  <c r="P21" i="35"/>
  <c r="Q21" i="35"/>
  <c r="R21" i="35"/>
  <c r="O22" i="35"/>
  <c r="P22" i="35"/>
  <c r="Q22" i="35"/>
  <c r="R22" i="35"/>
  <c r="O23" i="35"/>
  <c r="P23" i="35"/>
  <c r="Q23" i="35"/>
  <c r="R23" i="35"/>
  <c r="O24" i="35"/>
  <c r="P24" i="35"/>
  <c r="Q24" i="35"/>
  <c r="R24" i="35"/>
  <c r="O25" i="35"/>
  <c r="P25" i="35"/>
  <c r="Q25" i="35"/>
  <c r="R25" i="35"/>
  <c r="O26" i="35"/>
  <c r="P26" i="35"/>
  <c r="Q26" i="35"/>
  <c r="R26" i="35"/>
  <c r="O27" i="35"/>
  <c r="P27" i="35"/>
  <c r="Q27" i="35"/>
  <c r="R27" i="35"/>
  <c r="O28" i="35"/>
  <c r="P28" i="35"/>
  <c r="Q28" i="35"/>
  <c r="R28" i="35"/>
  <c r="O29" i="35"/>
  <c r="P29" i="35"/>
  <c r="Q29" i="35"/>
  <c r="R29" i="35"/>
  <c r="O30" i="35"/>
  <c r="P30" i="35"/>
  <c r="Q30" i="35"/>
  <c r="R30" i="35"/>
  <c r="O34" i="35"/>
  <c r="P34" i="35"/>
  <c r="Q34" i="35"/>
  <c r="R34" i="35"/>
  <c r="O35" i="35"/>
  <c r="P35" i="35"/>
  <c r="Q35" i="35"/>
  <c r="R35" i="35"/>
  <c r="O39" i="35"/>
  <c r="P39" i="35"/>
  <c r="Q39" i="35"/>
  <c r="R39" i="35"/>
  <c r="O40" i="35"/>
  <c r="P40" i="35"/>
  <c r="Q40" i="35"/>
  <c r="R40" i="35"/>
  <c r="O44" i="35"/>
  <c r="P44" i="35"/>
  <c r="Q44" i="35"/>
  <c r="R44" i="35"/>
  <c r="O45" i="35"/>
  <c r="P45" i="35"/>
  <c r="Q45" i="35"/>
  <c r="R45" i="35"/>
  <c r="O46" i="35"/>
  <c r="P46" i="35"/>
  <c r="Q46" i="35"/>
  <c r="R46" i="35"/>
  <c r="O47" i="35"/>
  <c r="P47" i="35"/>
  <c r="Q47" i="35"/>
  <c r="R47" i="35"/>
  <c r="M140" i="28"/>
  <c r="C106" i="10"/>
  <c r="E106" i="10"/>
  <c r="E140" i="28"/>
  <c r="H20" i="28"/>
  <c r="I20" i="28"/>
  <c r="F140" i="28"/>
  <c r="I140" i="28"/>
  <c r="L20" i="28"/>
  <c r="H140" i="28"/>
  <c r="J20" i="28"/>
  <c r="G140" i="28"/>
  <c r="J140" i="28"/>
  <c r="N140" i="28"/>
  <c r="M141" i="28"/>
  <c r="C107" i="10"/>
  <c r="E107" i="10"/>
  <c r="E141" i="28"/>
  <c r="H21" i="28"/>
  <c r="I21" i="28"/>
  <c r="F141" i="28"/>
  <c r="I141" i="28"/>
  <c r="L21" i="28"/>
  <c r="H141" i="28"/>
  <c r="J21" i="28"/>
  <c r="G141" i="28"/>
  <c r="J141" i="28"/>
  <c r="N141" i="28"/>
  <c r="M142" i="28"/>
  <c r="C108" i="10"/>
  <c r="E108" i="10"/>
  <c r="E142" i="28"/>
  <c r="H22" i="28"/>
  <c r="I22" i="28"/>
  <c r="F142" i="28"/>
  <c r="I142" i="28"/>
  <c r="L22" i="28"/>
  <c r="H142" i="28"/>
  <c r="J22" i="28"/>
  <c r="G142" i="28"/>
  <c r="J142" i="28"/>
  <c r="N142" i="28"/>
  <c r="M143" i="28"/>
  <c r="C109" i="10"/>
  <c r="E109" i="10"/>
  <c r="E143" i="28"/>
  <c r="H23" i="28"/>
  <c r="I23" i="28"/>
  <c r="F143" i="28"/>
  <c r="I143" i="28"/>
  <c r="L23" i="28"/>
  <c r="H143" i="28"/>
  <c r="J23" i="28"/>
  <c r="G143" i="28"/>
  <c r="J143" i="28"/>
  <c r="N143" i="28"/>
  <c r="M144" i="28"/>
  <c r="C110" i="10"/>
  <c r="E110" i="10"/>
  <c r="E144" i="28"/>
  <c r="H24" i="28"/>
  <c r="I24" i="28"/>
  <c r="F144" i="28"/>
  <c r="I144" i="28"/>
  <c r="L24" i="28"/>
  <c r="H144" i="28"/>
  <c r="J24" i="28"/>
  <c r="G144" i="28"/>
  <c r="J144" i="28"/>
  <c r="N144" i="28"/>
  <c r="M145" i="28"/>
  <c r="C111" i="10"/>
  <c r="E111" i="10"/>
  <c r="E145" i="28"/>
  <c r="H25" i="28"/>
  <c r="I25" i="28"/>
  <c r="F145" i="28"/>
  <c r="I145" i="28"/>
  <c r="L25" i="28"/>
  <c r="H145" i="28"/>
  <c r="J25" i="28"/>
  <c r="G145" i="28"/>
  <c r="J145" i="28"/>
  <c r="N145" i="28"/>
  <c r="M146" i="28"/>
  <c r="C112" i="10"/>
  <c r="E112" i="10"/>
  <c r="E146" i="28"/>
  <c r="H26" i="28"/>
  <c r="I26" i="28"/>
  <c r="F146" i="28"/>
  <c r="I146" i="28"/>
  <c r="L26" i="28"/>
  <c r="H146" i="28"/>
  <c r="J26" i="28"/>
  <c r="G146" i="28"/>
  <c r="J146" i="28"/>
  <c r="N146" i="28"/>
  <c r="M147" i="28"/>
  <c r="C113" i="10"/>
  <c r="E113" i="10"/>
  <c r="E147" i="28"/>
  <c r="H27" i="28"/>
  <c r="I27" i="28"/>
  <c r="F147" i="28"/>
  <c r="I147" i="28"/>
  <c r="L27" i="28"/>
  <c r="H147" i="28"/>
  <c r="J27" i="28"/>
  <c r="G147" i="28"/>
  <c r="J147" i="28"/>
  <c r="N147" i="28"/>
  <c r="M148" i="28"/>
  <c r="C114" i="10"/>
  <c r="E114" i="10"/>
  <c r="E148" i="28"/>
  <c r="H28" i="28"/>
  <c r="I28" i="28"/>
  <c r="F148" i="28"/>
  <c r="I148" i="28"/>
  <c r="L28" i="28"/>
  <c r="H148" i="28"/>
  <c r="J28" i="28"/>
  <c r="G148" i="28"/>
  <c r="J148" i="28"/>
  <c r="N148" i="28"/>
  <c r="M149" i="28"/>
  <c r="C115" i="10"/>
  <c r="E115" i="10"/>
  <c r="E149" i="28"/>
  <c r="H29" i="28"/>
  <c r="I29" i="28"/>
  <c r="F149" i="28"/>
  <c r="I149" i="28"/>
  <c r="L29" i="28"/>
  <c r="H149" i="28"/>
  <c r="J29" i="28"/>
  <c r="G149" i="28"/>
  <c r="J149" i="28"/>
  <c r="N149" i="28"/>
  <c r="M150" i="28"/>
  <c r="C116" i="10"/>
  <c r="E116" i="10"/>
  <c r="E150" i="28"/>
  <c r="H30" i="28"/>
  <c r="I30" i="28"/>
  <c r="F150" i="28"/>
  <c r="I150" i="28"/>
  <c r="L30" i="28"/>
  <c r="H150" i="28"/>
  <c r="J30" i="28"/>
  <c r="G150" i="28"/>
  <c r="J150" i="28"/>
  <c r="N150" i="28"/>
  <c r="M151" i="28"/>
  <c r="C152" i="10"/>
  <c r="E152" i="10"/>
  <c r="E151" i="28"/>
  <c r="H31" i="28"/>
  <c r="I31" i="28"/>
  <c r="F151" i="28"/>
  <c r="I151" i="28"/>
  <c r="L31" i="28"/>
  <c r="H151" i="28"/>
  <c r="J31" i="28"/>
  <c r="G151" i="28"/>
  <c r="J151" i="28"/>
  <c r="N151" i="28"/>
  <c r="M152" i="28"/>
  <c r="C117" i="10"/>
  <c r="E117" i="10"/>
  <c r="E152" i="28"/>
  <c r="H32" i="28"/>
  <c r="I32" i="28"/>
  <c r="F152" i="28"/>
  <c r="I152" i="28"/>
  <c r="L32" i="28"/>
  <c r="H152" i="28"/>
  <c r="J32" i="28"/>
  <c r="G152" i="28"/>
  <c r="J152" i="28"/>
  <c r="N152" i="28"/>
  <c r="M153" i="28"/>
  <c r="C118" i="10"/>
  <c r="E118" i="10"/>
  <c r="E153" i="28"/>
  <c r="H33" i="28"/>
  <c r="I33" i="28"/>
  <c r="F153" i="28"/>
  <c r="I153" i="28"/>
  <c r="L33" i="28"/>
  <c r="H153" i="28"/>
  <c r="J33" i="28"/>
  <c r="G153" i="28"/>
  <c r="J153" i="28"/>
  <c r="N153" i="28"/>
  <c r="M154" i="28"/>
  <c r="C119" i="10"/>
  <c r="E119" i="10"/>
  <c r="E154" i="28"/>
  <c r="H34" i="28"/>
  <c r="I34" i="28"/>
  <c r="F154" i="28"/>
  <c r="I154" i="28"/>
  <c r="L34" i="28"/>
  <c r="H154" i="28"/>
  <c r="J34" i="28"/>
  <c r="G154" i="28"/>
  <c r="J154" i="28"/>
  <c r="N154" i="28"/>
  <c r="M155" i="28"/>
  <c r="C120" i="10"/>
  <c r="E120" i="10"/>
  <c r="E155" i="28"/>
  <c r="H35" i="28"/>
  <c r="I35" i="28"/>
  <c r="F155" i="28"/>
  <c r="I155" i="28"/>
  <c r="L35" i="28"/>
  <c r="H155" i="28"/>
  <c r="J35" i="28"/>
  <c r="G155" i="28"/>
  <c r="J155" i="28"/>
  <c r="N155" i="28"/>
  <c r="M156" i="28"/>
  <c r="C121" i="10"/>
  <c r="E121" i="10"/>
  <c r="E156" i="28"/>
  <c r="H36" i="28"/>
  <c r="I36" i="28"/>
  <c r="F156" i="28"/>
  <c r="I156" i="28"/>
  <c r="L36" i="28"/>
  <c r="H156" i="28"/>
  <c r="J36" i="28"/>
  <c r="G156" i="28"/>
  <c r="J156" i="28"/>
  <c r="N156" i="28"/>
  <c r="C122" i="10"/>
  <c r="E122" i="10"/>
  <c r="C123" i="10"/>
  <c r="E123" i="10"/>
  <c r="E13" i="28"/>
  <c r="Q11" i="2"/>
  <c r="AG11" i="2"/>
  <c r="Q12" i="2"/>
  <c r="AG12" i="2"/>
  <c r="Q13" i="2"/>
  <c r="AG13" i="2"/>
  <c r="Q14" i="2"/>
  <c r="AG14" i="2"/>
  <c r="Q15" i="2"/>
  <c r="AG15" i="2"/>
  <c r="Q16" i="2"/>
  <c r="AG16" i="2"/>
  <c r="Q17" i="2"/>
  <c r="AG17" i="2"/>
  <c r="Q18" i="2"/>
  <c r="AG18" i="2"/>
  <c r="Q19" i="2"/>
  <c r="AG19" i="2"/>
  <c r="Q20" i="2"/>
  <c r="AG20" i="2"/>
  <c r="Q21" i="2"/>
  <c r="AG21" i="2"/>
  <c r="Q22" i="2"/>
  <c r="AG22" i="2"/>
  <c r="Q23" i="2"/>
  <c r="AG23" i="2"/>
  <c r="Q24" i="2"/>
  <c r="AG24" i="2"/>
  <c r="Q25" i="2"/>
  <c r="AG25" i="2"/>
  <c r="Q26" i="2"/>
  <c r="AG26" i="2"/>
  <c r="Q27" i="2"/>
  <c r="AG27" i="2"/>
  <c r="Q28" i="2"/>
  <c r="AG28" i="2"/>
  <c r="Q29" i="2"/>
  <c r="AG29" i="2"/>
  <c r="Q30" i="2"/>
  <c r="AG30" i="2"/>
  <c r="Q31" i="2"/>
  <c r="AG31" i="2"/>
  <c r="Q32" i="2"/>
  <c r="AG32" i="2"/>
  <c r="Q33" i="2"/>
  <c r="AG33" i="2"/>
  <c r="Q34" i="2"/>
  <c r="AG34" i="2"/>
  <c r="Q35" i="2"/>
  <c r="AG35" i="2"/>
  <c r="Q36" i="2"/>
  <c r="AG36" i="2"/>
  <c r="Q37" i="2"/>
  <c r="AG37" i="2"/>
  <c r="Q38" i="2"/>
  <c r="AG38" i="2"/>
  <c r="Q39" i="2"/>
  <c r="AG39" i="2"/>
  <c r="Q40" i="2"/>
  <c r="AG40" i="2"/>
  <c r="Q41" i="2"/>
  <c r="AG41" i="2"/>
  <c r="Q42" i="2"/>
  <c r="AG42" i="2"/>
  <c r="Q43" i="2"/>
  <c r="AG43" i="2"/>
  <c r="Q44" i="2"/>
  <c r="AG44" i="2"/>
  <c r="Q45" i="2"/>
  <c r="AG45" i="2"/>
  <c r="Q46" i="2"/>
  <c r="AG46" i="2"/>
  <c r="Q47" i="2"/>
  <c r="AG47" i="2"/>
  <c r="Q48" i="2"/>
  <c r="AG48" i="2"/>
  <c r="Q49" i="2"/>
  <c r="AG49" i="2"/>
  <c r="Q50" i="2"/>
  <c r="AG50" i="2"/>
  <c r="Q51" i="2"/>
  <c r="AG51" i="2"/>
  <c r="Q52" i="2"/>
  <c r="AG52" i="2"/>
  <c r="Q53" i="2"/>
  <c r="AG53" i="2"/>
  <c r="Q54" i="2"/>
  <c r="AG54" i="2"/>
  <c r="Q55" i="2"/>
  <c r="AG55" i="2"/>
  <c r="Q56" i="2"/>
  <c r="AG56" i="2"/>
  <c r="Q57" i="2"/>
  <c r="AG57" i="2"/>
  <c r="Q58" i="2"/>
  <c r="AG58" i="2"/>
  <c r="Q59" i="2"/>
  <c r="AG59" i="2"/>
  <c r="Q60" i="2"/>
  <c r="AG60" i="2"/>
  <c r="Q61" i="2"/>
  <c r="AG61" i="2"/>
  <c r="Q62" i="2"/>
  <c r="AG62" i="2"/>
  <c r="Q63" i="2"/>
  <c r="AG63" i="2"/>
  <c r="Q64" i="2"/>
  <c r="AG64" i="2"/>
  <c r="Q65" i="2"/>
  <c r="AG65" i="2"/>
  <c r="Q66" i="2"/>
  <c r="AG66" i="2"/>
  <c r="Q67" i="2"/>
  <c r="AG67" i="2"/>
  <c r="Q68" i="2"/>
  <c r="AG68" i="2"/>
  <c r="Q69" i="2"/>
  <c r="AG69" i="2"/>
  <c r="Q70" i="2"/>
  <c r="AG70" i="2"/>
  <c r="Q71" i="2"/>
  <c r="AG71" i="2"/>
  <c r="Q72" i="2"/>
  <c r="AG72" i="2"/>
  <c r="Q73" i="2"/>
  <c r="AG73" i="2"/>
  <c r="Q74" i="2"/>
  <c r="AG74" i="2"/>
  <c r="Q75" i="2"/>
  <c r="AG75" i="2"/>
  <c r="Q76" i="2"/>
  <c r="AG76" i="2"/>
  <c r="Q77" i="2"/>
  <c r="AG77" i="2"/>
  <c r="Q78" i="2"/>
  <c r="AG78" i="2"/>
  <c r="Q79" i="2"/>
  <c r="AG79" i="2"/>
  <c r="Q80" i="2"/>
  <c r="AG80" i="2"/>
  <c r="Q81" i="2"/>
  <c r="AG81" i="2"/>
  <c r="Q82" i="2"/>
  <c r="AG82" i="2"/>
  <c r="Q83" i="2"/>
  <c r="AG83" i="2"/>
  <c r="Q84" i="2"/>
  <c r="AG84" i="2"/>
  <c r="Q85" i="2"/>
  <c r="AG85" i="2"/>
  <c r="Q86" i="2"/>
  <c r="AG86" i="2"/>
  <c r="Q87" i="2"/>
  <c r="AG87" i="2"/>
  <c r="Q88" i="2"/>
  <c r="AG88" i="2"/>
  <c r="Q89" i="2"/>
  <c r="AG89" i="2"/>
  <c r="Q90" i="2"/>
  <c r="AG90" i="2"/>
  <c r="Q91" i="2"/>
  <c r="AG91" i="2"/>
  <c r="Q92" i="2"/>
  <c r="AG92" i="2"/>
  <c r="Q93" i="2"/>
  <c r="AG93" i="2"/>
  <c r="Q94" i="2"/>
  <c r="AG94" i="2"/>
  <c r="Q95" i="2"/>
  <c r="AG95" i="2"/>
  <c r="Q96" i="2"/>
  <c r="AG96" i="2"/>
  <c r="Q97" i="2"/>
  <c r="AG97" i="2"/>
  <c r="Q98" i="2"/>
  <c r="AG98" i="2"/>
  <c r="Q99" i="2"/>
  <c r="AG99" i="2"/>
  <c r="Q100" i="2"/>
  <c r="AG100" i="2"/>
  <c r="Q101" i="2"/>
  <c r="AG101" i="2"/>
  <c r="Q102" i="2"/>
  <c r="AG102" i="2"/>
  <c r="Q103" i="2"/>
  <c r="AG103" i="2"/>
  <c r="Q104" i="2"/>
  <c r="AG104" i="2"/>
  <c r="Q105" i="2"/>
  <c r="AG105" i="2"/>
  <c r="Q106" i="2"/>
  <c r="AG106" i="2"/>
  <c r="Q107" i="2"/>
  <c r="AG107" i="2"/>
  <c r="Q108" i="2"/>
  <c r="AG108" i="2"/>
  <c r="Q109" i="2"/>
  <c r="AG109" i="2"/>
  <c r="Q110" i="2"/>
  <c r="AG110" i="2"/>
  <c r="Q111" i="2"/>
  <c r="AG111" i="2"/>
  <c r="Q112" i="2"/>
  <c r="AG112" i="2"/>
  <c r="Q113" i="2"/>
  <c r="AG113" i="2"/>
  <c r="Q114" i="2"/>
  <c r="AG114" i="2"/>
  <c r="Q115" i="2"/>
  <c r="AG115" i="2"/>
  <c r="Q116" i="2"/>
  <c r="AG116" i="2"/>
  <c r="Q117" i="2"/>
  <c r="AG117" i="2"/>
  <c r="Q118" i="2"/>
  <c r="AG118" i="2"/>
  <c r="Q119" i="2"/>
  <c r="AG119" i="2"/>
  <c r="Q120" i="2"/>
  <c r="AG120" i="2"/>
  <c r="Q121" i="2"/>
  <c r="AG121" i="2"/>
  <c r="Q122" i="2"/>
  <c r="AG122" i="2"/>
  <c r="Q123" i="2"/>
  <c r="AG123" i="2"/>
  <c r="Q124" i="2"/>
  <c r="AG124" i="2"/>
  <c r="Q125" i="2"/>
  <c r="AG125" i="2"/>
  <c r="Q126" i="2"/>
  <c r="AG126" i="2"/>
  <c r="Q127" i="2"/>
  <c r="AG127" i="2"/>
  <c r="Q128" i="2"/>
  <c r="AG128" i="2"/>
  <c r="Q129" i="2"/>
  <c r="AG129" i="2"/>
  <c r="Q130" i="2"/>
  <c r="AG130" i="2"/>
  <c r="Q131" i="2"/>
  <c r="AG131" i="2"/>
  <c r="Q132" i="2"/>
  <c r="AG132" i="2"/>
  <c r="Q133" i="2"/>
  <c r="AG133" i="2"/>
  <c r="Q134" i="2"/>
  <c r="AG134" i="2"/>
  <c r="Q135" i="2"/>
  <c r="AG135" i="2"/>
  <c r="Q136" i="2"/>
  <c r="AG136" i="2"/>
  <c r="Q137" i="2"/>
  <c r="AG137" i="2"/>
  <c r="Q138" i="2"/>
  <c r="AG138" i="2"/>
  <c r="Q139" i="2"/>
  <c r="AG139" i="2"/>
  <c r="Q140" i="2"/>
  <c r="AG140" i="2"/>
  <c r="Q141" i="2"/>
  <c r="AG141" i="2"/>
  <c r="Q142" i="2"/>
  <c r="AG142" i="2"/>
  <c r="Q143" i="2"/>
  <c r="AG143" i="2"/>
  <c r="Q144" i="2"/>
  <c r="AG144" i="2"/>
  <c r="Q145" i="2"/>
  <c r="AG145" i="2"/>
  <c r="Q146" i="2"/>
  <c r="AG146" i="2"/>
  <c r="Q147" i="2"/>
  <c r="AG147" i="2"/>
  <c r="Q148" i="2"/>
  <c r="AG148" i="2"/>
  <c r="Q149" i="2"/>
  <c r="AG149" i="2"/>
  <c r="Q150" i="2"/>
  <c r="AG150" i="2"/>
  <c r="Q151" i="2"/>
  <c r="AG151" i="2"/>
  <c r="Q152" i="2"/>
  <c r="AG152" i="2"/>
  <c r="Q153" i="2"/>
  <c r="AG153" i="2"/>
  <c r="Q154" i="2"/>
  <c r="AG154" i="2"/>
  <c r="Q155" i="2"/>
  <c r="AG155" i="2"/>
  <c r="Q156" i="2"/>
  <c r="AG156" i="2"/>
  <c r="Q157" i="2"/>
  <c r="AG157" i="2"/>
  <c r="Q158" i="2"/>
  <c r="AG158" i="2"/>
  <c r="Q159" i="2"/>
  <c r="AG159" i="2"/>
  <c r="Q160" i="2"/>
  <c r="AG160" i="2"/>
  <c r="Q161" i="2"/>
  <c r="AG161" i="2"/>
  <c r="Q162" i="2"/>
  <c r="AG162" i="2"/>
  <c r="Q163" i="2"/>
  <c r="AG163" i="2"/>
  <c r="Q164" i="2"/>
  <c r="AG164" i="2"/>
  <c r="Q165" i="2"/>
  <c r="AG165" i="2"/>
  <c r="Q166" i="2"/>
  <c r="AG166" i="2"/>
  <c r="Q167" i="2"/>
  <c r="AG167" i="2"/>
  <c r="Q168" i="2"/>
  <c r="AG168" i="2"/>
  <c r="Q169" i="2"/>
  <c r="AG169" i="2"/>
  <c r="Q170" i="2"/>
  <c r="AG170" i="2"/>
  <c r="Q171" i="2"/>
  <c r="AG171" i="2"/>
  <c r="Q172" i="2"/>
  <c r="AG172" i="2"/>
  <c r="Q173" i="2"/>
  <c r="AG173" i="2"/>
  <c r="Q174" i="2"/>
  <c r="AG174" i="2"/>
  <c r="Q175" i="2"/>
  <c r="AG175" i="2"/>
  <c r="Q176" i="2"/>
  <c r="AG176" i="2"/>
  <c r="Q177" i="2"/>
  <c r="AG177" i="2"/>
  <c r="Q178" i="2"/>
  <c r="AG178" i="2"/>
  <c r="Q179" i="2"/>
  <c r="AG179" i="2"/>
  <c r="Q180" i="2"/>
  <c r="AG180" i="2"/>
  <c r="Q181" i="2"/>
  <c r="AG181" i="2"/>
  <c r="Q182" i="2"/>
  <c r="AG182" i="2"/>
  <c r="Q183" i="2"/>
  <c r="AG183" i="2"/>
  <c r="Q184" i="2"/>
  <c r="AG184" i="2"/>
  <c r="Q185" i="2"/>
  <c r="AG185" i="2"/>
  <c r="Q186" i="2"/>
  <c r="AG186" i="2"/>
  <c r="Q187" i="2"/>
  <c r="AG187" i="2"/>
  <c r="Q188" i="2"/>
  <c r="AG188" i="2"/>
  <c r="Q189" i="2"/>
  <c r="AG189" i="2"/>
  <c r="Q190" i="2"/>
  <c r="AG190" i="2"/>
  <c r="Q191" i="2"/>
  <c r="AG191" i="2"/>
  <c r="Q192" i="2"/>
  <c r="AG192" i="2"/>
  <c r="Q193" i="2"/>
  <c r="AG193" i="2"/>
  <c r="Q194" i="2"/>
  <c r="AG194" i="2"/>
  <c r="Q195" i="2"/>
  <c r="AG195" i="2"/>
  <c r="Q196" i="2"/>
  <c r="AG196" i="2"/>
  <c r="Q197" i="2"/>
  <c r="AG197" i="2"/>
  <c r="Q198" i="2"/>
  <c r="AG198" i="2"/>
  <c r="Q199" i="2"/>
  <c r="AG199" i="2"/>
  <c r="Q200" i="2"/>
  <c r="AG200" i="2"/>
  <c r="Q201" i="2"/>
  <c r="AG201" i="2"/>
  <c r="Q202" i="2"/>
  <c r="AG202" i="2"/>
  <c r="Q203" i="2"/>
  <c r="AG203" i="2"/>
  <c r="Q204" i="2"/>
  <c r="AG204" i="2"/>
  <c r="Q205" i="2"/>
  <c r="AG205" i="2"/>
  <c r="Q206" i="2"/>
  <c r="AG206" i="2"/>
  <c r="Q207" i="2"/>
  <c r="AG207" i="2"/>
  <c r="Q208" i="2"/>
  <c r="AG208" i="2"/>
  <c r="Q209" i="2"/>
  <c r="AG209" i="2"/>
  <c r="Q210" i="2"/>
  <c r="AG210" i="2"/>
  <c r="Q211" i="2"/>
  <c r="AG211" i="2"/>
  <c r="Q212" i="2"/>
  <c r="AG212" i="2"/>
  <c r="Q213" i="2"/>
  <c r="AG213" i="2"/>
  <c r="Q214" i="2"/>
  <c r="AG214" i="2"/>
  <c r="Q215" i="2"/>
  <c r="AG215" i="2"/>
  <c r="Q216" i="2"/>
  <c r="AG216" i="2"/>
  <c r="Q217" i="2"/>
  <c r="AG217" i="2"/>
  <c r="Q218" i="2"/>
  <c r="AG218" i="2"/>
  <c r="Q219" i="2"/>
  <c r="AG219" i="2"/>
  <c r="Q220" i="2"/>
  <c r="AG220" i="2"/>
  <c r="Q221" i="2"/>
  <c r="AG221" i="2"/>
  <c r="Q222" i="2"/>
  <c r="AG222" i="2"/>
  <c r="Q223" i="2"/>
  <c r="AG223" i="2"/>
  <c r="Q224" i="2"/>
  <c r="AG224" i="2"/>
  <c r="Q225" i="2"/>
  <c r="AG225" i="2"/>
  <c r="Q226" i="2"/>
  <c r="AG226" i="2"/>
  <c r="Q227" i="2"/>
  <c r="AG227" i="2"/>
  <c r="Q228" i="2"/>
  <c r="AG228" i="2"/>
  <c r="Q229" i="2"/>
  <c r="AG229" i="2"/>
  <c r="Q230" i="2"/>
  <c r="AG230" i="2"/>
  <c r="Q231" i="2"/>
  <c r="AG231" i="2"/>
  <c r="Q232" i="2"/>
  <c r="AG232" i="2"/>
  <c r="Q233" i="2"/>
  <c r="AG233" i="2"/>
  <c r="Q234" i="2"/>
  <c r="AG234" i="2"/>
  <c r="Q235" i="2"/>
  <c r="AG235" i="2"/>
  <c r="Q236" i="2"/>
  <c r="AG236" i="2"/>
  <c r="Q237" i="2"/>
  <c r="AG237" i="2"/>
  <c r="Q238" i="2"/>
  <c r="AG238" i="2"/>
  <c r="Q239" i="2"/>
  <c r="AG239" i="2"/>
  <c r="Q240" i="2"/>
  <c r="AG240" i="2"/>
  <c r="Q241" i="2"/>
  <c r="AG241" i="2"/>
  <c r="Q242" i="2"/>
  <c r="AG242" i="2"/>
  <c r="Q243" i="2"/>
  <c r="AG243" i="2"/>
  <c r="Q244" i="2"/>
  <c r="AG244" i="2"/>
  <c r="Q245" i="2"/>
  <c r="AG245" i="2"/>
  <c r="Q246" i="2"/>
  <c r="AG246" i="2"/>
  <c r="Q247" i="2"/>
  <c r="AG247" i="2"/>
  <c r="Q248" i="2"/>
  <c r="AG248" i="2"/>
  <c r="Q249" i="2"/>
  <c r="AG249" i="2"/>
  <c r="Q250" i="2"/>
  <c r="AG250" i="2"/>
  <c r="Q251" i="2"/>
  <c r="AG251" i="2"/>
  <c r="Q252" i="2"/>
  <c r="AG252" i="2"/>
  <c r="Q253" i="2"/>
  <c r="AG253" i="2"/>
  <c r="Q254" i="2"/>
  <c r="AG254" i="2"/>
  <c r="Q255" i="2"/>
  <c r="AG255" i="2"/>
  <c r="Q256" i="2"/>
  <c r="AG256" i="2"/>
  <c r="Q257" i="2"/>
  <c r="AG257" i="2"/>
  <c r="Q258" i="2"/>
  <c r="AG258" i="2"/>
  <c r="Q259" i="2"/>
  <c r="AG259" i="2"/>
  <c r="Q260" i="2"/>
  <c r="AG260" i="2"/>
  <c r="Q261" i="2"/>
  <c r="AG261" i="2"/>
  <c r="Q262" i="2"/>
  <c r="AG262" i="2"/>
  <c r="Q263" i="2"/>
  <c r="AG263" i="2"/>
  <c r="Q264" i="2"/>
  <c r="AG264" i="2"/>
  <c r="Q265" i="2"/>
  <c r="AG265" i="2"/>
  <c r="Q266" i="2"/>
  <c r="AG266" i="2"/>
  <c r="Q267" i="2"/>
  <c r="AG267" i="2"/>
  <c r="Q268" i="2"/>
  <c r="AG268" i="2"/>
  <c r="Q269" i="2"/>
  <c r="AG269" i="2"/>
  <c r="Q270" i="2"/>
  <c r="AG270" i="2"/>
  <c r="Q271" i="2"/>
  <c r="AG271" i="2"/>
  <c r="Q272" i="2"/>
  <c r="AG272" i="2"/>
  <c r="Q273" i="2"/>
  <c r="AG273" i="2"/>
  <c r="Q274" i="2"/>
  <c r="AG274" i="2"/>
  <c r="Q275" i="2"/>
  <c r="AG275" i="2"/>
  <c r="Q276" i="2"/>
  <c r="AG276" i="2"/>
  <c r="Q277" i="2"/>
  <c r="AG277" i="2"/>
  <c r="Q278" i="2"/>
  <c r="AG278" i="2"/>
  <c r="Q279" i="2"/>
  <c r="AG279" i="2"/>
  <c r="Q280" i="2"/>
  <c r="AG280" i="2"/>
  <c r="Q281" i="2"/>
  <c r="AG281" i="2"/>
  <c r="Q282" i="2"/>
  <c r="AG282" i="2"/>
  <c r="Q283" i="2"/>
  <c r="AG283" i="2"/>
  <c r="Q284" i="2"/>
  <c r="AG284" i="2"/>
  <c r="Q285" i="2"/>
  <c r="AG285" i="2"/>
  <c r="Q286" i="2"/>
  <c r="AG286" i="2"/>
  <c r="Q287" i="2"/>
  <c r="AG287" i="2"/>
  <c r="Q288" i="2"/>
  <c r="AG288" i="2"/>
  <c r="Q289" i="2"/>
  <c r="AG289" i="2"/>
  <c r="Q290" i="2"/>
  <c r="AG290" i="2"/>
  <c r="Q291" i="2"/>
  <c r="AG291" i="2"/>
  <c r="Q292" i="2"/>
  <c r="AG292" i="2"/>
  <c r="Q293" i="2"/>
  <c r="AG293" i="2"/>
  <c r="Q294" i="2"/>
  <c r="AG294" i="2"/>
  <c r="Q295" i="2"/>
  <c r="AG295" i="2"/>
  <c r="Q296" i="2"/>
  <c r="AG296" i="2"/>
  <c r="Q297" i="2"/>
  <c r="AG297" i="2"/>
  <c r="Q298" i="2"/>
  <c r="AG298" i="2"/>
  <c r="Q299" i="2"/>
  <c r="AG299" i="2"/>
  <c r="Q300" i="2"/>
  <c r="AG300" i="2"/>
  <c r="Q301" i="2"/>
  <c r="AG301" i="2"/>
  <c r="Q302" i="2"/>
  <c r="AG302" i="2"/>
  <c r="Q303" i="2"/>
  <c r="AG303" i="2"/>
  <c r="Q304" i="2"/>
  <c r="AG304" i="2"/>
  <c r="Q305" i="2"/>
  <c r="AG305" i="2"/>
  <c r="Q306" i="2"/>
  <c r="AG306" i="2"/>
  <c r="Q307" i="2"/>
  <c r="AG307" i="2"/>
  <c r="Q308" i="2"/>
  <c r="AG308" i="2"/>
  <c r="Q309" i="2"/>
  <c r="AG309" i="2"/>
  <c r="Q310" i="2"/>
  <c r="AG310" i="2"/>
  <c r="Q311" i="2"/>
  <c r="AG311" i="2"/>
  <c r="Q312" i="2"/>
  <c r="AG312" i="2"/>
  <c r="Q313" i="2"/>
  <c r="AG313" i="2"/>
  <c r="Q314" i="2"/>
  <c r="AG314" i="2"/>
  <c r="Q315" i="2"/>
  <c r="AG315" i="2"/>
  <c r="Q316" i="2"/>
  <c r="AG316" i="2"/>
  <c r="Q317" i="2"/>
  <c r="AG317" i="2"/>
  <c r="Q318" i="2"/>
  <c r="AG318" i="2"/>
  <c r="Q319" i="2"/>
  <c r="AG319" i="2"/>
  <c r="Q320" i="2"/>
  <c r="AG320" i="2"/>
  <c r="Q321" i="2"/>
  <c r="AG321" i="2"/>
  <c r="Q322" i="2"/>
  <c r="AG322" i="2"/>
  <c r="Q323" i="2"/>
  <c r="AG323" i="2"/>
  <c r="Q324" i="2"/>
  <c r="AG324" i="2"/>
  <c r="Q325" i="2"/>
  <c r="AG325" i="2"/>
  <c r="Q326" i="2"/>
  <c r="AG326" i="2"/>
  <c r="Q327" i="2"/>
  <c r="AG327" i="2"/>
  <c r="Q328" i="2"/>
  <c r="AG328" i="2"/>
  <c r="Q329" i="2"/>
  <c r="AG329" i="2"/>
  <c r="Q330" i="2"/>
  <c r="AG330" i="2"/>
  <c r="Q331" i="2"/>
  <c r="AG331" i="2"/>
  <c r="Q332" i="2"/>
  <c r="AG332" i="2"/>
  <c r="Q333" i="2"/>
  <c r="AG333" i="2"/>
  <c r="Q334" i="2"/>
  <c r="AG334" i="2"/>
  <c r="Q335" i="2"/>
  <c r="AG335" i="2"/>
  <c r="Q336" i="2"/>
  <c r="AG336" i="2"/>
  <c r="Q337" i="2"/>
  <c r="AG337" i="2"/>
  <c r="Q338" i="2"/>
  <c r="AG338" i="2"/>
  <c r="Q339" i="2"/>
  <c r="AG339" i="2"/>
  <c r="Q340" i="2"/>
  <c r="AG340" i="2"/>
  <c r="Q341" i="2"/>
  <c r="AG341" i="2"/>
  <c r="Q342" i="2"/>
  <c r="AG342" i="2"/>
  <c r="Q343" i="2"/>
  <c r="AG343" i="2"/>
  <c r="Q344" i="2"/>
  <c r="AG344" i="2"/>
  <c r="Q345" i="2"/>
  <c r="AG345" i="2"/>
  <c r="Q346" i="2"/>
  <c r="AG346" i="2"/>
  <c r="Q347" i="2"/>
  <c r="AG347" i="2"/>
  <c r="Q348" i="2"/>
  <c r="AG348" i="2"/>
  <c r="Q349" i="2"/>
  <c r="AG349" i="2"/>
  <c r="Q350" i="2"/>
  <c r="AG350" i="2"/>
  <c r="Q351" i="2"/>
  <c r="AG351" i="2"/>
  <c r="Q352" i="2"/>
  <c r="AG352" i="2"/>
  <c r="Q353" i="2"/>
  <c r="AG353" i="2"/>
  <c r="Q354" i="2"/>
  <c r="AG354" i="2"/>
  <c r="Q355" i="2"/>
  <c r="AG355" i="2"/>
  <c r="Q356" i="2"/>
  <c r="AG356" i="2"/>
  <c r="Q357" i="2"/>
  <c r="AG357" i="2"/>
  <c r="Q358" i="2"/>
  <c r="AG358" i="2"/>
  <c r="Q359" i="2"/>
  <c r="AG359" i="2"/>
  <c r="Q360" i="2"/>
  <c r="AG360" i="2"/>
  <c r="Q361" i="2"/>
  <c r="AG361" i="2"/>
  <c r="Q362" i="2"/>
  <c r="AG362" i="2"/>
  <c r="Q363" i="2"/>
  <c r="AG363" i="2"/>
  <c r="Q364" i="2"/>
  <c r="AG364" i="2"/>
  <c r="Q365" i="2"/>
  <c r="AG365" i="2"/>
  <c r="Q366" i="2"/>
  <c r="AG366" i="2"/>
  <c r="Q367" i="2"/>
  <c r="AG367" i="2"/>
  <c r="Q368" i="2"/>
  <c r="AG368" i="2"/>
  <c r="Q369" i="2"/>
  <c r="AG369" i="2"/>
  <c r="Q370" i="2"/>
  <c r="AG370" i="2"/>
  <c r="Q371" i="2"/>
  <c r="AG371" i="2"/>
  <c r="Q372" i="2"/>
  <c r="AG372" i="2"/>
  <c r="Q373" i="2"/>
  <c r="AG373" i="2"/>
  <c r="Q374" i="2"/>
  <c r="AG374" i="2"/>
  <c r="Q375" i="2"/>
  <c r="AG375" i="2"/>
  <c r="Q376" i="2"/>
  <c r="AG376" i="2"/>
  <c r="Q377" i="2"/>
  <c r="AG377" i="2"/>
  <c r="Q378" i="2"/>
  <c r="AG378" i="2"/>
  <c r="Q379" i="2"/>
  <c r="AG379" i="2"/>
  <c r="Q380" i="2"/>
  <c r="AG380" i="2"/>
  <c r="Q381" i="2"/>
  <c r="AG381" i="2"/>
  <c r="Q382" i="2"/>
  <c r="AG382" i="2"/>
  <c r="Q383" i="2"/>
  <c r="AG383" i="2"/>
  <c r="Q384" i="2"/>
  <c r="AG384" i="2"/>
  <c r="Q385" i="2"/>
  <c r="AG385" i="2"/>
  <c r="Q386" i="2"/>
  <c r="AG386" i="2"/>
  <c r="Q387" i="2"/>
  <c r="AG387" i="2"/>
  <c r="Q388" i="2"/>
  <c r="AG388" i="2"/>
  <c r="Q389" i="2"/>
  <c r="AG389" i="2"/>
  <c r="Q390" i="2"/>
  <c r="AG390" i="2"/>
  <c r="Q391" i="2"/>
  <c r="AG391" i="2"/>
  <c r="Q392" i="2"/>
  <c r="AG392" i="2"/>
  <c r="Q393" i="2"/>
  <c r="AG393" i="2"/>
  <c r="Q394" i="2"/>
  <c r="AG394" i="2"/>
  <c r="Q395" i="2"/>
  <c r="AG395" i="2"/>
  <c r="Q396" i="2"/>
  <c r="AG396" i="2"/>
  <c r="Q397" i="2"/>
  <c r="AG397" i="2"/>
  <c r="Q398" i="2"/>
  <c r="AG398" i="2"/>
  <c r="Q399" i="2"/>
  <c r="AG399" i="2"/>
  <c r="Q400" i="2"/>
  <c r="AG400" i="2"/>
  <c r="Q401" i="2"/>
  <c r="AG401" i="2"/>
  <c r="Q402" i="2"/>
  <c r="AG402" i="2"/>
  <c r="Q403" i="2"/>
  <c r="AG403" i="2"/>
  <c r="Q404" i="2"/>
  <c r="AG404" i="2"/>
  <c r="Q405" i="2"/>
  <c r="AG405" i="2"/>
  <c r="Q406" i="2"/>
  <c r="AG406" i="2"/>
  <c r="Q407" i="2"/>
  <c r="AG407" i="2"/>
  <c r="Q408" i="2"/>
  <c r="AG408" i="2"/>
  <c r="Q409" i="2"/>
  <c r="AG409" i="2"/>
  <c r="Q410" i="2"/>
  <c r="AG410" i="2"/>
  <c r="Q411" i="2"/>
  <c r="AG411" i="2"/>
  <c r="Q412" i="2"/>
  <c r="AG412" i="2"/>
  <c r="Q413" i="2"/>
  <c r="AG413" i="2"/>
  <c r="Q414" i="2"/>
  <c r="AG414" i="2"/>
  <c r="Q415" i="2"/>
  <c r="AG415" i="2"/>
  <c r="Q416" i="2"/>
  <c r="AG416" i="2"/>
  <c r="Q417" i="2"/>
  <c r="AG417" i="2"/>
  <c r="Q418" i="2"/>
  <c r="AG418" i="2"/>
  <c r="Q419" i="2"/>
  <c r="AG419" i="2"/>
  <c r="Q420" i="2"/>
  <c r="AG420" i="2"/>
  <c r="Q421" i="2"/>
  <c r="AG421" i="2"/>
  <c r="Q422" i="2"/>
  <c r="AG422" i="2"/>
  <c r="Q423" i="2"/>
  <c r="AG423" i="2"/>
  <c r="Q424" i="2"/>
  <c r="AG424" i="2"/>
  <c r="Q425" i="2"/>
  <c r="AG425" i="2"/>
  <c r="Q426" i="2"/>
  <c r="AG426" i="2"/>
  <c r="Q427" i="2"/>
  <c r="AG427" i="2"/>
  <c r="Q428" i="2"/>
  <c r="AG428" i="2"/>
  <c r="Q429" i="2"/>
  <c r="AG429" i="2"/>
  <c r="Q430" i="2"/>
  <c r="AG430" i="2"/>
  <c r="Q431" i="2"/>
  <c r="AG431" i="2"/>
  <c r="Q432" i="2"/>
  <c r="AG432" i="2"/>
  <c r="Q433" i="2"/>
  <c r="AG433" i="2"/>
  <c r="Q434" i="2"/>
  <c r="AG434" i="2"/>
  <c r="Q435" i="2"/>
  <c r="AG435" i="2"/>
  <c r="Q436" i="2"/>
  <c r="AG436" i="2"/>
  <c r="Q437" i="2"/>
  <c r="AG437" i="2"/>
  <c r="Q438" i="2"/>
  <c r="AG438" i="2"/>
  <c r="Q439" i="2"/>
  <c r="AG439" i="2"/>
  <c r="Q440" i="2"/>
  <c r="AG440" i="2"/>
  <c r="Q441" i="2"/>
  <c r="AG441" i="2"/>
  <c r="Q442" i="2"/>
  <c r="AG442" i="2"/>
  <c r="Q443" i="2"/>
  <c r="AG443" i="2"/>
  <c r="Q444" i="2"/>
  <c r="AG444" i="2"/>
  <c r="Q445" i="2"/>
  <c r="AG445" i="2"/>
  <c r="Q446" i="2"/>
  <c r="AG446" i="2"/>
  <c r="Q447" i="2"/>
  <c r="AG447" i="2"/>
  <c r="Q448" i="2"/>
  <c r="AG448" i="2"/>
  <c r="Q449" i="2"/>
  <c r="AG449" i="2"/>
  <c r="Q450" i="2"/>
  <c r="AG450" i="2"/>
  <c r="Q451" i="2"/>
  <c r="AG451" i="2"/>
  <c r="Q452" i="2"/>
  <c r="AG452" i="2"/>
  <c r="Q453" i="2"/>
  <c r="AG453" i="2"/>
  <c r="Q454" i="2"/>
  <c r="AG454" i="2"/>
  <c r="Q455" i="2"/>
  <c r="AG455" i="2"/>
  <c r="Q456" i="2"/>
  <c r="AG456" i="2"/>
  <c r="N13" i="28"/>
  <c r="E14" i="28"/>
  <c r="N14" i="28"/>
  <c r="E15" i="28"/>
  <c r="N15" i="28"/>
  <c r="E16" i="28"/>
  <c r="N16" i="28"/>
  <c r="E17" i="28"/>
  <c r="N17" i="28"/>
  <c r="E18" i="28"/>
  <c r="N18" i="28"/>
  <c r="E19" i="28"/>
  <c r="N19" i="28"/>
  <c r="E20" i="28"/>
  <c r="N20" i="28"/>
  <c r="E21" i="28"/>
  <c r="N21" i="28"/>
  <c r="E22" i="28"/>
  <c r="N22" i="28"/>
  <c r="E23" i="28"/>
  <c r="N23" i="28"/>
  <c r="E24" i="28"/>
  <c r="N24" i="28"/>
  <c r="E25" i="28"/>
  <c r="N25" i="28"/>
  <c r="E26" i="28"/>
  <c r="N26" i="28"/>
  <c r="E27" i="28"/>
  <c r="N27" i="28"/>
  <c r="N28" i="28"/>
  <c r="E29" i="28"/>
  <c r="N29" i="28"/>
  <c r="E30" i="28"/>
  <c r="N30" i="28"/>
  <c r="E31" i="28"/>
  <c r="N31" i="28"/>
  <c r="E32" i="28"/>
  <c r="N32" i="28"/>
  <c r="E33" i="28"/>
  <c r="N33" i="28"/>
  <c r="E34" i="28"/>
  <c r="N34" i="28"/>
  <c r="E35" i="28"/>
  <c r="N35" i="28"/>
  <c r="E36" i="28"/>
  <c r="N36" i="28"/>
  <c r="N37" i="28"/>
  <c r="N38" i="28"/>
  <c r="M13" i="28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E12" i="28"/>
  <c r="I42" i="31"/>
  <c r="I58" i="31"/>
  <c r="I60" i="31"/>
  <c r="K69" i="31"/>
  <c r="Q17" i="55"/>
  <c r="Q22" i="55"/>
  <c r="Q28" i="55"/>
  <c r="Q23" i="55"/>
  <c r="Q31" i="55"/>
  <c r="Q33" i="55"/>
  <c r="Q35" i="55"/>
  <c r="Q37" i="55"/>
  <c r="D26" i="55"/>
  <c r="D44" i="55"/>
  <c r="D47" i="55"/>
  <c r="D31" i="55"/>
  <c r="D37" i="55"/>
  <c r="Q38" i="55"/>
  <c r="Q40" i="55"/>
  <c r="C63" i="55"/>
  <c r="C64" i="55"/>
  <c r="C65" i="55"/>
  <c r="D67" i="55"/>
  <c r="Q42" i="55"/>
  <c r="Q43" i="55"/>
  <c r="Q48" i="55"/>
  <c r="Q59" i="55"/>
  <c r="Q61" i="55"/>
  <c r="Q63" i="55"/>
  <c r="M50" i="1"/>
  <c r="B50" i="1"/>
  <c r="G50" i="1"/>
  <c r="K50" i="1"/>
  <c r="L50" i="1"/>
  <c r="O50" i="1"/>
  <c r="B35" i="1"/>
  <c r="G35" i="1"/>
  <c r="K35" i="1"/>
  <c r="L35" i="1"/>
  <c r="O35" i="1"/>
  <c r="B28" i="1"/>
  <c r="G28" i="1"/>
  <c r="K28" i="1"/>
  <c r="L28" i="1"/>
  <c r="O28" i="1"/>
  <c r="B24" i="1"/>
  <c r="G24" i="1"/>
  <c r="K24" i="1"/>
  <c r="L24" i="1"/>
  <c r="O24" i="1"/>
  <c r="B19" i="1"/>
  <c r="G19" i="1"/>
  <c r="K19" i="1"/>
  <c r="L19" i="1"/>
  <c r="O19" i="1"/>
  <c r="M51" i="1"/>
  <c r="B52" i="1"/>
  <c r="N66" i="1"/>
  <c r="N67" i="1"/>
  <c r="N64" i="1"/>
  <c r="N65" i="1"/>
  <c r="N68" i="1"/>
  <c r="M18" i="1"/>
  <c r="M20" i="1"/>
  <c r="M21" i="1"/>
  <c r="M22" i="1"/>
  <c r="M23" i="1"/>
  <c r="M25" i="1"/>
  <c r="M26" i="1"/>
  <c r="M27" i="1"/>
  <c r="M29" i="1"/>
  <c r="M30" i="1"/>
  <c r="M31" i="1"/>
  <c r="M32" i="1"/>
  <c r="M33" i="1"/>
  <c r="M34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2" i="1"/>
  <c r="M53" i="1"/>
  <c r="M54" i="1"/>
  <c r="M55" i="1"/>
  <c r="M56" i="1"/>
  <c r="M57" i="1"/>
  <c r="M58" i="1"/>
  <c r="M59" i="1"/>
  <c r="M60" i="1"/>
  <c r="M61" i="1"/>
  <c r="M62" i="1"/>
  <c r="M63" i="1"/>
  <c r="M66" i="1"/>
  <c r="M67" i="1"/>
  <c r="M68" i="1"/>
  <c r="N69" i="1"/>
  <c r="B133" i="28"/>
  <c r="C133" i="28"/>
  <c r="B134" i="28"/>
  <c r="C134" i="28"/>
  <c r="B135" i="28"/>
  <c r="C135" i="28"/>
  <c r="B136" i="28"/>
  <c r="C136" i="28"/>
  <c r="B137" i="28"/>
  <c r="C137" i="28"/>
  <c r="B138" i="28"/>
  <c r="C138" i="28"/>
  <c r="B139" i="28"/>
  <c r="C139" i="28"/>
  <c r="B140" i="28"/>
  <c r="C140" i="28"/>
  <c r="B141" i="28"/>
  <c r="C141" i="28"/>
  <c r="B142" i="28"/>
  <c r="C142" i="28"/>
  <c r="B143" i="28"/>
  <c r="C143" i="28"/>
  <c r="B144" i="28"/>
  <c r="C144" i="28"/>
  <c r="B145" i="28"/>
  <c r="C145" i="28"/>
  <c r="B146" i="28"/>
  <c r="C146" i="28"/>
  <c r="B147" i="28"/>
  <c r="C147" i="28"/>
  <c r="B148" i="28"/>
  <c r="C148" i="28"/>
  <c r="B149" i="28"/>
  <c r="C149" i="28"/>
  <c r="B150" i="28"/>
  <c r="C150" i="28"/>
  <c r="B151" i="28"/>
  <c r="C151" i="28"/>
  <c r="B152" i="28"/>
  <c r="C152" i="28"/>
  <c r="B153" i="28"/>
  <c r="C153" i="28"/>
  <c r="B154" i="28"/>
  <c r="C154" i="28"/>
  <c r="B155" i="28"/>
  <c r="C155" i="28"/>
  <c r="B156" i="28"/>
  <c r="C156" i="28"/>
  <c r="B159" i="28"/>
  <c r="C159" i="28"/>
  <c r="B160" i="28"/>
  <c r="C160" i="28"/>
  <c r="B161" i="28"/>
  <c r="C161" i="28"/>
  <c r="B162" i="28"/>
  <c r="C162" i="28"/>
  <c r="B163" i="28"/>
  <c r="C163" i="28"/>
  <c r="B164" i="28"/>
  <c r="C164" i="28"/>
  <c r="B165" i="28"/>
  <c r="C165" i="28"/>
  <c r="B166" i="28"/>
  <c r="C166" i="28"/>
  <c r="B167" i="28"/>
  <c r="C167" i="28"/>
  <c r="B168" i="28"/>
  <c r="C168" i="28"/>
  <c r="B169" i="28"/>
  <c r="C169" i="28"/>
  <c r="B170" i="28"/>
  <c r="C170" i="28"/>
  <c r="B171" i="28"/>
  <c r="C171" i="28"/>
  <c r="B172" i="28"/>
  <c r="C172" i="28"/>
  <c r="B173" i="28"/>
  <c r="C173" i="28"/>
  <c r="B174" i="28"/>
  <c r="C174" i="28"/>
  <c r="B175" i="28"/>
  <c r="C175" i="28"/>
  <c r="B176" i="28"/>
  <c r="C176" i="28"/>
  <c r="B177" i="28"/>
  <c r="C177" i="28"/>
  <c r="B178" i="28"/>
  <c r="C178" i="28"/>
  <c r="B179" i="28"/>
  <c r="C179" i="28"/>
  <c r="B180" i="28"/>
  <c r="C180" i="28"/>
  <c r="B181" i="28"/>
  <c r="C181" i="28"/>
  <c r="B182" i="28"/>
  <c r="C182" i="28"/>
  <c r="B183" i="28"/>
  <c r="C183" i="28"/>
  <c r="B184" i="28"/>
  <c r="C184" i="28"/>
  <c r="B185" i="28"/>
  <c r="C185" i="28"/>
  <c r="B186" i="28"/>
  <c r="C186" i="28"/>
  <c r="B187" i="28"/>
  <c r="C187" i="28"/>
  <c r="B188" i="28"/>
  <c r="C188" i="28"/>
  <c r="B189" i="28"/>
  <c r="C189" i="28"/>
  <c r="B190" i="28"/>
  <c r="C190" i="28"/>
  <c r="B191" i="28"/>
  <c r="C191" i="28"/>
  <c r="B192" i="28"/>
  <c r="C192" i="28"/>
  <c r="B193" i="28"/>
  <c r="C193" i="28"/>
  <c r="B194" i="28"/>
  <c r="C194" i="28"/>
  <c r="B195" i="28"/>
  <c r="C195" i="28"/>
  <c r="B196" i="28"/>
  <c r="C196" i="28"/>
  <c r="B197" i="28"/>
  <c r="C197" i="28"/>
  <c r="B198" i="28"/>
  <c r="C198" i="28"/>
  <c r="B199" i="28"/>
  <c r="C199" i="28"/>
  <c r="B200" i="28"/>
  <c r="C200" i="28"/>
  <c r="B201" i="28"/>
  <c r="C201" i="28"/>
  <c r="B202" i="28"/>
  <c r="C202" i="28"/>
  <c r="B203" i="28"/>
  <c r="C203" i="28"/>
  <c r="B204" i="28"/>
  <c r="C204" i="28"/>
  <c r="B205" i="28"/>
  <c r="C205" i="28"/>
  <c r="B206" i="28"/>
  <c r="C206" i="28"/>
  <c r="B207" i="28"/>
  <c r="C207" i="28"/>
  <c r="B208" i="28"/>
  <c r="C208" i="28"/>
  <c r="B209" i="28"/>
  <c r="C209" i="28"/>
  <c r="B210" i="28"/>
  <c r="C210" i="28"/>
  <c r="B211" i="28"/>
  <c r="C211" i="28"/>
  <c r="B212" i="28"/>
  <c r="C212" i="28"/>
  <c r="B213" i="28"/>
  <c r="C213" i="28"/>
  <c r="B214" i="28"/>
  <c r="C214" i="28"/>
  <c r="B215" i="28"/>
  <c r="C215" i="28"/>
  <c r="B216" i="28"/>
  <c r="C216" i="28"/>
  <c r="B217" i="28"/>
  <c r="C217" i="28"/>
  <c r="B218" i="28"/>
  <c r="C218" i="28"/>
  <c r="B219" i="28"/>
  <c r="C219" i="28"/>
  <c r="B220" i="28"/>
  <c r="C220" i="28"/>
  <c r="B221" i="28"/>
  <c r="C221" i="28"/>
  <c r="B222" i="28"/>
  <c r="C222" i="28"/>
  <c r="B223" i="28"/>
  <c r="C223" i="28"/>
  <c r="B224" i="28"/>
  <c r="C224" i="28"/>
  <c r="B225" i="28"/>
  <c r="C225" i="28"/>
  <c r="B226" i="28"/>
  <c r="C226" i="28"/>
  <c r="B227" i="28"/>
  <c r="C227" i="28"/>
  <c r="B228" i="28"/>
  <c r="C228" i="28"/>
  <c r="B229" i="28"/>
  <c r="C229" i="28"/>
  <c r="B230" i="28"/>
  <c r="C230" i="28"/>
  <c r="B231" i="28"/>
  <c r="C231" i="28"/>
  <c r="B232" i="28"/>
  <c r="C232" i="28"/>
  <c r="B233" i="28"/>
  <c r="C233" i="28"/>
  <c r="B234" i="28"/>
  <c r="C234" i="28"/>
  <c r="B235" i="28"/>
  <c r="C235" i="28"/>
  <c r="B236" i="28"/>
  <c r="C236" i="28"/>
  <c r="B237" i="28"/>
  <c r="C237" i="28"/>
  <c r="B238" i="28"/>
  <c r="C238" i="28"/>
  <c r="B239" i="28"/>
  <c r="C239" i="28"/>
  <c r="B240" i="28"/>
  <c r="C240" i="28"/>
  <c r="B241" i="28"/>
  <c r="C241" i="28"/>
  <c r="B242" i="28"/>
  <c r="C242" i="28"/>
  <c r="B243" i="28"/>
  <c r="C243" i="28"/>
  <c r="B244" i="28"/>
  <c r="C244" i="28"/>
  <c r="K64" i="1"/>
  <c r="L64" i="1"/>
  <c r="O64" i="1"/>
  <c r="V47" i="35"/>
  <c r="U47" i="35"/>
  <c r="T47" i="35"/>
  <c r="A47" i="35"/>
  <c r="V46" i="35"/>
  <c r="U46" i="35"/>
  <c r="T46" i="35"/>
  <c r="A46" i="35"/>
  <c r="V45" i="35"/>
  <c r="U45" i="35"/>
  <c r="T45" i="35"/>
  <c r="A45" i="35"/>
  <c r="A150" i="28"/>
  <c r="D150" i="28"/>
  <c r="E2" i="51"/>
  <c r="K150" i="28"/>
  <c r="A151" i="28"/>
  <c r="D151" i="28"/>
  <c r="K151" i="28"/>
  <c r="A152" i="28"/>
  <c r="D152" i="28"/>
  <c r="K152" i="28"/>
  <c r="A153" i="28"/>
  <c r="D153" i="28"/>
  <c r="K153" i="28"/>
  <c r="A154" i="28"/>
  <c r="D154" i="28"/>
  <c r="K154" i="28"/>
  <c r="A155" i="28"/>
  <c r="D155" i="28"/>
  <c r="K155" i="28"/>
  <c r="A156" i="28"/>
  <c r="D156" i="28"/>
  <c r="K156" i="28"/>
  <c r="A37" i="28"/>
  <c r="A157" i="28"/>
  <c r="A38" i="28"/>
  <c r="A158" i="28"/>
  <c r="H12" i="28"/>
  <c r="I12" i="28"/>
  <c r="N12" i="28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G97" i="10"/>
  <c r="G98" i="10"/>
  <c r="B132" i="28"/>
  <c r="L12" i="28"/>
  <c r="J12" i="28"/>
  <c r="D132" i="28"/>
  <c r="K132" i="28"/>
  <c r="M132" i="28"/>
  <c r="G210" i="10"/>
  <c r="G207" i="10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1" i="28"/>
  <c r="A30" i="28"/>
  <c r="A32" i="28"/>
  <c r="A33" i="28"/>
  <c r="A34" i="28"/>
  <c r="A35" i="28"/>
  <c r="A36" i="28"/>
  <c r="D261" i="28"/>
  <c r="D262" i="28"/>
  <c r="D263" i="28"/>
  <c r="D260" i="28"/>
  <c r="F12" i="28"/>
  <c r="C260" i="28"/>
  <c r="M12" i="28"/>
  <c r="G263" i="28"/>
  <c r="F263" i="28"/>
  <c r="E263" i="28"/>
  <c r="C263" i="28"/>
  <c r="G262" i="28"/>
  <c r="F262" i="28"/>
  <c r="E262" i="28"/>
  <c r="C262" i="28"/>
  <c r="G261" i="28"/>
  <c r="F261" i="28"/>
  <c r="E261" i="28"/>
  <c r="C261" i="28"/>
  <c r="G260" i="28"/>
  <c r="F260" i="28"/>
  <c r="E260" i="28"/>
  <c r="A132" i="28"/>
  <c r="C132" i="28"/>
  <c r="A133" i="28"/>
  <c r="D133" i="28"/>
  <c r="G99" i="10"/>
  <c r="K133" i="28"/>
  <c r="A134" i="28"/>
  <c r="D134" i="28"/>
  <c r="G100" i="10"/>
  <c r="K134" i="28"/>
  <c r="A135" i="28"/>
  <c r="D135" i="28"/>
  <c r="G101" i="10"/>
  <c r="K135" i="28"/>
  <c r="A136" i="28"/>
  <c r="D136" i="28"/>
  <c r="G102" i="10"/>
  <c r="K136" i="28"/>
  <c r="A137" i="28"/>
  <c r="D137" i="28"/>
  <c r="G103" i="10"/>
  <c r="K137" i="28"/>
  <c r="A138" i="28"/>
  <c r="D138" i="28"/>
  <c r="G104" i="10"/>
  <c r="K138" i="28"/>
  <c r="A139" i="28"/>
  <c r="D139" i="28"/>
  <c r="G105" i="10"/>
  <c r="K139" i="28"/>
  <c r="A140" i="28"/>
  <c r="D140" i="28"/>
  <c r="G106" i="10"/>
  <c r="K140" i="28"/>
  <c r="A141" i="28"/>
  <c r="D141" i="28"/>
  <c r="G107" i="10"/>
  <c r="K141" i="28"/>
  <c r="A142" i="28"/>
  <c r="D142" i="28"/>
  <c r="G108" i="10"/>
  <c r="K142" i="28"/>
  <c r="A143" i="28"/>
  <c r="D143" i="28"/>
  <c r="G109" i="10"/>
  <c r="K143" i="28"/>
  <c r="A144" i="28"/>
  <c r="D144" i="28"/>
  <c r="G110" i="10"/>
  <c r="K144" i="28"/>
  <c r="A145" i="28"/>
  <c r="D145" i="28"/>
  <c r="G111" i="10"/>
  <c r="K145" i="28"/>
  <c r="A146" i="28"/>
  <c r="D146" i="28"/>
  <c r="G112" i="10"/>
  <c r="K146" i="28"/>
  <c r="A147" i="28"/>
  <c r="D147" i="28"/>
  <c r="G113" i="10"/>
  <c r="K147" i="28"/>
  <c r="A148" i="28"/>
  <c r="D148" i="28"/>
  <c r="G114" i="10"/>
  <c r="K148" i="28"/>
  <c r="A149" i="28"/>
  <c r="D149" i="28"/>
  <c r="G115" i="10"/>
  <c r="K149" i="28"/>
  <c r="G116" i="10"/>
  <c r="G152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3" i="10"/>
  <c r="G154" i="10"/>
  <c r="G155" i="10"/>
  <c r="G156" i="10"/>
  <c r="G157" i="10"/>
  <c r="G158" i="10"/>
  <c r="G159" i="10"/>
  <c r="G160" i="10"/>
  <c r="G208" i="10"/>
  <c r="G161" i="10"/>
  <c r="G209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M246" i="28"/>
  <c r="K246" i="28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K17" i="55"/>
  <c r="K23" i="55"/>
  <c r="K38" i="55"/>
  <c r="K40" i="55"/>
  <c r="K42" i="55"/>
  <c r="K43" i="55"/>
  <c r="K48" i="55"/>
  <c r="K59" i="55"/>
  <c r="K61" i="55"/>
  <c r="K63" i="55"/>
  <c r="L17" i="55"/>
  <c r="L23" i="55"/>
  <c r="L38" i="55"/>
  <c r="L40" i="55"/>
  <c r="L42" i="55"/>
  <c r="L43" i="55"/>
  <c r="L48" i="55"/>
  <c r="L59" i="55"/>
  <c r="L61" i="55"/>
  <c r="L63" i="55"/>
  <c r="M17" i="55"/>
  <c r="M22" i="55"/>
  <c r="M28" i="55"/>
  <c r="M23" i="55"/>
  <c r="M31" i="55"/>
  <c r="M33" i="55"/>
  <c r="M35" i="55"/>
  <c r="M37" i="55"/>
  <c r="M38" i="55"/>
  <c r="M40" i="55"/>
  <c r="M42" i="55"/>
  <c r="M43" i="55"/>
  <c r="M48" i="55"/>
  <c r="M59" i="55"/>
  <c r="M61" i="55"/>
  <c r="M63" i="55"/>
  <c r="K67" i="55"/>
  <c r="W17" i="55"/>
  <c r="W22" i="55"/>
  <c r="W28" i="55"/>
  <c r="W23" i="55"/>
  <c r="W31" i="55"/>
  <c r="W33" i="55"/>
  <c r="W35" i="55"/>
  <c r="W37" i="55"/>
  <c r="W38" i="55"/>
  <c r="W40" i="55"/>
  <c r="F63" i="55"/>
  <c r="F64" i="55"/>
  <c r="F65" i="55"/>
  <c r="G67" i="55"/>
  <c r="W42" i="55"/>
  <c r="W43" i="55"/>
  <c r="W48" i="55"/>
  <c r="W59" i="55"/>
  <c r="W61" i="55"/>
  <c r="W63" i="55"/>
  <c r="B229" i="10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H42" i="5"/>
  <c r="H43" i="5"/>
  <c r="H44" i="5"/>
  <c r="H45" i="5"/>
  <c r="H46" i="5"/>
  <c r="H41" i="5"/>
  <c r="O59" i="1"/>
  <c r="K59" i="1"/>
  <c r="L59" i="1"/>
  <c r="G59" i="1"/>
  <c r="O47" i="1"/>
  <c r="K47" i="1"/>
  <c r="L47" i="1"/>
  <c r="G47" i="1"/>
  <c r="B47" i="1"/>
  <c r="O63" i="1"/>
  <c r="K63" i="1"/>
  <c r="L63" i="1"/>
  <c r="G63" i="1"/>
  <c r="O55" i="1"/>
  <c r="K55" i="1"/>
  <c r="L55" i="1"/>
  <c r="G55" i="1"/>
  <c r="O43" i="1"/>
  <c r="K43" i="1"/>
  <c r="L43" i="1"/>
  <c r="G43" i="1"/>
  <c r="B43" i="1"/>
  <c r="O38" i="1"/>
  <c r="K38" i="1"/>
  <c r="L38" i="1"/>
  <c r="G38" i="1"/>
  <c r="B38" i="1"/>
  <c r="O31" i="1"/>
  <c r="K31" i="1"/>
  <c r="L31" i="1"/>
  <c r="G31" i="1"/>
  <c r="B31" i="1"/>
  <c r="O22" i="1"/>
  <c r="K22" i="1"/>
  <c r="L22" i="1"/>
  <c r="G22" i="1"/>
  <c r="B22" i="1"/>
  <c r="O57" i="1"/>
  <c r="K57" i="1"/>
  <c r="L57" i="1"/>
  <c r="G57" i="1"/>
  <c r="O61" i="1"/>
  <c r="K61" i="1"/>
  <c r="L61" i="1"/>
  <c r="G61" i="1"/>
  <c r="O53" i="1"/>
  <c r="K53" i="1"/>
  <c r="L53" i="1"/>
  <c r="G53" i="1"/>
  <c r="O42" i="1"/>
  <c r="K42" i="1"/>
  <c r="L42" i="1"/>
  <c r="G42" i="1"/>
  <c r="B42" i="1"/>
  <c r="O40" i="1"/>
  <c r="K40" i="1"/>
  <c r="L40" i="1"/>
  <c r="G40" i="1"/>
  <c r="B40" i="1"/>
  <c r="O33" i="1"/>
  <c r="K33" i="1"/>
  <c r="L33" i="1"/>
  <c r="G33" i="1"/>
  <c r="B33" i="1"/>
  <c r="O26" i="1"/>
  <c r="K26" i="1"/>
  <c r="L26" i="1"/>
  <c r="G26" i="1"/>
  <c r="B26" i="1"/>
  <c r="M17" i="1"/>
  <c r="O17" i="1"/>
  <c r="K17" i="1"/>
  <c r="L17" i="1"/>
  <c r="G17" i="1"/>
  <c r="B17" i="1"/>
  <c r="O41" i="1"/>
  <c r="K41" i="1"/>
  <c r="L41" i="1"/>
  <c r="G41" i="1"/>
  <c r="B41" i="1"/>
  <c r="O62" i="1"/>
  <c r="K62" i="1"/>
  <c r="L62" i="1"/>
  <c r="G62" i="1"/>
  <c r="O58" i="1"/>
  <c r="K58" i="1"/>
  <c r="L58" i="1"/>
  <c r="G58" i="1"/>
  <c r="O54" i="1"/>
  <c r="K54" i="1"/>
  <c r="L54" i="1"/>
  <c r="G54" i="1"/>
  <c r="O46" i="1"/>
  <c r="K46" i="1"/>
  <c r="L46" i="1"/>
  <c r="G46" i="1"/>
  <c r="B46" i="1"/>
  <c r="O29" i="1"/>
  <c r="K29" i="1"/>
  <c r="L29" i="1"/>
  <c r="G29" i="1"/>
  <c r="B29" i="1"/>
  <c r="O36" i="1"/>
  <c r="K36" i="1"/>
  <c r="L36" i="1"/>
  <c r="G36" i="1"/>
  <c r="B36" i="1"/>
  <c r="O20" i="1"/>
  <c r="K20" i="1"/>
  <c r="L20" i="1"/>
  <c r="G20" i="1"/>
  <c r="B20" i="1"/>
  <c r="D52" i="31"/>
  <c r="O51" i="1"/>
  <c r="K51" i="1"/>
  <c r="L51" i="1"/>
  <c r="G51" i="1"/>
  <c r="B51" i="1"/>
  <c r="O37" i="1"/>
  <c r="K37" i="1"/>
  <c r="L37" i="1"/>
  <c r="G37" i="1"/>
  <c r="B37" i="1"/>
  <c r="O30" i="1"/>
  <c r="K30" i="1"/>
  <c r="L30" i="1"/>
  <c r="G30" i="1"/>
  <c r="B30" i="1"/>
  <c r="O25" i="1"/>
  <c r="K25" i="1"/>
  <c r="L25" i="1"/>
  <c r="G25" i="1"/>
  <c r="B25" i="1"/>
  <c r="G21" i="1"/>
  <c r="O21" i="1"/>
  <c r="K21" i="1"/>
  <c r="L21" i="1"/>
  <c r="B21" i="1"/>
  <c r="AS47" i="56"/>
  <c r="AS15" i="56"/>
  <c r="AS16" i="56"/>
  <c r="AS17" i="56"/>
  <c r="AS18" i="56"/>
  <c r="AS19" i="56"/>
  <c r="AS20" i="56"/>
  <c r="AS21" i="56"/>
  <c r="AS22" i="56"/>
  <c r="AS23" i="56"/>
  <c r="AS24" i="56"/>
  <c r="AS25" i="56"/>
  <c r="AS26" i="56"/>
  <c r="AS27" i="56"/>
  <c r="AS28" i="56"/>
  <c r="AS29" i="56"/>
  <c r="AS30" i="56"/>
  <c r="AS31" i="56"/>
  <c r="AS32" i="56"/>
  <c r="AS33" i="56"/>
  <c r="AS34" i="56"/>
  <c r="AS35" i="56"/>
  <c r="AS36" i="56"/>
  <c r="AS37" i="56"/>
  <c r="AS38" i="56"/>
  <c r="AS39" i="56"/>
  <c r="AS40" i="56"/>
  <c r="AS41" i="56"/>
  <c r="AS42" i="56"/>
  <c r="AS43" i="56"/>
  <c r="AS44" i="56"/>
  <c r="AS45" i="56"/>
  <c r="AS14" i="56"/>
  <c r="AQ45" i="56"/>
  <c r="AP45" i="56"/>
  <c r="AQ44" i="56"/>
  <c r="AP44" i="56"/>
  <c r="AQ43" i="56"/>
  <c r="AP43" i="56"/>
  <c r="AQ42" i="56"/>
  <c r="AP42" i="56"/>
  <c r="AQ41" i="56"/>
  <c r="AP41" i="56"/>
  <c r="AQ37" i="56"/>
  <c r="AP37" i="56"/>
  <c r="AQ36" i="56"/>
  <c r="AP36" i="56"/>
  <c r="AQ35" i="56"/>
  <c r="AP35" i="56"/>
  <c r="AQ34" i="56"/>
  <c r="AP34" i="56"/>
  <c r="AQ33" i="56"/>
  <c r="AP33" i="56"/>
  <c r="AQ32" i="56"/>
  <c r="AP32" i="56"/>
  <c r="AP24" i="56"/>
  <c r="AQ24" i="56"/>
  <c r="AP25" i="56"/>
  <c r="AQ25" i="56"/>
  <c r="AP26" i="56"/>
  <c r="AQ26" i="56"/>
  <c r="AP27" i="56"/>
  <c r="AQ27" i="56"/>
  <c r="AQ23" i="56"/>
  <c r="AP23" i="56"/>
  <c r="AQ15" i="56"/>
  <c r="AQ16" i="56"/>
  <c r="AQ17" i="56"/>
  <c r="AQ18" i="56"/>
  <c r="AQ19" i="56"/>
  <c r="AQ20" i="56"/>
  <c r="AQ21" i="56"/>
  <c r="AQ22" i="56"/>
  <c r="AQ28" i="56"/>
  <c r="AQ29" i="56"/>
  <c r="AQ30" i="56"/>
  <c r="AQ31" i="56"/>
  <c r="AQ38" i="56"/>
  <c r="AQ39" i="56"/>
  <c r="AQ40" i="56"/>
  <c r="AQ14" i="56"/>
  <c r="AP15" i="56"/>
  <c r="AP16" i="56"/>
  <c r="AP17" i="56"/>
  <c r="AP18" i="56"/>
  <c r="AP19" i="56"/>
  <c r="AP20" i="56"/>
  <c r="AP21" i="56"/>
  <c r="AP22" i="56"/>
  <c r="AP28" i="56"/>
  <c r="AP29" i="56"/>
  <c r="AP30" i="56"/>
  <c r="AP31" i="56"/>
  <c r="AP38" i="56"/>
  <c r="AP39" i="56"/>
  <c r="AP40" i="56"/>
  <c r="AP14" i="56"/>
  <c r="M16" i="56"/>
  <c r="N16" i="56"/>
  <c r="O16" i="56"/>
  <c r="P16" i="56"/>
  <c r="Q16" i="56"/>
  <c r="R16" i="56"/>
  <c r="S16" i="56"/>
  <c r="T16" i="56"/>
  <c r="M17" i="56"/>
  <c r="N17" i="56"/>
  <c r="O17" i="56"/>
  <c r="P17" i="56"/>
  <c r="Q17" i="56"/>
  <c r="R17" i="56"/>
  <c r="S17" i="56"/>
  <c r="T17" i="56"/>
  <c r="M18" i="56"/>
  <c r="N18" i="56"/>
  <c r="O18" i="56"/>
  <c r="P18" i="56"/>
  <c r="Q18" i="56"/>
  <c r="R18" i="56"/>
  <c r="S18" i="56"/>
  <c r="T18" i="56"/>
  <c r="M15" i="56"/>
  <c r="N15" i="56"/>
  <c r="O15" i="56"/>
  <c r="P15" i="56"/>
  <c r="Q15" i="56"/>
  <c r="R15" i="56"/>
  <c r="S15" i="56"/>
  <c r="T15" i="56"/>
  <c r="P14" i="56"/>
  <c r="Q14" i="56"/>
  <c r="R14" i="56"/>
  <c r="S14" i="56"/>
  <c r="T14" i="56"/>
  <c r="C5" i="56"/>
  <c r="D5" i="56"/>
  <c r="C6" i="56"/>
  <c r="D6" i="56"/>
  <c r="C7" i="56"/>
  <c r="D7" i="56"/>
  <c r="C8" i="56"/>
  <c r="D8" i="56"/>
  <c r="C9" i="56"/>
  <c r="D9" i="56"/>
  <c r="C10" i="56"/>
  <c r="D10" i="56"/>
  <c r="C15" i="56"/>
  <c r="D15" i="56"/>
  <c r="C16" i="56"/>
  <c r="D16" i="56"/>
  <c r="C17" i="56"/>
  <c r="D17" i="56"/>
  <c r="C18" i="56"/>
  <c r="D18" i="56"/>
  <c r="C23" i="56"/>
  <c r="D23" i="56"/>
  <c r="C24" i="56"/>
  <c r="D24" i="56"/>
  <c r="C25" i="56"/>
  <c r="D25" i="56"/>
  <c r="C26" i="56"/>
  <c r="D26" i="56"/>
  <c r="C27" i="56"/>
  <c r="D27" i="56"/>
  <c r="C32" i="56"/>
  <c r="D32" i="56"/>
  <c r="C33" i="56"/>
  <c r="D33" i="56"/>
  <c r="C34" i="56"/>
  <c r="D34" i="56"/>
  <c r="C35" i="56"/>
  <c r="D35" i="56"/>
  <c r="C36" i="56"/>
  <c r="D36" i="56"/>
  <c r="C37" i="56"/>
  <c r="D37" i="56"/>
  <c r="C41" i="56"/>
  <c r="D41" i="56"/>
  <c r="C42" i="56"/>
  <c r="D42" i="56"/>
  <c r="C43" i="56"/>
  <c r="D43" i="56"/>
  <c r="C44" i="56"/>
  <c r="D44" i="56"/>
  <c r="C45" i="56"/>
  <c r="D45" i="56"/>
  <c r="C50" i="56"/>
  <c r="D50" i="56"/>
  <c r="C51" i="56"/>
  <c r="D51" i="56"/>
  <c r="C52" i="56"/>
  <c r="D52" i="56"/>
  <c r="C53" i="56"/>
  <c r="D53" i="56"/>
  <c r="C54" i="56"/>
  <c r="D54" i="56"/>
  <c r="C55" i="56"/>
  <c r="D55" i="56"/>
  <c r="D57" i="56"/>
  <c r="J5" i="56"/>
  <c r="K5" i="56"/>
  <c r="J6" i="56"/>
  <c r="K6" i="56"/>
  <c r="J7" i="56"/>
  <c r="K7" i="56"/>
  <c r="J8" i="56"/>
  <c r="K8" i="56"/>
  <c r="J9" i="56"/>
  <c r="K9" i="56"/>
  <c r="J10" i="56"/>
  <c r="K10" i="56"/>
  <c r="J14" i="56"/>
  <c r="K14" i="56"/>
  <c r="J15" i="56"/>
  <c r="K15" i="56"/>
  <c r="J16" i="56"/>
  <c r="K16" i="56"/>
  <c r="J17" i="56"/>
  <c r="K17" i="56"/>
  <c r="J18" i="56"/>
  <c r="K18" i="56"/>
  <c r="J19" i="56"/>
  <c r="K19" i="56"/>
  <c r="J23" i="56"/>
  <c r="K23" i="56"/>
  <c r="J24" i="56"/>
  <c r="K24" i="56"/>
  <c r="J25" i="56"/>
  <c r="K25" i="56"/>
  <c r="J26" i="56"/>
  <c r="K26" i="56"/>
  <c r="J27" i="56"/>
  <c r="K27" i="56"/>
  <c r="J28" i="56"/>
  <c r="K28" i="56"/>
  <c r="J32" i="56"/>
  <c r="K32" i="56"/>
  <c r="J33" i="56"/>
  <c r="K33" i="56"/>
  <c r="J34" i="56"/>
  <c r="K34" i="56"/>
  <c r="J35" i="56"/>
  <c r="K35" i="56"/>
  <c r="J36" i="56"/>
  <c r="K36" i="56"/>
  <c r="J37" i="56"/>
  <c r="K37" i="56"/>
  <c r="J41" i="56"/>
  <c r="K41" i="56"/>
  <c r="J42" i="56"/>
  <c r="K42" i="56"/>
  <c r="J43" i="56"/>
  <c r="K43" i="56"/>
  <c r="J44" i="56"/>
  <c r="K44" i="56"/>
  <c r="J45" i="56"/>
  <c r="K45" i="56"/>
  <c r="J46" i="56"/>
  <c r="K46" i="56"/>
  <c r="J50" i="56"/>
  <c r="K50" i="56"/>
  <c r="J51" i="56"/>
  <c r="K51" i="56"/>
  <c r="J52" i="56"/>
  <c r="K52" i="56"/>
  <c r="J53" i="56"/>
  <c r="K53" i="56"/>
  <c r="J54" i="56"/>
  <c r="K54" i="56"/>
  <c r="J55" i="56"/>
  <c r="K55" i="56"/>
  <c r="K57" i="56"/>
  <c r="M5" i="56"/>
  <c r="N5" i="56"/>
  <c r="M6" i="56"/>
  <c r="N6" i="56"/>
  <c r="M7" i="56"/>
  <c r="N7" i="56"/>
  <c r="M8" i="56"/>
  <c r="N8" i="56"/>
  <c r="M9" i="56"/>
  <c r="N9" i="56"/>
  <c r="M10" i="56"/>
  <c r="N10" i="56"/>
  <c r="M14" i="56"/>
  <c r="N14" i="56"/>
  <c r="M24" i="56"/>
  <c r="N24" i="56"/>
  <c r="M25" i="56"/>
  <c r="N25" i="56"/>
  <c r="M26" i="56"/>
  <c r="N26" i="56"/>
  <c r="M27" i="56"/>
  <c r="N27" i="56"/>
  <c r="M32" i="56"/>
  <c r="N32" i="56"/>
  <c r="M33" i="56"/>
  <c r="N33" i="56"/>
  <c r="M34" i="56"/>
  <c r="N34" i="56"/>
  <c r="M35" i="56"/>
  <c r="N35" i="56"/>
  <c r="M36" i="56"/>
  <c r="N36" i="56"/>
  <c r="M41" i="56"/>
  <c r="N41" i="56"/>
  <c r="M42" i="56"/>
  <c r="N42" i="56"/>
  <c r="M43" i="56"/>
  <c r="N43" i="56"/>
  <c r="M44" i="56"/>
  <c r="N44" i="56"/>
  <c r="M45" i="56"/>
  <c r="N45" i="56"/>
  <c r="M46" i="56"/>
  <c r="N46" i="56"/>
  <c r="M50" i="56"/>
  <c r="N50" i="56"/>
  <c r="M51" i="56"/>
  <c r="N51" i="56"/>
  <c r="M52" i="56"/>
  <c r="N52" i="56"/>
  <c r="M53" i="56"/>
  <c r="N53" i="56"/>
  <c r="M54" i="56"/>
  <c r="N54" i="56"/>
  <c r="M55" i="56"/>
  <c r="N55" i="56"/>
  <c r="N57" i="56"/>
  <c r="T5" i="56"/>
  <c r="U5" i="56"/>
  <c r="T6" i="56"/>
  <c r="U6" i="56"/>
  <c r="T7" i="56"/>
  <c r="U7" i="56"/>
  <c r="T8" i="56"/>
  <c r="U8" i="56"/>
  <c r="T9" i="56"/>
  <c r="U9" i="56"/>
  <c r="T10" i="56"/>
  <c r="U10" i="56"/>
  <c r="U14" i="56"/>
  <c r="U15" i="56"/>
  <c r="U16" i="56"/>
  <c r="U17" i="56"/>
  <c r="U18" i="56"/>
  <c r="T19" i="56"/>
  <c r="U19" i="56"/>
  <c r="T23" i="56"/>
  <c r="U23" i="56"/>
  <c r="T24" i="56"/>
  <c r="U24" i="56"/>
  <c r="T25" i="56"/>
  <c r="U25" i="56"/>
  <c r="T26" i="56"/>
  <c r="U26" i="56"/>
  <c r="T27" i="56"/>
  <c r="U27" i="56"/>
  <c r="T28" i="56"/>
  <c r="U28" i="56"/>
  <c r="T32" i="56"/>
  <c r="U32" i="56"/>
  <c r="T33" i="56"/>
  <c r="U33" i="56"/>
  <c r="T34" i="56"/>
  <c r="U34" i="56"/>
  <c r="T35" i="56"/>
  <c r="U35" i="56"/>
  <c r="T36" i="56"/>
  <c r="U36" i="56"/>
  <c r="T37" i="56"/>
  <c r="U37" i="56"/>
  <c r="T41" i="56"/>
  <c r="U41" i="56"/>
  <c r="T42" i="56"/>
  <c r="U42" i="56"/>
  <c r="T43" i="56"/>
  <c r="U43" i="56"/>
  <c r="T44" i="56"/>
  <c r="U44" i="56"/>
  <c r="T45" i="56"/>
  <c r="U45" i="56"/>
  <c r="T46" i="56"/>
  <c r="U46" i="56"/>
  <c r="T50" i="56"/>
  <c r="U50" i="56"/>
  <c r="T51" i="56"/>
  <c r="U51" i="56"/>
  <c r="T52" i="56"/>
  <c r="U52" i="56"/>
  <c r="T53" i="56"/>
  <c r="U53" i="56"/>
  <c r="T54" i="56"/>
  <c r="U54" i="56"/>
  <c r="T55" i="56"/>
  <c r="U55" i="56"/>
  <c r="U57" i="56"/>
  <c r="AG13" i="56"/>
  <c r="AF13" i="56"/>
  <c r="Z13" i="56"/>
  <c r="AC13" i="56"/>
  <c r="AG14" i="56"/>
  <c r="AF14" i="56"/>
  <c r="Z14" i="56"/>
  <c r="AC14" i="56"/>
  <c r="AG15" i="56"/>
  <c r="AF15" i="56"/>
  <c r="Z15" i="56"/>
  <c r="AC15" i="56"/>
  <c r="AG16" i="56"/>
  <c r="AF16" i="56"/>
  <c r="Z16" i="56"/>
  <c r="AC16" i="56"/>
  <c r="AG17" i="56"/>
  <c r="AF17" i="56"/>
  <c r="Z17" i="56"/>
  <c r="AC17" i="56"/>
  <c r="AG18" i="56"/>
  <c r="AF18" i="56"/>
  <c r="Z18" i="56"/>
  <c r="AC18" i="56"/>
  <c r="AG19" i="56"/>
  <c r="AF19" i="56"/>
  <c r="Z19" i="56"/>
  <c r="AC19" i="56"/>
  <c r="AG20" i="56"/>
  <c r="AF20" i="56"/>
  <c r="Z20" i="56"/>
  <c r="AC20" i="56"/>
  <c r="AG21" i="56"/>
  <c r="AF21" i="56"/>
  <c r="Z21" i="56"/>
  <c r="AC21" i="56"/>
  <c r="AG22" i="56"/>
  <c r="AF22" i="56"/>
  <c r="Z22" i="56"/>
  <c r="AC22" i="56"/>
  <c r="AG23" i="56"/>
  <c r="AF23" i="56"/>
  <c r="Z23" i="56"/>
  <c r="AC23" i="56"/>
  <c r="Y8" i="56"/>
  <c r="Y13" i="56"/>
  <c r="Y14" i="56"/>
  <c r="Y15" i="56"/>
  <c r="Y16" i="56"/>
  <c r="Y17" i="56"/>
  <c r="Y18" i="56"/>
  <c r="Y19" i="56"/>
  <c r="Y20" i="56"/>
  <c r="Y21" i="56"/>
  <c r="Y22" i="56"/>
  <c r="Y23" i="56"/>
  <c r="Y11" i="56"/>
  <c r="Y5" i="56"/>
  <c r="U13" i="56"/>
  <c r="U22" i="56"/>
  <c r="U31" i="56"/>
  <c r="U40" i="56"/>
  <c r="U49" i="56"/>
  <c r="K22" i="56"/>
  <c r="K31" i="56"/>
  <c r="K40" i="56"/>
  <c r="K49" i="56"/>
  <c r="S55" i="56"/>
  <c r="R55" i="56"/>
  <c r="Q55" i="56"/>
  <c r="P55" i="56"/>
  <c r="O55" i="56"/>
  <c r="I55" i="56"/>
  <c r="H55" i="56"/>
  <c r="G55" i="56"/>
  <c r="F55" i="56"/>
  <c r="E55" i="56"/>
  <c r="S54" i="56"/>
  <c r="R54" i="56"/>
  <c r="Q54" i="56"/>
  <c r="P54" i="56"/>
  <c r="O54" i="56"/>
  <c r="I54" i="56"/>
  <c r="H54" i="56"/>
  <c r="G54" i="56"/>
  <c r="F54" i="56"/>
  <c r="E54" i="56"/>
  <c r="S53" i="56"/>
  <c r="R53" i="56"/>
  <c r="Q53" i="56"/>
  <c r="P53" i="56"/>
  <c r="O53" i="56"/>
  <c r="I53" i="56"/>
  <c r="H53" i="56"/>
  <c r="G53" i="56"/>
  <c r="F53" i="56"/>
  <c r="E53" i="56"/>
  <c r="S52" i="56"/>
  <c r="R52" i="56"/>
  <c r="Q52" i="56"/>
  <c r="P52" i="56"/>
  <c r="O52" i="56"/>
  <c r="I52" i="56"/>
  <c r="H52" i="56"/>
  <c r="G52" i="56"/>
  <c r="F52" i="56"/>
  <c r="E52" i="56"/>
  <c r="S51" i="56"/>
  <c r="R51" i="56"/>
  <c r="Q51" i="56"/>
  <c r="P51" i="56"/>
  <c r="O51" i="56"/>
  <c r="I51" i="56"/>
  <c r="H51" i="56"/>
  <c r="G51" i="56"/>
  <c r="F51" i="56"/>
  <c r="E51" i="56"/>
  <c r="S50" i="56"/>
  <c r="R50" i="56"/>
  <c r="Q50" i="56"/>
  <c r="P50" i="56"/>
  <c r="O50" i="56"/>
  <c r="I50" i="56"/>
  <c r="H50" i="56"/>
  <c r="G50" i="56"/>
  <c r="F50" i="56"/>
  <c r="E50" i="56"/>
  <c r="S46" i="56"/>
  <c r="R46" i="56"/>
  <c r="Q46" i="56"/>
  <c r="P46" i="56"/>
  <c r="O46" i="56"/>
  <c r="I46" i="56"/>
  <c r="H46" i="56"/>
  <c r="G46" i="56"/>
  <c r="F46" i="56"/>
  <c r="E46" i="56"/>
  <c r="C46" i="56"/>
  <c r="S45" i="56"/>
  <c r="R45" i="56"/>
  <c r="Q45" i="56"/>
  <c r="P45" i="56"/>
  <c r="O45" i="56"/>
  <c r="I45" i="56"/>
  <c r="H45" i="56"/>
  <c r="G45" i="56"/>
  <c r="F45" i="56"/>
  <c r="E45" i="56"/>
  <c r="S44" i="56"/>
  <c r="R44" i="56"/>
  <c r="Q44" i="56"/>
  <c r="P44" i="56"/>
  <c r="O44" i="56"/>
  <c r="I44" i="56"/>
  <c r="H44" i="56"/>
  <c r="G44" i="56"/>
  <c r="F44" i="56"/>
  <c r="E44" i="56"/>
  <c r="S43" i="56"/>
  <c r="R43" i="56"/>
  <c r="Q43" i="56"/>
  <c r="P43" i="56"/>
  <c r="O43" i="56"/>
  <c r="I43" i="56"/>
  <c r="H43" i="56"/>
  <c r="G43" i="56"/>
  <c r="F43" i="56"/>
  <c r="E43" i="56"/>
  <c r="S42" i="56"/>
  <c r="R42" i="56"/>
  <c r="Q42" i="56"/>
  <c r="P42" i="56"/>
  <c r="O42" i="56"/>
  <c r="I42" i="56"/>
  <c r="H42" i="56"/>
  <c r="G42" i="56"/>
  <c r="F42" i="56"/>
  <c r="E42" i="56"/>
  <c r="S41" i="56"/>
  <c r="R41" i="56"/>
  <c r="Q41" i="56"/>
  <c r="P41" i="56"/>
  <c r="O41" i="56"/>
  <c r="I41" i="56"/>
  <c r="H41" i="56"/>
  <c r="G41" i="56"/>
  <c r="F41" i="56"/>
  <c r="E41" i="56"/>
  <c r="S37" i="56"/>
  <c r="R37" i="56"/>
  <c r="Q37" i="56"/>
  <c r="P37" i="56"/>
  <c r="O37" i="56"/>
  <c r="M37" i="56"/>
  <c r="I37" i="56"/>
  <c r="H37" i="56"/>
  <c r="G37" i="56"/>
  <c r="F37" i="56"/>
  <c r="E37" i="56"/>
  <c r="S36" i="56"/>
  <c r="R36" i="56"/>
  <c r="Q36" i="56"/>
  <c r="P36" i="56"/>
  <c r="O36" i="56"/>
  <c r="I36" i="56"/>
  <c r="H36" i="56"/>
  <c r="G36" i="56"/>
  <c r="F36" i="56"/>
  <c r="E36" i="56"/>
  <c r="S35" i="56"/>
  <c r="R35" i="56"/>
  <c r="Q35" i="56"/>
  <c r="P35" i="56"/>
  <c r="O35" i="56"/>
  <c r="I35" i="56"/>
  <c r="H35" i="56"/>
  <c r="G35" i="56"/>
  <c r="F35" i="56"/>
  <c r="E35" i="56"/>
  <c r="S34" i="56"/>
  <c r="R34" i="56"/>
  <c r="Q34" i="56"/>
  <c r="P34" i="56"/>
  <c r="O34" i="56"/>
  <c r="I34" i="56"/>
  <c r="H34" i="56"/>
  <c r="G34" i="56"/>
  <c r="F34" i="56"/>
  <c r="E34" i="56"/>
  <c r="S33" i="56"/>
  <c r="R33" i="56"/>
  <c r="Q33" i="56"/>
  <c r="P33" i="56"/>
  <c r="O33" i="56"/>
  <c r="I33" i="56"/>
  <c r="H33" i="56"/>
  <c r="G33" i="56"/>
  <c r="F33" i="56"/>
  <c r="E33" i="56"/>
  <c r="S32" i="56"/>
  <c r="R32" i="56"/>
  <c r="Q32" i="56"/>
  <c r="P32" i="56"/>
  <c r="O32" i="56"/>
  <c r="I32" i="56"/>
  <c r="H32" i="56"/>
  <c r="G32" i="56"/>
  <c r="F32" i="56"/>
  <c r="E32" i="56"/>
  <c r="S28" i="56"/>
  <c r="R28" i="56"/>
  <c r="Q28" i="56"/>
  <c r="P28" i="56"/>
  <c r="O28" i="56"/>
  <c r="M28" i="56"/>
  <c r="I28" i="56"/>
  <c r="H28" i="56"/>
  <c r="G28" i="56"/>
  <c r="F28" i="56"/>
  <c r="E28" i="56"/>
  <c r="C28" i="56"/>
  <c r="S27" i="56"/>
  <c r="R27" i="56"/>
  <c r="Q27" i="56"/>
  <c r="P27" i="56"/>
  <c r="O27" i="56"/>
  <c r="I27" i="56"/>
  <c r="H27" i="56"/>
  <c r="G27" i="56"/>
  <c r="F27" i="56"/>
  <c r="E27" i="56"/>
  <c r="S26" i="56"/>
  <c r="R26" i="56"/>
  <c r="Q26" i="56"/>
  <c r="P26" i="56"/>
  <c r="O26" i="56"/>
  <c r="I26" i="56"/>
  <c r="H26" i="56"/>
  <c r="G26" i="56"/>
  <c r="F26" i="56"/>
  <c r="E26" i="56"/>
  <c r="AG24" i="56"/>
  <c r="AG25" i="56"/>
  <c r="AF25" i="56"/>
  <c r="S25" i="56"/>
  <c r="R25" i="56"/>
  <c r="Q25" i="56"/>
  <c r="P25" i="56"/>
  <c r="O25" i="56"/>
  <c r="I25" i="56"/>
  <c r="H25" i="56"/>
  <c r="G25" i="56"/>
  <c r="F25" i="56"/>
  <c r="E25" i="56"/>
  <c r="AF24" i="56"/>
  <c r="S24" i="56"/>
  <c r="R24" i="56"/>
  <c r="Q24" i="56"/>
  <c r="P24" i="56"/>
  <c r="O24" i="56"/>
  <c r="I24" i="56"/>
  <c r="H24" i="56"/>
  <c r="G24" i="56"/>
  <c r="F24" i="56"/>
  <c r="E24" i="56"/>
  <c r="AA23" i="56"/>
  <c r="S23" i="56"/>
  <c r="R23" i="56"/>
  <c r="Q23" i="56"/>
  <c r="P23" i="56"/>
  <c r="O23" i="56"/>
  <c r="M23" i="56"/>
  <c r="I23" i="56"/>
  <c r="H23" i="56"/>
  <c r="G23" i="56"/>
  <c r="F23" i="56"/>
  <c r="E23" i="56"/>
  <c r="AA22" i="56"/>
  <c r="AA21" i="56"/>
  <c r="AA20" i="56"/>
  <c r="AA19" i="56"/>
  <c r="S19" i="56"/>
  <c r="R19" i="56"/>
  <c r="Q19" i="56"/>
  <c r="P19" i="56"/>
  <c r="O19" i="56"/>
  <c r="M19" i="56"/>
  <c r="I19" i="56"/>
  <c r="H19" i="56"/>
  <c r="G19" i="56"/>
  <c r="F19" i="56"/>
  <c r="E19" i="56"/>
  <c r="C19" i="56"/>
  <c r="AA18" i="56"/>
  <c r="I18" i="56"/>
  <c r="H18" i="56"/>
  <c r="G18" i="56"/>
  <c r="F18" i="56"/>
  <c r="E18" i="56"/>
  <c r="AA17" i="56"/>
  <c r="I17" i="56"/>
  <c r="H17" i="56"/>
  <c r="G17" i="56"/>
  <c r="F17" i="56"/>
  <c r="E17" i="56"/>
  <c r="AA16" i="56"/>
  <c r="I16" i="56"/>
  <c r="H16" i="56"/>
  <c r="G16" i="56"/>
  <c r="F16" i="56"/>
  <c r="E16" i="56"/>
  <c r="AA15" i="56"/>
  <c r="I15" i="56"/>
  <c r="H15" i="56"/>
  <c r="G15" i="56"/>
  <c r="F15" i="56"/>
  <c r="E15" i="56"/>
  <c r="AA14" i="56"/>
  <c r="O14" i="56"/>
  <c r="I14" i="56"/>
  <c r="H14" i="56"/>
  <c r="G14" i="56"/>
  <c r="F14" i="56"/>
  <c r="E14" i="56"/>
  <c r="C14" i="56"/>
  <c r="AA13" i="56"/>
  <c r="S10" i="56"/>
  <c r="R10" i="56"/>
  <c r="Q10" i="56"/>
  <c r="P10" i="56"/>
  <c r="O10" i="56"/>
  <c r="I10" i="56"/>
  <c r="H10" i="56"/>
  <c r="G10" i="56"/>
  <c r="F10" i="56"/>
  <c r="E10" i="56"/>
  <c r="S9" i="56"/>
  <c r="R9" i="56"/>
  <c r="Q9" i="56"/>
  <c r="P9" i="56"/>
  <c r="O9" i="56"/>
  <c r="I9" i="56"/>
  <c r="H9" i="56"/>
  <c r="G9" i="56"/>
  <c r="F9" i="56"/>
  <c r="E9" i="56"/>
  <c r="S8" i="56"/>
  <c r="R8" i="56"/>
  <c r="Q8" i="56"/>
  <c r="P8" i="56"/>
  <c r="O8" i="56"/>
  <c r="I8" i="56"/>
  <c r="H8" i="56"/>
  <c r="G8" i="56"/>
  <c r="F8" i="56"/>
  <c r="E8" i="56"/>
  <c r="S7" i="56"/>
  <c r="R7" i="56"/>
  <c r="Q7" i="56"/>
  <c r="P7" i="56"/>
  <c r="O7" i="56"/>
  <c r="I7" i="56"/>
  <c r="H7" i="56"/>
  <c r="G7" i="56"/>
  <c r="F7" i="56"/>
  <c r="E7" i="56"/>
  <c r="S6" i="56"/>
  <c r="R6" i="56"/>
  <c r="Q6" i="56"/>
  <c r="P6" i="56"/>
  <c r="O6" i="56"/>
  <c r="I6" i="56"/>
  <c r="H6" i="56"/>
  <c r="G6" i="56"/>
  <c r="F6" i="56"/>
  <c r="E6" i="56"/>
  <c r="S5" i="56"/>
  <c r="R5" i="56"/>
  <c r="Q5" i="56"/>
  <c r="P5" i="56"/>
  <c r="O5" i="56"/>
  <c r="I5" i="56"/>
  <c r="H5" i="56"/>
  <c r="G5" i="56"/>
  <c r="F5" i="56"/>
  <c r="E5" i="56"/>
  <c r="O45" i="1"/>
  <c r="K45" i="1"/>
  <c r="L45" i="1"/>
  <c r="G45" i="1"/>
  <c r="B45" i="1"/>
  <c r="O49" i="1"/>
  <c r="K49" i="1"/>
  <c r="L49" i="1"/>
  <c r="G49" i="1"/>
  <c r="B49" i="1"/>
  <c r="O34" i="1"/>
  <c r="K34" i="1"/>
  <c r="L34" i="1"/>
  <c r="G34" i="1"/>
  <c r="B34" i="1"/>
  <c r="O27" i="1"/>
  <c r="K27" i="1"/>
  <c r="L27" i="1"/>
  <c r="G27" i="1"/>
  <c r="B27" i="1"/>
  <c r="O23" i="1"/>
  <c r="K23" i="1"/>
  <c r="L23" i="1"/>
  <c r="G23" i="1"/>
  <c r="B23" i="1"/>
  <c r="O67" i="1"/>
  <c r="O66" i="1"/>
  <c r="K60" i="1"/>
  <c r="H104" i="31"/>
  <c r="H93" i="31"/>
  <c r="C8" i="55"/>
  <c r="C7" i="55"/>
  <c r="C6" i="55"/>
  <c r="C5" i="55"/>
  <c r="C4" i="55"/>
  <c r="C3" i="55"/>
  <c r="C66" i="55"/>
  <c r="G55" i="55"/>
  <c r="G61" i="55"/>
  <c r="D55" i="55"/>
  <c r="D61" i="55"/>
  <c r="F47" i="55"/>
  <c r="Y23" i="55"/>
  <c r="X23" i="55"/>
  <c r="U23" i="55"/>
  <c r="T23" i="55"/>
  <c r="S23" i="55"/>
  <c r="R23" i="55"/>
  <c r="O23" i="55"/>
  <c r="N23" i="55"/>
  <c r="D22" i="55"/>
  <c r="X17" i="55"/>
  <c r="U28" i="55"/>
  <c r="O22" i="55"/>
  <c r="J38" i="55"/>
  <c r="X22" i="55"/>
  <c r="X28" i="55"/>
  <c r="F66" i="55"/>
  <c r="T28" i="55"/>
  <c r="T22" i="55"/>
  <c r="S17" i="55"/>
  <c r="S22" i="55"/>
  <c r="R28" i="55"/>
  <c r="R17" i="55"/>
  <c r="R22" i="55"/>
  <c r="Y17" i="55"/>
  <c r="Y22" i="55"/>
  <c r="O28" i="55"/>
  <c r="O31" i="55"/>
  <c r="N22" i="55"/>
  <c r="N17" i="55"/>
  <c r="O17" i="55"/>
  <c r="U22" i="55"/>
  <c r="U31" i="55"/>
  <c r="U17" i="55"/>
  <c r="T17" i="55"/>
  <c r="S28" i="55"/>
  <c r="X31" i="55"/>
  <c r="X33" i="55"/>
  <c r="R31" i="55"/>
  <c r="R33" i="55"/>
  <c r="R35" i="55"/>
  <c r="R37" i="55"/>
  <c r="R38" i="55"/>
  <c r="R40" i="55"/>
  <c r="T31" i="55"/>
  <c r="T33" i="55"/>
  <c r="T35" i="55"/>
  <c r="T37" i="55"/>
  <c r="T38" i="55"/>
  <c r="T40" i="55"/>
  <c r="S31" i="55"/>
  <c r="S33" i="55"/>
  <c r="S35" i="55"/>
  <c r="S37" i="55"/>
  <c r="S38" i="55"/>
  <c r="S40" i="55"/>
  <c r="X35" i="55"/>
  <c r="X37" i="55"/>
  <c r="X38" i="55"/>
  <c r="X40" i="55"/>
  <c r="J42" i="55"/>
  <c r="O33" i="55"/>
  <c r="O35" i="55"/>
  <c r="O37" i="55"/>
  <c r="O38" i="55"/>
  <c r="O40" i="55"/>
  <c r="U33" i="55"/>
  <c r="U35" i="55"/>
  <c r="U37" i="55"/>
  <c r="U38" i="55"/>
  <c r="U40" i="55"/>
  <c r="N28" i="55"/>
  <c r="N31" i="55"/>
  <c r="Y28" i="55"/>
  <c r="Y31" i="55"/>
  <c r="T42" i="55"/>
  <c r="T43" i="55"/>
  <c r="T48" i="55"/>
  <c r="T59" i="55"/>
  <c r="T61" i="55"/>
  <c r="T63" i="55"/>
  <c r="T69" i="55"/>
  <c r="X42" i="55"/>
  <c r="X43" i="55"/>
  <c r="X48" i="55"/>
  <c r="X59" i="55"/>
  <c r="X61" i="55"/>
  <c r="X63" i="55"/>
  <c r="X69" i="55"/>
  <c r="R42" i="55"/>
  <c r="R43" i="55"/>
  <c r="R48" i="55"/>
  <c r="R59" i="55"/>
  <c r="R61" i="55"/>
  <c r="R63" i="55"/>
  <c r="R65" i="55"/>
  <c r="U42" i="55"/>
  <c r="U43" i="55"/>
  <c r="O42" i="55"/>
  <c r="O43" i="55"/>
  <c r="Y33" i="55"/>
  <c r="Y35" i="55"/>
  <c r="Y37" i="55"/>
  <c r="Y38" i="55"/>
  <c r="Y40" i="55"/>
  <c r="N33" i="55"/>
  <c r="N35" i="55"/>
  <c r="N37" i="55"/>
  <c r="N38" i="55"/>
  <c r="N40" i="55"/>
  <c r="S42" i="55"/>
  <c r="S43" i="55"/>
  <c r="X67" i="55"/>
  <c r="T65" i="55"/>
  <c r="R69" i="55"/>
  <c r="X65" i="55"/>
  <c r="S48" i="55"/>
  <c r="S59" i="55"/>
  <c r="S61" i="55"/>
  <c r="S63" i="55"/>
  <c r="S67" i="55"/>
  <c r="N42" i="55"/>
  <c r="N43" i="55"/>
  <c r="O48" i="55"/>
  <c r="O59" i="55"/>
  <c r="O61" i="55"/>
  <c r="O63" i="55"/>
  <c r="O69" i="55"/>
  <c r="R67" i="55"/>
  <c r="L80" i="55"/>
  <c r="L79" i="55"/>
  <c r="Y42" i="55"/>
  <c r="Y43" i="55"/>
  <c r="T67" i="55"/>
  <c r="U48" i="55"/>
  <c r="U59" i="55"/>
  <c r="U61" i="55"/>
  <c r="U63" i="55"/>
  <c r="U65" i="55"/>
  <c r="O65" i="55"/>
  <c r="S69" i="55"/>
  <c r="Q69" i="55"/>
  <c r="N48" i="55"/>
  <c r="N59" i="55"/>
  <c r="N61" i="55"/>
  <c r="N63" i="55"/>
  <c r="N69" i="55"/>
  <c r="Y48" i="55"/>
  <c r="Y59" i="55"/>
  <c r="Y61" i="55"/>
  <c r="Y63" i="55"/>
  <c r="Y65" i="55"/>
  <c r="S65" i="55"/>
  <c r="Q65" i="55"/>
  <c r="O67" i="55"/>
  <c r="Q67" i="55"/>
  <c r="L81" i="55"/>
  <c r="U69" i="55"/>
  <c r="U67" i="55"/>
  <c r="N65" i="55"/>
  <c r="L69" i="55"/>
  <c r="Y69" i="55"/>
  <c r="M65" i="55"/>
  <c r="N67" i="55"/>
  <c r="Y67" i="55"/>
  <c r="M69" i="55"/>
  <c r="L67" i="55"/>
  <c r="M67" i="55"/>
  <c r="L65" i="55"/>
  <c r="W69" i="55"/>
  <c r="W65" i="55"/>
  <c r="K65" i="55"/>
  <c r="W67" i="55"/>
  <c r="K69" i="55"/>
  <c r="AF348" i="2"/>
  <c r="AF347" i="2"/>
  <c r="AF346" i="2"/>
  <c r="D348" i="2"/>
  <c r="D347" i="2"/>
  <c r="D346" i="2"/>
  <c r="AF174" i="2"/>
  <c r="D174" i="2"/>
  <c r="AF212" i="2"/>
  <c r="AF211" i="2"/>
  <c r="AF210" i="2"/>
  <c r="AF209" i="2"/>
  <c r="AF208" i="2"/>
  <c r="AF207" i="2"/>
  <c r="AF206" i="2"/>
  <c r="AF205" i="2"/>
  <c r="D212" i="2"/>
  <c r="D211" i="2"/>
  <c r="D210" i="2"/>
  <c r="D209" i="2"/>
  <c r="D208" i="2"/>
  <c r="D207" i="2"/>
  <c r="D206" i="2"/>
  <c r="D205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258" i="2"/>
  <c r="D259" i="2"/>
  <c r="D260" i="2"/>
  <c r="D261" i="2"/>
  <c r="D262" i="2"/>
  <c r="D263" i="2"/>
  <c r="D264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288" i="2"/>
  <c r="D289" i="2"/>
  <c r="D290" i="2"/>
  <c r="D291" i="2"/>
  <c r="D292" i="2"/>
  <c r="D293" i="2"/>
  <c r="D74" i="2"/>
  <c r="D75" i="2"/>
  <c r="D76" i="2"/>
  <c r="D77" i="2"/>
  <c r="D78" i="2"/>
  <c r="D79" i="2"/>
  <c r="D80" i="2"/>
  <c r="D81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265" i="2"/>
  <c r="D266" i="2"/>
  <c r="D267" i="2"/>
  <c r="D268" i="2"/>
  <c r="D269" i="2"/>
  <c r="D270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70" i="2"/>
  <c r="D71" i="2"/>
  <c r="D72" i="2"/>
  <c r="D73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5" i="2"/>
  <c r="D176" i="2"/>
  <c r="D177" i="2"/>
  <c r="D178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248" i="2"/>
  <c r="D249" i="2"/>
  <c r="D250" i="2"/>
  <c r="D251" i="2"/>
  <c r="D252" i="2"/>
  <c r="D253" i="2"/>
  <c r="D254" i="2"/>
  <c r="D255" i="2"/>
  <c r="D256" i="2"/>
  <c r="D257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283" i="2"/>
  <c r="D284" i="2"/>
  <c r="D285" i="2"/>
  <c r="D286" i="2"/>
  <c r="D287" i="2"/>
  <c r="D238" i="2"/>
  <c r="D239" i="2"/>
  <c r="D240" i="2"/>
  <c r="D241" i="2"/>
  <c r="D242" i="2"/>
  <c r="D243" i="2"/>
  <c r="D244" i="2"/>
  <c r="D245" i="2"/>
  <c r="D246" i="2"/>
  <c r="D247" i="2"/>
  <c r="D448" i="2"/>
  <c r="D449" i="2"/>
  <c r="D450" i="2"/>
  <c r="D451" i="2"/>
  <c r="D452" i="2"/>
  <c r="D453" i="2"/>
  <c r="D454" i="2"/>
  <c r="D455" i="2"/>
  <c r="D456" i="2"/>
  <c r="D349" i="2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21" i="5"/>
  <c r="T36" i="35"/>
  <c r="U36" i="35"/>
  <c r="V36" i="35"/>
  <c r="M74" i="1"/>
  <c r="M73" i="1"/>
  <c r="Q76" i="1"/>
  <c r="M76" i="1"/>
  <c r="N76" i="1"/>
  <c r="AF396" i="2"/>
  <c r="AF395" i="2"/>
  <c r="AF394" i="2"/>
  <c r="AF393" i="2"/>
  <c r="AF392" i="2"/>
  <c r="AF391" i="2"/>
  <c r="AF390" i="2"/>
  <c r="AF389" i="2"/>
  <c r="AF388" i="2"/>
  <c r="AF387" i="2"/>
  <c r="AF386" i="2"/>
  <c r="AF385" i="2"/>
  <c r="AF237" i="2"/>
  <c r="AF236" i="2"/>
  <c r="AF235" i="2"/>
  <c r="AF234" i="2"/>
  <c r="AF233" i="2"/>
  <c r="AF232" i="2"/>
  <c r="AF231" i="2"/>
  <c r="AF230" i="2"/>
  <c r="AF229" i="2"/>
  <c r="AF228" i="2"/>
  <c r="AF227" i="2"/>
  <c r="AF226" i="2"/>
  <c r="AF225" i="2"/>
  <c r="AF224" i="2"/>
  <c r="AF223" i="2"/>
  <c r="AF222" i="2"/>
  <c r="AF221" i="2"/>
  <c r="AF220" i="2"/>
  <c r="AF219" i="2"/>
  <c r="AF218" i="2"/>
  <c r="AF217" i="2"/>
  <c r="AF216" i="2"/>
  <c r="AF215" i="2"/>
  <c r="AF214" i="2"/>
  <c r="AF213" i="2"/>
  <c r="AF282" i="2"/>
  <c r="AF281" i="2"/>
  <c r="AF280" i="2"/>
  <c r="AF279" i="2"/>
  <c r="AF278" i="2"/>
  <c r="AF277" i="2"/>
  <c r="AF276" i="2"/>
  <c r="AF275" i="2"/>
  <c r="AF274" i="2"/>
  <c r="AF273" i="2"/>
  <c r="AF272" i="2"/>
  <c r="AF271" i="2"/>
  <c r="AF99" i="2"/>
  <c r="AF98" i="2"/>
  <c r="AF97" i="2"/>
  <c r="AF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F83" i="2"/>
  <c r="AF82" i="2"/>
  <c r="AF178" i="2"/>
  <c r="AF177" i="2"/>
  <c r="AF176" i="2"/>
  <c r="AF175" i="2"/>
  <c r="AF173" i="2"/>
  <c r="AF172" i="2"/>
  <c r="AF171" i="2"/>
  <c r="AF170" i="2"/>
  <c r="AF169" i="2"/>
  <c r="AF168" i="2"/>
  <c r="AF167" i="2"/>
  <c r="AF166" i="2"/>
  <c r="AF165" i="2"/>
  <c r="AF164" i="2"/>
  <c r="AF163" i="2"/>
  <c r="AF162" i="2"/>
  <c r="AF161" i="2"/>
  <c r="AF160" i="2"/>
  <c r="AF159" i="2"/>
  <c r="AF158" i="2"/>
  <c r="AF157" i="2"/>
  <c r="AF156" i="2"/>
  <c r="AF155" i="2"/>
  <c r="AF154" i="2"/>
  <c r="AF153" i="2"/>
  <c r="AF152" i="2"/>
  <c r="AF73" i="2"/>
  <c r="AF72" i="2"/>
  <c r="AF71" i="2"/>
  <c r="AF70" i="2"/>
  <c r="AF29" i="2"/>
  <c r="AF28" i="2"/>
  <c r="AF27" i="2"/>
  <c r="AF26" i="2"/>
  <c r="AF25" i="2"/>
  <c r="AF24" i="2"/>
  <c r="AF23" i="2"/>
  <c r="AF22" i="2"/>
  <c r="AF21" i="2"/>
  <c r="AF20" i="2"/>
  <c r="AF19" i="2"/>
  <c r="AF18" i="2"/>
  <c r="AF17" i="2"/>
  <c r="AF16" i="2"/>
  <c r="AF15" i="2"/>
  <c r="AF14" i="2"/>
  <c r="AF13" i="2"/>
  <c r="AF12" i="2"/>
  <c r="AF11" i="2"/>
  <c r="AF204" i="2"/>
  <c r="AF203" i="2"/>
  <c r="AF202" i="2"/>
  <c r="AF201" i="2"/>
  <c r="AF200" i="2"/>
  <c r="AF199" i="2"/>
  <c r="AF198" i="2"/>
  <c r="AF197" i="2"/>
  <c r="AF196" i="2"/>
  <c r="AF195" i="2"/>
  <c r="AF194" i="2"/>
  <c r="AF193" i="2"/>
  <c r="AF192" i="2"/>
  <c r="AF191" i="2"/>
  <c r="AF190" i="2"/>
  <c r="AF189" i="2"/>
  <c r="AF188" i="2"/>
  <c r="AF187" i="2"/>
  <c r="AF186" i="2"/>
  <c r="AF185" i="2"/>
  <c r="AF184" i="2"/>
  <c r="AF183" i="2"/>
  <c r="AF182" i="2"/>
  <c r="AF181" i="2"/>
  <c r="AF180" i="2"/>
  <c r="AF179" i="2"/>
  <c r="AF257" i="2"/>
  <c r="AF256" i="2"/>
  <c r="AF255" i="2"/>
  <c r="AF254" i="2"/>
  <c r="AF253" i="2"/>
  <c r="AF252" i="2"/>
  <c r="AF251" i="2"/>
  <c r="AF250" i="2"/>
  <c r="AF249" i="2"/>
  <c r="AF248" i="2"/>
  <c r="AF247" i="2"/>
  <c r="AF246" i="2"/>
  <c r="AF245" i="2"/>
  <c r="AF244" i="2"/>
  <c r="AF243" i="2"/>
  <c r="AF242" i="2"/>
  <c r="AF241" i="2"/>
  <c r="AF240" i="2"/>
  <c r="AF239" i="2"/>
  <c r="AF238" i="2"/>
  <c r="AF287" i="2"/>
  <c r="AF286" i="2"/>
  <c r="AF285" i="2"/>
  <c r="AF284" i="2"/>
  <c r="AF283" i="2"/>
  <c r="AF151" i="2"/>
  <c r="AF150" i="2"/>
  <c r="AF149" i="2"/>
  <c r="AF148" i="2"/>
  <c r="AF147" i="2"/>
  <c r="AF146" i="2"/>
  <c r="AF145" i="2"/>
  <c r="AF144" i="2"/>
  <c r="AF143" i="2"/>
  <c r="AF142" i="2"/>
  <c r="AF141" i="2"/>
  <c r="AF140" i="2"/>
  <c r="AF139" i="2"/>
  <c r="AF138" i="2"/>
  <c r="AF137" i="2"/>
  <c r="AF136" i="2"/>
  <c r="AF135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38" i="2"/>
  <c r="AF37" i="2"/>
  <c r="AF36" i="2"/>
  <c r="AF35" i="2"/>
  <c r="AF34" i="2"/>
  <c r="AF33" i="2"/>
  <c r="AF32" i="2"/>
  <c r="AF31" i="2"/>
  <c r="AF30" i="2"/>
  <c r="AF456" i="2"/>
  <c r="AF455" i="2"/>
  <c r="AF454" i="2"/>
  <c r="AF453" i="2"/>
  <c r="AF452" i="2"/>
  <c r="AF451" i="2"/>
  <c r="AF450" i="2"/>
  <c r="AF449" i="2"/>
  <c r="AF448" i="2"/>
  <c r="N73" i="1"/>
  <c r="U9" i="51"/>
  <c r="G8" i="51"/>
  <c r="G7" i="51"/>
  <c r="G6" i="51"/>
  <c r="G5" i="51"/>
  <c r="G4" i="51"/>
  <c r="G3" i="51"/>
  <c r="K18" i="1"/>
  <c r="L18" i="1"/>
  <c r="K32" i="1"/>
  <c r="L32" i="1"/>
  <c r="K39" i="1"/>
  <c r="L39" i="1"/>
  <c r="K44" i="1"/>
  <c r="L44" i="1"/>
  <c r="K48" i="1"/>
  <c r="L48" i="1"/>
  <c r="K52" i="1"/>
  <c r="L52" i="1"/>
  <c r="K56" i="1"/>
  <c r="L56" i="1"/>
  <c r="L60" i="1"/>
  <c r="B53" i="1"/>
  <c r="G52" i="1"/>
  <c r="M96" i="1"/>
  <c r="N96" i="1"/>
  <c r="M107" i="1"/>
  <c r="N107" i="1"/>
  <c r="M78" i="1"/>
  <c r="M103" i="1"/>
  <c r="M86" i="1"/>
  <c r="M82" i="1"/>
  <c r="M100" i="1"/>
  <c r="N100" i="1"/>
  <c r="M80" i="1"/>
  <c r="M90" i="1"/>
  <c r="N90" i="1"/>
  <c r="M97" i="1"/>
  <c r="N97" i="1"/>
  <c r="M99" i="1"/>
  <c r="N99" i="1"/>
  <c r="M94" i="1"/>
  <c r="N94" i="1"/>
  <c r="M83" i="1"/>
  <c r="N83" i="1"/>
  <c r="M87" i="1"/>
  <c r="N87" i="1"/>
  <c r="M77" i="1"/>
  <c r="N77" i="1"/>
  <c r="M91" i="1"/>
  <c r="N91" i="1"/>
  <c r="M81" i="1"/>
  <c r="N81" i="1"/>
  <c r="M88" i="1"/>
  <c r="N88" i="1"/>
  <c r="E37" i="10"/>
  <c r="E42" i="10"/>
  <c r="E57" i="10"/>
  <c r="E64" i="10"/>
  <c r="E82" i="10"/>
  <c r="E77" i="10"/>
  <c r="E84" i="10"/>
  <c r="E85" i="10"/>
  <c r="G44" i="1"/>
  <c r="B44" i="1"/>
  <c r="G18" i="1"/>
  <c r="B18" i="1"/>
  <c r="Q87" i="1"/>
  <c r="Q80" i="1"/>
  <c r="G60" i="1"/>
  <c r="Q90" i="1"/>
  <c r="Q74" i="1"/>
  <c r="Q94" i="1"/>
  <c r="Q82" i="1"/>
  <c r="Q91" i="1"/>
  <c r="Q89" i="1"/>
  <c r="M89" i="1"/>
  <c r="N89" i="1"/>
  <c r="G56" i="1"/>
  <c r="Q77" i="1"/>
  <c r="Q78" i="1"/>
  <c r="Q79" i="1"/>
  <c r="Q81" i="1"/>
  <c r="Q83" i="1"/>
  <c r="Q84" i="1"/>
  <c r="Q85" i="1"/>
  <c r="Q86" i="1"/>
  <c r="Q88" i="1"/>
  <c r="Q92" i="1"/>
  <c r="Q93" i="1"/>
  <c r="Q95" i="1"/>
  <c r="Q97" i="1"/>
  <c r="Q98" i="1"/>
  <c r="Q99" i="1"/>
  <c r="Q100" i="1"/>
  <c r="Q101" i="1"/>
  <c r="Q102" i="1"/>
  <c r="Q103" i="1"/>
  <c r="Q104" i="1"/>
  <c r="Q105" i="1"/>
  <c r="Q106" i="1"/>
  <c r="Q107" i="1"/>
  <c r="Q73" i="1"/>
  <c r="AF104" i="2"/>
  <c r="AF108" i="2"/>
  <c r="AF380" i="2"/>
  <c r="AF381" i="2"/>
  <c r="AF372" i="2"/>
  <c r="AF371" i="2"/>
  <c r="AF373" i="2"/>
  <c r="AF374" i="2"/>
  <c r="AF377" i="2"/>
  <c r="AF378" i="2"/>
  <c r="AF350" i="2"/>
  <c r="AF336" i="2"/>
  <c r="AF366" i="2"/>
  <c r="B32" i="1"/>
  <c r="B48" i="1"/>
  <c r="B39" i="1"/>
  <c r="B58" i="1"/>
  <c r="G32" i="1"/>
  <c r="G39" i="1"/>
  <c r="G48" i="1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360" i="2"/>
  <c r="AF361" i="2"/>
  <c r="AF362" i="2"/>
  <c r="AF363" i="2"/>
  <c r="AF364" i="2"/>
  <c r="AF365" i="2"/>
  <c r="AF367" i="2"/>
  <c r="AF368" i="2"/>
  <c r="AF369" i="2"/>
  <c r="AF370" i="2"/>
  <c r="AF375" i="2"/>
  <c r="AF376" i="2"/>
  <c r="AF379" i="2"/>
  <c r="AF382" i="2"/>
  <c r="AF383" i="2"/>
  <c r="AF384" i="2"/>
  <c r="AF258" i="2"/>
  <c r="AF259" i="2"/>
  <c r="AF260" i="2"/>
  <c r="AF261" i="2"/>
  <c r="AF262" i="2"/>
  <c r="AF263" i="2"/>
  <c r="AF264" i="2"/>
  <c r="AF100" i="2"/>
  <c r="AF101" i="2"/>
  <c r="AF102" i="2"/>
  <c r="AF103" i="2"/>
  <c r="AF105" i="2"/>
  <c r="AF106" i="2"/>
  <c r="AF107" i="2"/>
  <c r="AF109" i="2"/>
  <c r="AF110" i="2"/>
  <c r="AF111" i="2"/>
  <c r="AF112" i="2"/>
  <c r="AF113" i="2"/>
  <c r="AF328" i="2"/>
  <c r="AF329" i="2"/>
  <c r="AF330" i="2"/>
  <c r="AF331" i="2"/>
  <c r="AF332" i="2"/>
  <c r="AF333" i="2"/>
  <c r="AF334" i="2"/>
  <c r="AF335" i="2"/>
  <c r="AF337" i="2"/>
  <c r="AF338" i="2"/>
  <c r="AF339" i="2"/>
  <c r="AF340" i="2"/>
  <c r="AF341" i="2"/>
  <c r="AF342" i="2"/>
  <c r="AF354" i="2"/>
  <c r="C5" i="35"/>
  <c r="C6" i="35"/>
  <c r="M79" i="1"/>
  <c r="N79" i="1"/>
  <c r="M95" i="1"/>
  <c r="M98" i="1"/>
  <c r="N98" i="1"/>
  <c r="M92" i="1"/>
  <c r="N92" i="1"/>
  <c r="M85" i="1"/>
  <c r="N85" i="1"/>
  <c r="M84" i="1"/>
  <c r="N84" i="1"/>
  <c r="M93" i="1"/>
  <c r="N93" i="1"/>
  <c r="M106" i="1"/>
  <c r="N106" i="1"/>
  <c r="M105" i="1"/>
  <c r="N105" i="1"/>
  <c r="M102" i="1"/>
  <c r="N102" i="1"/>
  <c r="M101" i="1"/>
  <c r="N101" i="1"/>
  <c r="M104" i="1"/>
  <c r="N104" i="1"/>
  <c r="C4" i="35"/>
  <c r="AF443" i="2"/>
  <c r="AF78" i="2"/>
  <c r="AF79" i="2"/>
  <c r="AF63" i="2"/>
  <c r="AF67" i="2"/>
  <c r="AF297" i="2"/>
  <c r="AF300" i="2"/>
  <c r="AF400" i="2"/>
  <c r="AF401" i="2"/>
  <c r="AF417" i="2"/>
  <c r="AF418" i="2"/>
  <c r="AF420" i="2"/>
  <c r="C8" i="35"/>
  <c r="C3" i="35"/>
  <c r="C7" i="35"/>
  <c r="D7" i="35"/>
  <c r="AF345" i="2"/>
  <c r="AF435" i="2"/>
  <c r="AF353" i="2"/>
  <c r="AF349" i="2"/>
  <c r="E59" i="10"/>
  <c r="E62" i="10"/>
  <c r="L65" i="1"/>
  <c r="C3" i="28"/>
  <c r="D94" i="31"/>
  <c r="C94" i="31"/>
  <c r="D28" i="31"/>
  <c r="C28" i="31"/>
  <c r="C9" i="5"/>
  <c r="C8" i="5"/>
  <c r="C7" i="5"/>
  <c r="C6" i="5"/>
  <c r="C5" i="5"/>
  <c r="C4" i="5"/>
  <c r="C8" i="10"/>
  <c r="C7" i="10"/>
  <c r="C6" i="10"/>
  <c r="C5" i="10"/>
  <c r="C4" i="10"/>
  <c r="C3" i="10"/>
  <c r="F8" i="1"/>
  <c r="F7" i="1"/>
  <c r="F6" i="1"/>
  <c r="F5" i="1"/>
  <c r="F4" i="1"/>
  <c r="F3" i="1"/>
  <c r="C8" i="28"/>
  <c r="C4" i="28"/>
  <c r="C7" i="28"/>
  <c r="C6" i="28"/>
  <c r="C5" i="28"/>
  <c r="D8" i="31"/>
  <c r="D7" i="31"/>
  <c r="D6" i="31"/>
  <c r="D5" i="31"/>
  <c r="D3" i="31"/>
  <c r="C270" i="28"/>
  <c r="D270" i="28"/>
  <c r="H10" i="44"/>
  <c r="H9" i="44"/>
  <c r="H8" i="44"/>
  <c r="D105" i="31"/>
  <c r="A130" i="28"/>
  <c r="D267" i="28"/>
  <c r="E267" i="28"/>
  <c r="F267" i="28"/>
  <c r="G267" i="28"/>
  <c r="AF74" i="2"/>
  <c r="AF415" i="2"/>
  <c r="AF436" i="2"/>
  <c r="AF414" i="2"/>
  <c r="AF446" i="2"/>
  <c r="AF407" i="2"/>
  <c r="AF437" i="2"/>
  <c r="AF434" i="2"/>
  <c r="AF439" i="2"/>
  <c r="AF268" i="2"/>
  <c r="AF66" i="2"/>
  <c r="AF64" i="2"/>
  <c r="AF322" i="2"/>
  <c r="AF399" i="2"/>
  <c r="AF444" i="2"/>
  <c r="AF352" i="2"/>
  <c r="AF355" i="2"/>
  <c r="AF429" i="2"/>
  <c r="AF293" i="2"/>
  <c r="AF265" i="2"/>
  <c r="AF77" i="2"/>
  <c r="AF43" i="2"/>
  <c r="AF304" i="2"/>
  <c r="AF41" i="2"/>
  <c r="AF432" i="2"/>
  <c r="AF442" i="2"/>
  <c r="AF403" i="2"/>
  <c r="AF288" i="2"/>
  <c r="AF326" i="2"/>
  <c r="AF325" i="2"/>
  <c r="AF75" i="2"/>
  <c r="AF356" i="2"/>
  <c r="AF430" i="2"/>
  <c r="AF267" i="2"/>
  <c r="AF80" i="2"/>
  <c r="AF40" i="2"/>
  <c r="AF320" i="2"/>
  <c r="AF302" i="2"/>
  <c r="AF295" i="2"/>
  <c r="AF269" i="2"/>
  <c r="AF270" i="2"/>
  <c r="AF440" i="2"/>
  <c r="AF428" i="2"/>
  <c r="AF425" i="2"/>
  <c r="AF68" i="2"/>
  <c r="AF296" i="2"/>
  <c r="AF424" i="2"/>
  <c r="AF323" i="2"/>
  <c r="AF39" i="2"/>
  <c r="AF76" i="2"/>
  <c r="AF69" i="2"/>
  <c r="AF357" i="2"/>
  <c r="AF344" i="2"/>
  <c r="AF433" i="2"/>
  <c r="AF445" i="2"/>
  <c r="AF324" i="2"/>
  <c r="AF62" i="2"/>
  <c r="AF408" i="2"/>
  <c r="AF81" i="2"/>
  <c r="AF303" i="2"/>
  <c r="AF441" i="2"/>
  <c r="AF427" i="2"/>
  <c r="AF410" i="2"/>
  <c r="AF421" i="2"/>
  <c r="AF289" i="2"/>
  <c r="AF298" i="2"/>
  <c r="AF321" i="2"/>
  <c r="AF359" i="2"/>
  <c r="AF299" i="2"/>
  <c r="AF301" i="2"/>
  <c r="AF294" i="2"/>
  <c r="AF343" i="2"/>
  <c r="AF42" i="2"/>
  <c r="AF404" i="2"/>
  <c r="AF402" i="2"/>
  <c r="AF398" i="2"/>
  <c r="AF327" i="2"/>
  <c r="AF409" i="2"/>
  <c r="AF61" i="2"/>
  <c r="AF291" i="2"/>
  <c r="AF292" i="2"/>
  <c r="AF411" i="2"/>
  <c r="AF266" i="2"/>
  <c r="AF65" i="2"/>
  <c r="AF422" i="2"/>
  <c r="AF290" i="2"/>
  <c r="AF397" i="2"/>
  <c r="AF405" i="2"/>
  <c r="AF416" i="2"/>
  <c r="AF413" i="2"/>
  <c r="AF438" i="2"/>
  <c r="AF358" i="2"/>
  <c r="AF351" i="2"/>
  <c r="AF423" i="2"/>
  <c r="AF431" i="2"/>
  <c r="AF412" i="2"/>
  <c r="AF426" i="2"/>
  <c r="AF406" i="2"/>
  <c r="AF447" i="2"/>
  <c r="AF419" i="2"/>
  <c r="I67" i="31"/>
  <c r="I69" i="31"/>
  <c r="I68" i="31"/>
  <c r="N82" i="1"/>
  <c r="N86" i="1"/>
  <c r="N103" i="1"/>
  <c r="N78" i="1"/>
  <c r="N95" i="1"/>
  <c r="N80" i="1"/>
  <c r="N74" i="1"/>
  <c r="E65" i="10"/>
  <c r="E67" i="10"/>
  <c r="E69" i="10"/>
  <c r="E87" i="10"/>
  <c r="E89" i="10"/>
  <c r="E45" i="10"/>
  <c r="M28" i="31"/>
  <c r="E44" i="10"/>
  <c r="E270" i="28"/>
  <c r="F270" i="28"/>
  <c r="G270" i="28"/>
  <c r="I111" i="31"/>
  <c r="E113" i="31"/>
  <c r="E47" i="10"/>
  <c r="E49" i="10"/>
  <c r="G226" i="10"/>
  <c r="O65" i="1"/>
  <c r="E81" i="31"/>
  <c r="E98" i="31"/>
  <c r="G104" i="31"/>
  <c r="E104" i="31"/>
  <c r="C271" i="28"/>
  <c r="E84" i="31"/>
  <c r="O56" i="1"/>
  <c r="O32" i="1"/>
  <c r="O52" i="1"/>
  <c r="O18" i="1"/>
  <c r="O48" i="1"/>
  <c r="O39" i="1"/>
  <c r="O60" i="1"/>
  <c r="O44" i="1"/>
  <c r="G105" i="31"/>
  <c r="E87" i="31"/>
  <c r="E101" i="31"/>
  <c r="E105" i="31"/>
  <c r="E90" i="31"/>
  <c r="P68" i="1"/>
  <c r="I117" i="31"/>
  <c r="I118" i="31"/>
  <c r="I119" i="31"/>
  <c r="V20" i="35"/>
  <c r="T20" i="35"/>
  <c r="U20" i="35"/>
  <c r="U23" i="35"/>
  <c r="V23" i="35"/>
  <c r="U21" i="35"/>
  <c r="V21" i="35"/>
  <c r="T21" i="35"/>
  <c r="W9" i="51"/>
  <c r="X9" i="51"/>
  <c r="T23" i="35"/>
  <c r="T22" i="35"/>
  <c r="V22" i="35"/>
  <c r="U22" i="35"/>
  <c r="T26" i="35"/>
  <c r="U26" i="35"/>
  <c r="V26" i="35"/>
  <c r="T24" i="35"/>
  <c r="V24" i="35"/>
  <c r="U24" i="35"/>
  <c r="T25" i="35"/>
  <c r="V25" i="35"/>
  <c r="U25" i="35"/>
  <c r="V27" i="35"/>
  <c r="U27" i="35"/>
  <c r="T27" i="35"/>
  <c r="T28" i="35"/>
  <c r="U28" i="35"/>
  <c r="V28" i="35"/>
  <c r="U29" i="35"/>
  <c r="V29" i="35"/>
  <c r="T29" i="35"/>
  <c r="T30" i="35"/>
  <c r="V30" i="35"/>
  <c r="U30" i="35"/>
  <c r="T31" i="35"/>
  <c r="U31" i="35"/>
  <c r="V31" i="35"/>
  <c r="U32" i="35"/>
  <c r="V32" i="35"/>
  <c r="T32" i="35"/>
  <c r="T33" i="35"/>
  <c r="U33" i="35"/>
  <c r="V33" i="35"/>
  <c r="V34" i="35"/>
  <c r="U34" i="35"/>
  <c r="T34" i="35"/>
  <c r="U40" i="35"/>
  <c r="V40" i="35"/>
  <c r="T35" i="35"/>
  <c r="U35" i="35"/>
  <c r="V35" i="35"/>
  <c r="T40" i="35"/>
  <c r="T37" i="35"/>
  <c r="U37" i="35"/>
  <c r="V37" i="35"/>
  <c r="U38" i="35"/>
  <c r="T38" i="35"/>
  <c r="V38" i="35"/>
  <c r="T39" i="35"/>
  <c r="U39" i="35"/>
  <c r="V39" i="35"/>
  <c r="U42" i="35"/>
  <c r="V42" i="35"/>
  <c r="T42" i="35"/>
  <c r="T41" i="35"/>
  <c r="U41" i="35"/>
  <c r="V41" i="35"/>
  <c r="V43" i="35"/>
  <c r="T43" i="35"/>
  <c r="U43" i="35"/>
  <c r="T44" i="35"/>
  <c r="U44" i="35"/>
  <c r="V44" i="35"/>
  <c r="K117" i="31"/>
  <c r="C98" i="10"/>
  <c r="E98" i="10"/>
  <c r="E132" i="28"/>
  <c r="F132" i="28"/>
  <c r="G132" i="28"/>
  <c r="H132" i="28"/>
  <c r="I132" i="28"/>
  <c r="J132" i="28"/>
  <c r="N132" i="28"/>
  <c r="I251" i="28"/>
  <c r="I252" i="28"/>
  <c r="I253" i="28"/>
  <c r="I254" i="28"/>
  <c r="I257" i="28"/>
  <c r="M251" i="28"/>
  <c r="M252" i="28"/>
  <c r="M253" i="28"/>
  <c r="M254" i="28"/>
  <c r="M257" i="28"/>
  <c r="N251" i="28"/>
  <c r="N252" i="28"/>
  <c r="N253" i="28"/>
  <c r="N254" i="28"/>
  <c r="N257" i="28"/>
  <c r="K251" i="28"/>
  <c r="K252" i="28"/>
  <c r="K253" i="28"/>
  <c r="K254" i="28"/>
  <c r="K257" i="28"/>
  <c r="I71" i="31"/>
  <c r="I72" i="31"/>
  <c r="I73" i="31"/>
  <c r="C97" i="10"/>
  <c r="E97" i="10"/>
  <c r="C124" i="10"/>
  <c r="E124" i="10"/>
  <c r="C125" i="10"/>
  <c r="E125" i="10"/>
  <c r="C126" i="10"/>
  <c r="E126" i="10"/>
  <c r="C127" i="10"/>
  <c r="E127" i="10"/>
  <c r="C128" i="10"/>
  <c r="E128" i="10"/>
  <c r="C129" i="10"/>
  <c r="E129" i="10"/>
  <c r="C130" i="10"/>
  <c r="E130" i="10"/>
  <c r="C131" i="10"/>
  <c r="E131" i="10"/>
  <c r="C132" i="10"/>
  <c r="E132" i="10"/>
  <c r="C133" i="10"/>
  <c r="E133" i="10"/>
  <c r="C134" i="10"/>
  <c r="E134" i="10"/>
  <c r="C135" i="10"/>
  <c r="E135" i="10"/>
  <c r="C136" i="10"/>
  <c r="E136" i="10"/>
  <c r="C137" i="10"/>
  <c r="E137" i="10"/>
  <c r="C138" i="10"/>
  <c r="E138" i="10"/>
  <c r="C139" i="10"/>
  <c r="E139" i="10"/>
  <c r="C140" i="10"/>
  <c r="E140" i="10"/>
  <c r="C141" i="10"/>
  <c r="E141" i="10"/>
  <c r="C142" i="10"/>
  <c r="E142" i="10"/>
  <c r="C143" i="10"/>
  <c r="E143" i="10"/>
  <c r="C144" i="10"/>
  <c r="E144" i="10"/>
  <c r="C145" i="10"/>
  <c r="E145" i="10"/>
  <c r="C146" i="10"/>
  <c r="E146" i="10"/>
  <c r="C147" i="10"/>
  <c r="E147" i="10"/>
  <c r="C148" i="10"/>
  <c r="E148" i="10"/>
  <c r="C149" i="10"/>
  <c r="E149" i="10"/>
  <c r="C150" i="10"/>
  <c r="E150" i="10"/>
  <c r="C151" i="10"/>
  <c r="E151" i="10"/>
  <c r="C153" i="10"/>
  <c r="E153" i="10"/>
  <c r="C154" i="10"/>
  <c r="E154" i="10"/>
  <c r="C155" i="10"/>
  <c r="E155" i="10"/>
  <c r="C156" i="10"/>
  <c r="E156" i="10"/>
  <c r="C157" i="10"/>
  <c r="E157" i="10"/>
  <c r="C158" i="10"/>
  <c r="E158" i="10"/>
  <c r="C159" i="10"/>
  <c r="E159" i="10"/>
  <c r="C160" i="10"/>
  <c r="E160" i="10"/>
  <c r="C161" i="10"/>
  <c r="E161" i="10"/>
  <c r="C162" i="10"/>
  <c r="E162" i="10"/>
  <c r="C163" i="10"/>
  <c r="E163" i="10"/>
  <c r="C164" i="10"/>
  <c r="E164" i="10"/>
  <c r="C165" i="10"/>
  <c r="E165" i="10"/>
  <c r="C166" i="10"/>
  <c r="E166" i="10"/>
  <c r="C167" i="10"/>
  <c r="E167" i="10"/>
  <c r="C168" i="10"/>
  <c r="E168" i="10"/>
  <c r="C169" i="10"/>
  <c r="E169" i="10"/>
  <c r="C170" i="10"/>
  <c r="E170" i="10"/>
  <c r="C171" i="10"/>
  <c r="E171" i="10"/>
  <c r="C172" i="10"/>
  <c r="E172" i="10"/>
  <c r="C173" i="10"/>
  <c r="E173" i="10"/>
  <c r="C174" i="10"/>
  <c r="E174" i="10"/>
  <c r="C175" i="10"/>
  <c r="E175" i="10"/>
  <c r="C176" i="10"/>
  <c r="E176" i="10"/>
  <c r="C177" i="10"/>
  <c r="E177" i="10"/>
  <c r="C178" i="10"/>
  <c r="E178" i="10"/>
  <c r="C179" i="10"/>
  <c r="E179" i="10"/>
  <c r="C180" i="10"/>
  <c r="E180" i="10"/>
  <c r="C181" i="10"/>
  <c r="E181" i="10"/>
  <c r="C182" i="10"/>
  <c r="E182" i="10"/>
  <c r="C183" i="10"/>
  <c r="E183" i="10"/>
  <c r="C184" i="10"/>
  <c r="E184" i="10"/>
  <c r="C185" i="10"/>
  <c r="E185" i="10"/>
  <c r="C186" i="10"/>
  <c r="E186" i="10"/>
  <c r="C187" i="10"/>
  <c r="E187" i="10"/>
  <c r="C188" i="10"/>
  <c r="E188" i="10"/>
  <c r="C189" i="10"/>
  <c r="E189" i="10"/>
  <c r="C190" i="10"/>
  <c r="E190" i="10"/>
  <c r="C191" i="10"/>
  <c r="E191" i="10"/>
  <c r="C192" i="10"/>
  <c r="E192" i="10"/>
  <c r="C193" i="10"/>
  <c r="E193" i="10"/>
  <c r="C194" i="10"/>
  <c r="E194" i="10"/>
  <c r="C195" i="10"/>
  <c r="E195" i="10"/>
  <c r="C196" i="10"/>
  <c r="E196" i="10"/>
  <c r="C197" i="10"/>
  <c r="E197" i="10"/>
  <c r="C198" i="10"/>
  <c r="E198" i="10"/>
  <c r="C199" i="10"/>
  <c r="E199" i="10"/>
  <c r="C200" i="10"/>
  <c r="E200" i="10"/>
  <c r="C201" i="10"/>
  <c r="E201" i="10"/>
  <c r="C202" i="10"/>
  <c r="E202" i="10"/>
  <c r="C203" i="10"/>
  <c r="E203" i="10"/>
  <c r="C204" i="10"/>
  <c r="E204" i="10"/>
  <c r="C205" i="10"/>
  <c r="E205" i="10"/>
  <c r="C206" i="10"/>
  <c r="E206" i="10"/>
  <c r="C207" i="10"/>
  <c r="E207" i="10"/>
  <c r="C208" i="10"/>
  <c r="E208" i="10"/>
  <c r="C209" i="10"/>
  <c r="E209" i="10"/>
  <c r="C210" i="10"/>
  <c r="E210" i="10"/>
  <c r="E226" i="10"/>
  <c r="E15" i="31"/>
  <c r="E18" i="31"/>
  <c r="E21" i="31"/>
  <c r="E24" i="31"/>
  <c r="E27" i="31"/>
  <c r="E28" i="31"/>
  <c r="E33" i="31"/>
  <c r="E36" i="31"/>
  <c r="E39" i="31"/>
  <c r="E40" i="31"/>
  <c r="G93" i="31"/>
  <c r="E93" i="31"/>
  <c r="E94" i="31"/>
  <c r="C229" i="10"/>
  <c r="E47" i="31"/>
  <c r="E50" i="31"/>
  <c r="E52" i="31"/>
  <c r="D254" i="28"/>
  <c r="D253" i="28"/>
  <c r="D252" i="28"/>
  <c r="D251" i="28"/>
  <c r="AD456" i="2"/>
  <c r="AD455" i="2"/>
  <c r="AD454" i="2"/>
  <c r="AD453" i="2"/>
  <c r="AD452" i="2"/>
  <c r="AD451" i="2"/>
  <c r="AD450" i="2"/>
  <c r="AD449" i="2"/>
  <c r="AD448" i="2"/>
  <c r="AD447" i="2"/>
  <c r="AD446" i="2"/>
  <c r="AD445" i="2"/>
  <c r="AD444" i="2"/>
  <c r="AD443" i="2"/>
  <c r="AD442" i="2"/>
  <c r="AD441" i="2"/>
  <c r="AD440" i="2"/>
  <c r="AD439" i="2"/>
  <c r="AD438" i="2"/>
  <c r="AD437" i="2"/>
  <c r="AD436" i="2"/>
  <c r="AD434" i="2"/>
  <c r="AD433" i="2"/>
  <c r="AD432" i="2"/>
  <c r="AD431" i="2"/>
  <c r="AD430" i="2"/>
  <c r="AD429" i="2"/>
  <c r="AD428" i="2"/>
  <c r="AD427" i="2"/>
  <c r="AD426" i="2"/>
  <c r="AD425" i="2"/>
  <c r="AD424" i="2"/>
  <c r="AD423" i="2"/>
  <c r="AD422" i="2"/>
  <c r="AD421" i="2"/>
  <c r="AD420" i="2"/>
  <c r="AD419" i="2"/>
  <c r="AD418" i="2"/>
  <c r="AD417" i="2"/>
  <c r="AD416" i="2"/>
  <c r="AD415" i="2"/>
  <c r="AD414" i="2"/>
  <c r="AD413" i="2"/>
  <c r="AD412" i="2"/>
  <c r="AD411" i="2"/>
  <c r="AD410" i="2"/>
  <c r="AD409" i="2"/>
  <c r="AD408" i="2"/>
  <c r="AD407" i="2"/>
  <c r="AD406" i="2"/>
  <c r="AD405" i="2"/>
  <c r="AD404" i="2"/>
  <c r="AD403" i="2"/>
  <c r="AD402" i="2"/>
  <c r="AD401" i="2"/>
  <c r="AD400" i="2"/>
  <c r="AD399" i="2"/>
  <c r="AD398" i="2"/>
  <c r="AD397" i="2"/>
  <c r="AD396" i="2"/>
  <c r="AD395" i="2"/>
  <c r="AD394" i="2"/>
  <c r="AD393" i="2"/>
  <c r="AD392" i="2"/>
  <c r="AD391" i="2"/>
  <c r="AD390" i="2"/>
  <c r="AD389" i="2"/>
  <c r="AD388" i="2"/>
  <c r="AD387" i="2"/>
  <c r="AD386" i="2"/>
  <c r="AD385" i="2"/>
  <c r="AD384" i="2"/>
  <c r="AD383" i="2"/>
  <c r="AD382" i="2"/>
  <c r="AD381" i="2"/>
  <c r="AD380" i="2"/>
  <c r="AD379" i="2"/>
  <c r="AD378" i="2"/>
  <c r="AD377" i="2"/>
  <c r="AD376" i="2"/>
  <c r="AD375" i="2"/>
  <c r="AD374" i="2"/>
  <c r="AD373" i="2"/>
  <c r="AD372" i="2"/>
  <c r="AD371" i="2"/>
  <c r="AD370" i="2"/>
  <c r="AD369" i="2"/>
  <c r="AD368" i="2"/>
  <c r="AD367" i="2"/>
  <c r="AD366" i="2"/>
  <c r="AD365" i="2"/>
  <c r="AD364" i="2"/>
  <c r="AD363" i="2"/>
  <c r="AD362" i="2"/>
  <c r="AD361" i="2"/>
  <c r="AD360" i="2"/>
  <c r="AD359" i="2"/>
  <c r="AD358" i="2"/>
  <c r="AD357" i="2"/>
  <c r="AD356" i="2"/>
  <c r="AD355" i="2"/>
  <c r="AD354" i="2"/>
  <c r="AD353" i="2"/>
  <c r="AD352" i="2"/>
  <c r="AD351" i="2"/>
  <c r="AD350" i="2"/>
  <c r="AD349" i="2"/>
  <c r="AD348" i="2"/>
  <c r="AD347" i="2"/>
  <c r="AD346" i="2"/>
  <c r="AD345" i="2"/>
  <c r="AD344" i="2"/>
  <c r="AD343" i="2"/>
  <c r="AD342" i="2"/>
  <c r="AD341" i="2"/>
  <c r="AD340" i="2"/>
  <c r="AD339" i="2"/>
  <c r="AD338" i="2"/>
  <c r="AD337" i="2"/>
  <c r="AD336" i="2"/>
  <c r="AD335" i="2"/>
  <c r="AD334" i="2"/>
  <c r="AD333" i="2"/>
  <c r="AD332" i="2"/>
  <c r="AD331" i="2"/>
  <c r="AD330" i="2"/>
  <c r="AD329" i="2"/>
  <c r="AD328" i="2"/>
  <c r="AD327" i="2"/>
  <c r="AD326" i="2"/>
  <c r="AD325" i="2"/>
  <c r="AD324" i="2"/>
  <c r="AD323" i="2"/>
  <c r="AD322" i="2"/>
  <c r="AD321" i="2"/>
  <c r="AD320" i="2"/>
  <c r="AD319" i="2"/>
  <c r="AD318" i="2"/>
  <c r="AD317" i="2"/>
  <c r="AD316" i="2"/>
  <c r="AD315" i="2"/>
  <c r="AD314" i="2"/>
  <c r="AD313" i="2"/>
  <c r="AD312" i="2"/>
  <c r="AD311" i="2"/>
  <c r="AD310" i="2"/>
  <c r="AD309" i="2"/>
  <c r="AD308" i="2"/>
  <c r="AD307" i="2"/>
  <c r="AD306" i="2"/>
  <c r="AD305" i="2"/>
  <c r="AD304" i="2"/>
  <c r="AD303" i="2"/>
  <c r="AD302" i="2"/>
  <c r="AD301" i="2"/>
  <c r="AD300" i="2"/>
  <c r="AD299" i="2"/>
  <c r="AD298" i="2"/>
  <c r="AD297" i="2"/>
  <c r="AD296" i="2"/>
  <c r="AD295" i="2"/>
  <c r="AD294" i="2"/>
  <c r="AD293" i="2"/>
  <c r="AD292" i="2"/>
  <c r="AD291" i="2"/>
  <c r="AD290" i="2"/>
  <c r="AD289" i="2"/>
  <c r="AD288" i="2"/>
  <c r="AD287" i="2"/>
  <c r="AD286" i="2"/>
  <c r="AD285" i="2"/>
  <c r="AD284" i="2"/>
  <c r="AD283" i="2"/>
  <c r="AD282" i="2"/>
  <c r="AD281" i="2"/>
  <c r="AD280" i="2"/>
  <c r="AD279" i="2"/>
  <c r="AD278" i="2"/>
  <c r="AD277" i="2"/>
  <c r="AD276" i="2"/>
  <c r="AD275" i="2"/>
  <c r="AD274" i="2"/>
  <c r="AD273" i="2"/>
  <c r="AD272" i="2"/>
  <c r="AD271" i="2"/>
  <c r="AD270" i="2"/>
  <c r="AD269" i="2"/>
  <c r="AD268" i="2"/>
  <c r="AD267" i="2"/>
  <c r="AD266" i="2"/>
  <c r="AD265" i="2"/>
  <c r="AD264" i="2"/>
  <c r="AD263" i="2"/>
  <c r="AD262" i="2"/>
  <c r="AD261" i="2"/>
  <c r="AD260" i="2"/>
  <c r="AD259" i="2"/>
  <c r="AD258" i="2"/>
  <c r="AD257" i="2"/>
  <c r="AD256" i="2"/>
  <c r="AD255" i="2"/>
  <c r="AD254" i="2"/>
  <c r="AD253" i="2"/>
  <c r="AD252" i="2"/>
  <c r="AD251" i="2"/>
  <c r="AD250" i="2"/>
  <c r="AD249" i="2"/>
  <c r="AD248" i="2"/>
  <c r="AD247" i="2"/>
  <c r="AD246" i="2"/>
  <c r="AD245" i="2"/>
  <c r="AD244" i="2"/>
  <c r="AD243" i="2"/>
  <c r="AD242" i="2"/>
  <c r="AD241" i="2"/>
  <c r="AD240" i="2"/>
  <c r="AD239" i="2"/>
  <c r="AD238" i="2"/>
  <c r="AD237" i="2"/>
  <c r="AD236" i="2"/>
  <c r="AD235" i="2"/>
  <c r="AD234" i="2"/>
  <c r="AD233" i="2"/>
  <c r="AD232" i="2"/>
  <c r="AD231" i="2"/>
  <c r="AD230" i="2"/>
  <c r="AD229" i="2"/>
  <c r="AD228" i="2"/>
  <c r="AD227" i="2"/>
  <c r="AD226" i="2"/>
  <c r="AD225" i="2"/>
  <c r="AD224" i="2"/>
  <c r="AD223" i="2"/>
  <c r="AD222" i="2"/>
  <c r="AD221" i="2"/>
  <c r="AD220" i="2"/>
  <c r="AD219" i="2"/>
  <c r="AD218" i="2"/>
  <c r="AD217" i="2"/>
  <c r="AD216" i="2"/>
  <c r="AD215" i="2"/>
  <c r="AD214" i="2"/>
  <c r="AD213" i="2"/>
  <c r="AD212" i="2"/>
  <c r="AD211" i="2"/>
  <c r="AD210" i="2"/>
  <c r="AD209" i="2"/>
  <c r="AD208" i="2"/>
  <c r="AD207" i="2"/>
  <c r="AD206" i="2"/>
  <c r="AD205" i="2"/>
  <c r="AD204" i="2"/>
  <c r="AD203" i="2"/>
  <c r="AD202" i="2"/>
  <c r="AD201" i="2"/>
  <c r="AD200" i="2"/>
  <c r="AD199" i="2"/>
  <c r="AD198" i="2"/>
  <c r="AD197" i="2"/>
  <c r="AD196" i="2"/>
  <c r="AD195" i="2"/>
  <c r="AD194" i="2"/>
  <c r="AD193" i="2"/>
  <c r="AD192" i="2"/>
  <c r="AD191" i="2"/>
  <c r="AD190" i="2"/>
  <c r="AD189" i="2"/>
  <c r="AD188" i="2"/>
  <c r="AD187" i="2"/>
  <c r="AD186" i="2"/>
  <c r="AD185" i="2"/>
  <c r="AD184" i="2"/>
  <c r="AD183" i="2"/>
  <c r="AD182" i="2"/>
  <c r="AD181" i="2"/>
  <c r="AD180" i="2"/>
  <c r="AD179" i="2"/>
  <c r="AD178" i="2"/>
  <c r="AD177" i="2"/>
  <c r="AD176" i="2"/>
  <c r="AD175" i="2"/>
  <c r="AD174" i="2"/>
  <c r="AD173" i="2"/>
  <c r="AD172" i="2"/>
  <c r="AD171" i="2"/>
  <c r="AD170" i="2"/>
  <c r="AD169" i="2"/>
  <c r="AD168" i="2"/>
  <c r="AD167" i="2"/>
  <c r="AD166" i="2"/>
  <c r="AD165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O149" i="28"/>
  <c r="O148" i="28"/>
  <c r="O147" i="28"/>
  <c r="O146" i="28"/>
  <c r="O145" i="28"/>
  <c r="O144" i="28"/>
  <c r="O143" i="28"/>
  <c r="O142" i="28"/>
  <c r="O141" i="28"/>
  <c r="O140" i="28"/>
  <c r="O139" i="28"/>
  <c r="O138" i="28"/>
  <c r="O137" i="28"/>
  <c r="O136" i="28"/>
  <c r="O135" i="28"/>
  <c r="O134" i="28"/>
  <c r="O133" i="28"/>
  <c r="C226" i="10"/>
  <c r="J246" i="28"/>
  <c r="N246" i="28"/>
  <c r="E251" i="28"/>
  <c r="E252" i="28"/>
  <c r="E253" i="28"/>
  <c r="E254" i="28"/>
  <c r="F251" i="28"/>
  <c r="F252" i="28"/>
  <c r="F253" i="28"/>
  <c r="F254" i="28"/>
  <c r="G251" i="28"/>
  <c r="G254" i="28"/>
  <c r="G253" i="28"/>
  <c r="G252" i="28"/>
  <c r="H251" i="28"/>
  <c r="H254" i="28"/>
  <c r="H253" i="28"/>
  <c r="H252" i="28"/>
  <c r="AD435" i="2"/>
  <c r="O132" i="28"/>
  <c r="O158" i="28"/>
  <c r="O157" i="28"/>
  <c r="O156" i="28"/>
  <c r="O155" i="28"/>
  <c r="O154" i="28"/>
  <c r="O153" i="28"/>
  <c r="O152" i="28"/>
  <c r="O151" i="28"/>
  <c r="O150" i="28"/>
</calcChain>
</file>

<file path=xl/sharedStrings.xml><?xml version="1.0" encoding="utf-8"?>
<sst xmlns="http://schemas.openxmlformats.org/spreadsheetml/2006/main" count="3937" uniqueCount="1255">
  <si>
    <t>Opslag niet werkbare dagen in procenten</t>
  </si>
  <si>
    <t xml:space="preserve">Vakantietoeslag </t>
  </si>
  <si>
    <t>Subtotaal loonkosten per uur inclusief sociale verzekeringen</t>
  </si>
  <si>
    <t>Opslag niet werkbare dagen</t>
  </si>
  <si>
    <t>TOTAAL KOSTEN PER JAAR EXCLUSIEF BTW</t>
  </si>
  <si>
    <t>B.T.W.</t>
  </si>
  <si>
    <t>Prijspeil</t>
  </si>
  <si>
    <t>Administratiekosten</t>
  </si>
  <si>
    <t>Huisvestingskosten</t>
  </si>
  <si>
    <t>Berekening werkbaredagen</t>
  </si>
  <si>
    <t>Aantal kalenderdagen</t>
  </si>
  <si>
    <t>Weekenddagen</t>
  </si>
  <si>
    <t>Werkdagen per jaar</t>
  </si>
  <si>
    <t>PRESTATIE NORM</t>
  </si>
  <si>
    <t>Zorgverzekeringswet</t>
  </si>
  <si>
    <t>Tariefgroep</t>
  </si>
  <si>
    <t>: cijfermatige notatie van het aantal keren dat een ruimte per jaar wordt schoongemaakt (zie onderstaande opgave)</t>
  </si>
  <si>
    <t>Opmerking</t>
  </si>
  <si>
    <t>Werkkleding en uitrusting</t>
  </si>
  <si>
    <t>nvt</t>
  </si>
  <si>
    <t>Grondslag loon voor berekening OP premie</t>
  </si>
  <si>
    <t>Premie Ouderdomspensioen (OP)</t>
  </si>
  <si>
    <t>Specialist - algemeen</t>
  </si>
  <si>
    <t>Bruto uurloon</t>
  </si>
  <si>
    <t>Afroepprijzen</t>
  </si>
  <si>
    <t>FREQ. NOTATIE</t>
  </si>
  <si>
    <t>VERD.</t>
  </si>
  <si>
    <t>Totaal schoonmaak</t>
  </si>
  <si>
    <t>Locatie</t>
  </si>
  <si>
    <t>Omschrijving blad</t>
  </si>
  <si>
    <t>Jaarkosten per locatie</t>
  </si>
  <si>
    <t>%</t>
  </si>
  <si>
    <t>Vakantiedagen</t>
  </si>
  <si>
    <t>Programmacode</t>
  </si>
  <si>
    <t xml:space="preserve">RUIMTE NR </t>
  </si>
  <si>
    <t xml:space="preserve">Renteverlies per jaar </t>
  </si>
  <si>
    <t>Adres/plaats</t>
  </si>
  <si>
    <t>: unieke code die is gekoppeld aan een schoonmaakprogramma voor een bepaalde ruimtecategorie</t>
  </si>
  <si>
    <t>Omschrijving</t>
  </si>
  <si>
    <t>Werkbare dagen per jaar</t>
  </si>
  <si>
    <t>Werktijden</t>
  </si>
  <si>
    <t>Korting</t>
  </si>
  <si>
    <t>Kengetal</t>
  </si>
  <si>
    <t xml:space="preserve">Feestdag tussen 06.00 en 21.30 uur   </t>
  </si>
  <si>
    <t>Tarief</t>
  </si>
  <si>
    <t>Toezicht kosten</t>
  </si>
  <si>
    <t>Glasbewassing</t>
  </si>
  <si>
    <t>Frequentienotatie</t>
  </si>
  <si>
    <t>Opmerking:</t>
  </si>
  <si>
    <t>Prestatienorm</t>
  </si>
  <si>
    <t>Totaal loonkosten per uur</t>
  </si>
  <si>
    <t>Alle prijzen inclusief materialen en middelen, voorrijkosten en overige bijkomende kosten.</t>
  </si>
  <si>
    <t>Frequentie-omschr.</t>
  </si>
  <si>
    <t>V</t>
  </si>
  <si>
    <t>Tapijt</t>
  </si>
  <si>
    <t>M2 VLOER NIO</t>
  </si>
  <si>
    <t>BIJZONDERHEDEN</t>
  </si>
  <si>
    <t>Bruto uurloon inclusief toeslagen</t>
  </si>
  <si>
    <t>Prijs per jaar</t>
  </si>
  <si>
    <t>RUIMTE CATEGORIE</t>
  </si>
  <si>
    <t>Uitvoering normale werktijden: maandag t/m vrijdag [06.00 en 20.30 uur]</t>
  </si>
  <si>
    <t>Totaal kosten bij koop per jaar per machine</t>
  </si>
  <si>
    <t>SUBTOTAAL</t>
  </si>
  <si>
    <t>P.Z. kosten</t>
  </si>
  <si>
    <t>Opleiding</t>
  </si>
  <si>
    <t>Automatische koppeling naar specifieke contractblad(en)</t>
  </si>
  <si>
    <t>Kosten bij koop per jaar</t>
  </si>
  <si>
    <t>Nat. feestdagen, kort verzuim, bijz. CAO</t>
  </si>
  <si>
    <t>Ziektedagen</t>
  </si>
  <si>
    <t>Vorstverlet</t>
  </si>
  <si>
    <t xml:space="preserve">Za/zo tussen 06.00 en 21.30 uur   </t>
  </si>
  <si>
    <t>Aantal uren per dag</t>
  </si>
  <si>
    <t>Machine investeringkosten</t>
  </si>
  <si>
    <t>Machine</t>
  </si>
  <si>
    <t>Franchise OP-premie per uur</t>
  </si>
  <si>
    <t>Effectieve OP premie</t>
  </si>
  <si>
    <t>Catalogusprijs</t>
  </si>
  <si>
    <t>Perceel</t>
  </si>
  <si>
    <t>VSR CODE</t>
  </si>
  <si>
    <t>Alle prijzen exclusief btw</t>
  </si>
  <si>
    <t>Nat. feestdagen, kort verzuim, bijz CAO</t>
  </si>
  <si>
    <t>Ruimtecategorie</t>
  </si>
  <si>
    <t xml:space="preserve">Verzekeringskosten per jaar </t>
  </si>
  <si>
    <t>FREQ. OMSCHRIJVING</t>
  </si>
  <si>
    <t>Pensioen overgangsregeling</t>
  </si>
  <si>
    <t>Kinderopvang</t>
  </si>
  <si>
    <t>werkgeversdeel</t>
  </si>
  <si>
    <t>SV uurloon inclusief toeslagen</t>
  </si>
  <si>
    <t xml:space="preserve">Sociale verzekeringen - Ouderdomspensioen (OP) </t>
  </si>
  <si>
    <t>Risico en winst</t>
  </si>
  <si>
    <t>: onderverdeling van de aanwezige ruimten in een object in een aantal categorieën</t>
  </si>
  <si>
    <t>M2 VLOER IO</t>
  </si>
  <si>
    <t>Investering machine kosten</t>
  </si>
  <si>
    <t xml:space="preserve">Afschrijvingstermijn in jaren </t>
  </si>
  <si>
    <t>Prijs in € per m2 in staffelvorm</t>
  </si>
  <si>
    <t>Managementkosten</t>
  </si>
  <si>
    <t>Kosten bij koop (excl. btw)</t>
  </si>
  <si>
    <t>Verrekend ja/nee</t>
  </si>
  <si>
    <t>Mutaties volgens blad 1.1c</t>
  </si>
  <si>
    <t>Naam leverancier</t>
  </si>
  <si>
    <t>Kengetallenoverzicht schoonmaakonderhoud</t>
  </si>
  <si>
    <t>Naam opdrachtgever</t>
  </si>
  <si>
    <t xml:space="preserve">RAS-heffing </t>
  </si>
  <si>
    <t>Totale kosten investering machines</t>
  </si>
  <si>
    <t>VSR-code</t>
  </si>
  <si>
    <t>Materiaal/- en middelen</t>
  </si>
  <si>
    <t>Totaal directe kosten</t>
  </si>
  <si>
    <t>: omschrijving van het aantal keren dat een ruimte per jaar wordt schoongemaakt (zie onderstaande opgave)</t>
  </si>
  <si>
    <t xml:space="preserve">Ma/ vrij tussen 06.00 en 21.30 uur   </t>
  </si>
  <si>
    <t>VERHOUDING VLOEROPP.</t>
  </si>
  <si>
    <t>Totale kosten per jaar inclusief B.T.W.</t>
  </si>
  <si>
    <t>Ma/ vrij tussen 06.00 en 21.30 uur</t>
  </si>
  <si>
    <t>VLOER SOORT</t>
  </si>
  <si>
    <t>Vloeropp niet in onderhoud</t>
  </si>
  <si>
    <t>Toezicht uren ma-vr</t>
  </si>
  <si>
    <t xml:space="preserve">Sociale verzekeringen </t>
  </si>
  <si>
    <t>Indirect toezicht</t>
  </si>
  <si>
    <t>Netto aanschafprijs</t>
  </si>
  <si>
    <t xml:space="preserve"> </t>
  </si>
  <si>
    <t>Restwaarde</t>
  </si>
  <si>
    <t>INVESTERING MACHINEKOSTEN</t>
  </si>
  <si>
    <t>Inzet van het aantal machines [stuks]</t>
  </si>
  <si>
    <t>Premies Sociale Verzekeringen</t>
  </si>
  <si>
    <t>Afschrijvingskosten per jaar</t>
  </si>
  <si>
    <t>Totaal per jaar</t>
  </si>
  <si>
    <t>Prijs in € per stuk in staffelvorm</t>
  </si>
  <si>
    <t>Kostprijs</t>
  </si>
  <si>
    <t>JAARPRIJS SCHOONMAAK</t>
  </si>
  <si>
    <t xml:space="preserve">: uren per vierkante meter per jaar </t>
  </si>
  <si>
    <t>GEBOUW</t>
  </si>
  <si>
    <t>Totaal indirecte kosten</t>
  </si>
  <si>
    <t>Aantal uren per jaar</t>
  </si>
  <si>
    <t>Totaal eindtarief normale werktijden [06.00-21.30 uur]</t>
  </si>
  <si>
    <t>Categorie/medewerker</t>
  </si>
  <si>
    <t>Onderhoudskosten per jaar*</t>
  </si>
  <si>
    <t>SV-loon grondslag voor berekening sociale verzekeringen</t>
  </si>
  <si>
    <t>Kosten ziektedagen</t>
  </si>
  <si>
    <t>Besteknummer</t>
  </si>
  <si>
    <t>Toelichting kengetallenoverzicht:</t>
  </si>
  <si>
    <t>: aantal schoon te maken m2 per uur</t>
  </si>
  <si>
    <t>Medewerk(st)er algemeen schoonmaak onderhoud</t>
  </si>
  <si>
    <t>RUIMTE OMSCHRIJVING (OPDRACHTGEVER)</t>
  </si>
  <si>
    <t>Kosten afrondingsuren</t>
  </si>
  <si>
    <t>Eénmalige uitkering</t>
  </si>
  <si>
    <t>RUIMTECATEGORIE</t>
  </si>
  <si>
    <t>Vloeropp in onderhoud</t>
  </si>
  <si>
    <t>Indexering</t>
  </si>
  <si>
    <t>invoerings datum</t>
  </si>
  <si>
    <t>percentage</t>
  </si>
  <si>
    <t>Mutatie in schoonmaakcontract volgens blad 1.1b Overzicht mutaties</t>
  </si>
  <si>
    <t>uren per jaar</t>
  </si>
  <si>
    <t>Aantal dagen per jaar</t>
  </si>
  <si>
    <t>ADDITIONELE PROJECTGEBONDEN SCHOONMAAKWERKZAAMHEDEN</t>
  </si>
  <si>
    <t>TOTALEN</t>
  </si>
  <si>
    <t>PER-CEEL</t>
  </si>
  <si>
    <t>Additionele kosten</t>
  </si>
  <si>
    <t>tarief per uur</t>
  </si>
  <si>
    <t>m2 Vloer IO</t>
  </si>
  <si>
    <t>m2 Vloer NIO</t>
  </si>
  <si>
    <t>: aantal m2 in onderhoud</t>
  </si>
  <si>
    <t>: aantal m2 niet in onderhoud</t>
  </si>
  <si>
    <t>Verhouding vloeropp.</t>
  </si>
  <si>
    <t>Bijzonde3rheden</t>
  </si>
  <si>
    <t>: Eventuele opmerkingen</t>
  </si>
  <si>
    <t>Calculatiemodule</t>
  </si>
  <si>
    <t>Schoonmaakonderhoud</t>
  </si>
  <si>
    <t>: percentage vloeroppervlakte per ruimtecategorie t.o.v. totale vloeroppervlakte</t>
  </si>
  <si>
    <t>Frequentie</t>
  </si>
  <si>
    <t>Prijsvorming Glasbewassing</t>
  </si>
  <si>
    <t>TOTAAL</t>
  </si>
  <si>
    <t>Totaal oppervlakte binnen-/ buiten-/ en separatieglas</t>
  </si>
  <si>
    <t>m2</t>
  </si>
  <si>
    <t>sanitaire ruimte (toilet-/doucheruimte)</t>
  </si>
  <si>
    <t>niet van toepassing</t>
  </si>
  <si>
    <t>Oppervlakte (separatieglas dubbellvoudig gemeten)</t>
  </si>
  <si>
    <t>Prijzen p/m2 (separatieglas dubbelvoudig gemeten)</t>
  </si>
  <si>
    <t>m2 binneglas</t>
  </si>
  <si>
    <t>m2 separatie glas</t>
  </si>
  <si>
    <t>Productienorm m2/p uur buitenglas</t>
  </si>
  <si>
    <t>Productienorm m2/p uur binnenglas</t>
  </si>
  <si>
    <t>Productienorm m2/p uur separatieglasglas</t>
  </si>
  <si>
    <t>uren per wasbeurt buitenglas</t>
  </si>
  <si>
    <t>uren per wasbeurt binnenglas</t>
  </si>
  <si>
    <t>uren per wasbeurt separatieglas</t>
  </si>
  <si>
    <t>Tarief p/uur</t>
  </si>
  <si>
    <t xml:space="preserve"> € per m2 buitenglas</t>
  </si>
  <si>
    <t>€ per m2 binnenglas</t>
  </si>
  <si>
    <t>€ per m2 separatieglas</t>
  </si>
  <si>
    <t>Inzet arbeids middelen</t>
  </si>
  <si>
    <t>Het separatieglas is dubelzijdig gemeten, prijs dient voor enkelzijdig wassen te worden ingevoerd</t>
  </si>
  <si>
    <t>Bedrag per beurt</t>
  </si>
  <si>
    <t>Inzet arbeidsmiddel (omschijving)</t>
  </si>
  <si>
    <t>Productkeuze:</t>
  </si>
  <si>
    <t>Neutraal reinigingsmiddel, pH-7, het product mag niet schadelijk zijn voor het afwerkmateriaal, geen corroderende werking hebben en mag geen schuurmiddel of etsende stoffen bevatten.</t>
  </si>
  <si>
    <t>Het product is vrij van zure en alkalische bestanddelen, waardoor er geen enkel gevaar is voor aantasting van metaal, lak, rubber enz.</t>
  </si>
  <si>
    <t>Handeling:</t>
  </si>
  <si>
    <t>Inzetten van de beglazing met water en een reinigingsmiddel met behulp van schapenvacht en/of spons</t>
  </si>
  <si>
    <t>Omlijstingen en raam- en kozijnprofielen met spons afnemen.</t>
  </si>
  <si>
    <t>Droogtrekken van het glas en kozijnen zodat er geen resten van het reinigingsmiddel met de opgenomen vervuiling achterblijven.</t>
  </si>
  <si>
    <t>INZET ARBEIDSMIDDELEN</t>
  </si>
  <si>
    <t>Volgens specificatie blad 1.9-Glasbewassing</t>
  </si>
  <si>
    <t>Aantal uren gemiddeld per wasbeurt</t>
  </si>
  <si>
    <t>&amp;</t>
  </si>
  <si>
    <t>Mutatie nummer</t>
  </si>
  <si>
    <t>Mutatie datum</t>
  </si>
  <si>
    <t>Vervallen</t>
  </si>
  <si>
    <t>Vervallen (mutatie)</t>
  </si>
  <si>
    <t>OP/NP pensioen</t>
  </si>
  <si>
    <t>Totaal</t>
  </si>
  <si>
    <t>Kleine werkgever</t>
  </si>
  <si>
    <t>Middelgrote werkgever</t>
  </si>
  <si>
    <t>Grote werkgever</t>
  </si>
  <si>
    <t>Totaal uren per jaar</t>
  </si>
  <si>
    <t>Perentage inzet per locatieo.b.v. verhouding inzewt productie-uren</t>
  </si>
  <si>
    <t>Bedrag reservering per jaar/locatie</t>
  </si>
  <si>
    <t>Totaal uren per jaar per locatie</t>
  </si>
  <si>
    <t>: afkortingen voor ruimtecategorieën bij toepassing van VSR-kwaliteitsmetingen V=verkeersruimten, S=Sanitaire ruimten en L=Leslokalen</t>
  </si>
  <si>
    <t>Aantallen</t>
  </si>
  <si>
    <t>Plaats</t>
  </si>
  <si>
    <t>Kosten per jaar buitenglas</t>
  </si>
  <si>
    <t>Kosten per jaar binnenglas</t>
  </si>
  <si>
    <t>Kosten per jaar separatie-glas</t>
  </si>
  <si>
    <t>Versie</t>
  </si>
  <si>
    <t>Tabblad: Voorblad</t>
  </si>
  <si>
    <t>Tabblad: 1.2-Kengetal</t>
  </si>
  <si>
    <t>Tabblad: 1.3-Basis ruimtestaat</t>
  </si>
  <si>
    <t>Tabblad: 1.4-Premies en opslagen</t>
  </si>
  <si>
    <t>Tabblad: 1.6-Machine-investeringskosten</t>
  </si>
  <si>
    <t>Tabblad: 1.7-Afroep prijzen</t>
  </si>
  <si>
    <t>Tabblad: 1.5-Opbouw uurtarieven</t>
  </si>
  <si>
    <t>Tabblad: 1.8-Glasbewassing</t>
  </si>
  <si>
    <t>Tabblad: 1.0-Contractblad</t>
  </si>
  <si>
    <t>In het tabblad 1.1a-Jaarprijzen wordt een totaal overzicht per locatie</t>
  </si>
  <si>
    <t>weergegeven. Hier behoeft niets te worden ingevoerd.</t>
  </si>
  <si>
    <t>Schoonmaak</t>
  </si>
  <si>
    <t>= invulvelden</t>
  </si>
  <si>
    <t>Eind datum berekening</t>
  </si>
  <si>
    <t>Te verekenen dagen</t>
  </si>
  <si>
    <t>Mutatiebedrag per jaar</t>
  </si>
  <si>
    <t>Verrekenbedrag</t>
  </si>
  <si>
    <t>Percentages</t>
  </si>
  <si>
    <t>BHV toeslag (indien van toepassing)</t>
  </si>
  <si>
    <t>Selecteer categorie medewerker</t>
  </si>
  <si>
    <t>Toelichting</t>
  </si>
  <si>
    <t>Selecteer categorie werkgever</t>
  </si>
  <si>
    <t>Adres</t>
  </si>
  <si>
    <t>PRODUCTIE-UREN MAANDAG-VRIJDAG 06:00-21:30 uur</t>
  </si>
  <si>
    <t>TOEZICHT-UREN MAANDAG-VRIJDAG 06:00-21:30 uur</t>
  </si>
  <si>
    <t>JAARPRIJS GLASBEWASSING</t>
  </si>
  <si>
    <t>Contractblad jaarprijs schoonmaak &amp; Glasbewassing</t>
  </si>
  <si>
    <t>Ruimte/- calculatiestaat</t>
  </si>
  <si>
    <t>Regie- uurtarieven (volgens matrix CAO)</t>
  </si>
  <si>
    <t>Percentage inzet medewerkers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</si>
  <si>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</si>
  <si>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</si>
  <si>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</si>
  <si>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</si>
  <si>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in te voeren.</t>
  </si>
  <si>
    <t>STAP 3: Voer in de gekleurde cellen de gevraagde informatie in. Let op: in de niet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</si>
  <si>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niet gekleurde cellen zijn formules of koppelingen aanwezig, deze mogen niet worden verwijderd of aangepast.</t>
  </si>
  <si>
    <t>STAP 5: Voer in de gekleurde cellen de gevraagde informatie in. Let op: in de niet gekleurde cellen zijn formules of koppelingen aanwezig, deze mogen niet worden verwijderd of aangepast.</t>
  </si>
  <si>
    <t>Op ieder tabblad is een kortetoelichting</t>
  </si>
  <si>
    <t>aanwezig. Selecteer de cel "Toelichting"</t>
  </si>
  <si>
    <t>om de informatie te lezen.</t>
  </si>
  <si>
    <t>STAP 6: Voer in de gekleurde cellen de gevraagde informatie in. Let op: in de niet gekleurde cellen zijn formules of koppelingen aanwezig, deze mogen niet worden verwijderd of aangepast.</t>
  </si>
  <si>
    <t>STAP 7: Voer in de gekleurde cellen de gevraagde informatie in. Let op: in de niet gekleurde cellen zijn formules of koppelingen aanwezig, deze mogen niet worden verwijderd of aangepast.</t>
  </si>
  <si>
    <t>Tabblad: 1.1a-Jaarprijzen</t>
  </si>
  <si>
    <t>STAP 8: Selecteer "Selecteer categorie medewerker" om een loongroep medewerker. Het uurtarief wordt automatisch geplaats. Vul het percentage in van het aantal in te zetten uren en het jaarbedrag wordt gecalculeerd.</t>
  </si>
  <si>
    <t>In dit tabblad wordt een recapitulatie van alle calcuatiegegevens weeergegeven</t>
  </si>
  <si>
    <t>Het tabblad 1.3a-Mutaties is niet van toepassing (indien aanwezig)</t>
  </si>
  <si>
    <t>Het tabblad 1.3b-Verrekening mutaties is niet van toepassing (indien aanwezig)</t>
  </si>
  <si>
    <t>Specialisten toeslag (indien van toepassing)</t>
  </si>
  <si>
    <t>trappenhuis</t>
  </si>
  <si>
    <t>op afroep</t>
  </si>
  <si>
    <t>Overzicht verrekening mutaties 4e kwartaal 2017</t>
  </si>
  <si>
    <t>Mutatie verwerkingsdatum</t>
  </si>
  <si>
    <t>Mut nr</t>
  </si>
  <si>
    <t>Aantal dagen</t>
  </si>
  <si>
    <t>Jaar bedrag mutatie</t>
  </si>
  <si>
    <t>Bedrag t/m heden</t>
  </si>
  <si>
    <t>Lngr 1 : Vakvolwassen</t>
  </si>
  <si>
    <t>Lngr 6 : Vakvolwassen</t>
  </si>
  <si>
    <t>Selecteer het aantal dienstjaren</t>
  </si>
  <si>
    <t>(Reserve regel)</t>
  </si>
  <si>
    <t>Lngr 2 : Vakvolwassen</t>
  </si>
  <si>
    <t>Lngr 3 : Vakvolwassen</t>
  </si>
  <si>
    <t>Lngr 4 : Vakvolwassen</t>
  </si>
  <si>
    <t>Lngr 5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</si>
  <si>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</si>
  <si>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</si>
  <si>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</si>
  <si>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</si>
  <si>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</si>
  <si>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</si>
  <si>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</si>
  <si>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</si>
  <si>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</si>
  <si>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</si>
  <si>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</si>
  <si>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</si>
  <si>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</si>
  <si>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</si>
  <si>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</si>
  <si>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</si>
  <si>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</si>
  <si>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</si>
  <si>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</si>
  <si>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</si>
  <si>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</si>
  <si>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</si>
  <si>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</si>
  <si>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</si>
  <si>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</si>
  <si>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</si>
  <si>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</si>
  <si>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</si>
  <si>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</si>
  <si>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</si>
  <si>
    <t>Premies en opslagen &amp; tarieven  voor schoonmaakonderhoud</t>
  </si>
  <si>
    <t xml:space="preserve">Totaal premies sociale verzekeringen    </t>
  </si>
  <si>
    <t>Overname kosten volgens Bijlage overname personeel</t>
  </si>
  <si>
    <t>Autokosten</t>
  </si>
  <si>
    <t>Factor REGULIER</t>
  </si>
  <si>
    <t>FACTOR PERIODIEK</t>
  </si>
  <si>
    <t>Freq</t>
  </si>
  <si>
    <t>Gietvloer</t>
  </si>
  <si>
    <t>Beton</t>
  </si>
  <si>
    <t>Natuursteen</t>
  </si>
  <si>
    <t>RVS</t>
  </si>
  <si>
    <t>Sportvloer</t>
  </si>
  <si>
    <t>Hout</t>
  </si>
  <si>
    <t>geen</t>
  </si>
  <si>
    <t>Bamboe</t>
  </si>
  <si>
    <t>Nvt</t>
  </si>
  <si>
    <t>PVC/Noppen</t>
  </si>
  <si>
    <t>KENGETAL MA-VR</t>
  </si>
  <si>
    <t>Leisteen</t>
  </si>
  <si>
    <t>computervloer</t>
  </si>
  <si>
    <t>tapijttegel</t>
  </si>
  <si>
    <t>pvc</t>
  </si>
  <si>
    <t>Steen</t>
  </si>
  <si>
    <t xml:space="preserve">Overal waar inhet Calculatiemodul in de  invoervelden aanwezig zijn, dient een getal (niet zijnde nul (0)) te worden ingevuld. </t>
  </si>
  <si>
    <t>PROGR CODE</t>
  </si>
  <si>
    <t>L260</t>
  </si>
  <si>
    <t>O156</t>
  </si>
  <si>
    <t>O260</t>
  </si>
  <si>
    <t>L12</t>
  </si>
  <si>
    <t>ed</t>
  </si>
  <si>
    <t>eigendienst</t>
  </si>
  <si>
    <t></t>
  </si>
  <si>
    <t>Bijzonderheden</t>
  </si>
  <si>
    <t>Tegels , DHT met voegen</t>
  </si>
  <si>
    <t>Containerruimte met hoge druk spuiten</t>
  </si>
  <si>
    <t>Machinaal vegen</t>
  </si>
  <si>
    <t xml:space="preserve">Handmatig vegen </t>
  </si>
  <si>
    <t>Hogedruk reinigen</t>
  </si>
  <si>
    <t>Kauwgum verwijderen</t>
  </si>
  <si>
    <t>1 - 250</t>
  </si>
  <si>
    <t>251 - 500</t>
  </si>
  <si>
    <t>501 - 1.000</t>
  </si>
  <si>
    <t>&lt; 1.000</t>
  </si>
  <si>
    <t xml:space="preserve">Prijsvorming Reinigen d.m.v. Hogedruk containerruimte  (inclusief middelen/materialen) </t>
  </si>
  <si>
    <t xml:space="preserve">Prijsvorming Reinigen buitenterrein  (inclusief middelen/materialen) </t>
  </si>
  <si>
    <t>1 t/m 25</t>
  </si>
  <si>
    <t>26 t/m 50</t>
  </si>
  <si>
    <t>51 t/m 100</t>
  </si>
  <si>
    <t>&gt; 100</t>
  </si>
  <si>
    <t>Monitor</t>
  </si>
  <si>
    <t>Toestenbord + muis (in- en uitwendig)</t>
  </si>
  <si>
    <t>Computer- en randapparatuur</t>
  </si>
  <si>
    <t>Stof en vlekvrij maken, vochtig reinigen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</si>
  <si>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</si>
  <si>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Alle prijzen inclusief materialen en middelen, toezicht, voorrijkosten en overige bijkomende kosten.</t>
  </si>
  <si>
    <t>In deze tabel geen wijziguingen aanbrengen &gt;&gt;</t>
  </si>
  <si>
    <t>In het contractblad wordt automatisch het aantal m2 glas weergegeven (indien van toepassing).</t>
  </si>
  <si>
    <t>administratieve -, personeels- en vergaderruimte</t>
  </si>
  <si>
    <t>entree, gang, hal, repro, kopieer</t>
  </si>
  <si>
    <t>S</t>
  </si>
  <si>
    <t>1.</t>
  </si>
  <si>
    <t>2.</t>
  </si>
  <si>
    <t>3.</t>
  </si>
  <si>
    <t>KENGETAL PERIODIEK</t>
  </si>
  <si>
    <t>UREN P/JR PERIODIEK</t>
  </si>
  <si>
    <t>UREN P/JR REGULIER</t>
  </si>
  <si>
    <t>KENGETAL REGULIER</t>
  </si>
  <si>
    <t>€ SCHOONMAAK</t>
  </si>
  <si>
    <t>€ GLAS-BEWASSING</t>
  </si>
  <si>
    <t>PROGR. CODE REGULIER</t>
  </si>
  <si>
    <t>PROGR. CODE NALOOP</t>
  </si>
  <si>
    <t>VLOER CODE 1</t>
  </si>
  <si>
    <t>VLOER CODE 2</t>
  </si>
  <si>
    <t>Productie uren  perdiodiek</t>
  </si>
  <si>
    <t>M2 glas binnen- buitenzijde en separatieglas</t>
  </si>
  <si>
    <t>kleedruimten</t>
  </si>
  <si>
    <t>inloop/coral</t>
  </si>
  <si>
    <t>staal</t>
  </si>
  <si>
    <t>Mat</t>
  </si>
  <si>
    <t>Lino-beton</t>
  </si>
  <si>
    <t>Glas</t>
  </si>
  <si>
    <t>Staal/coral</t>
  </si>
  <si>
    <t>verblijfsruimte</t>
  </si>
  <si>
    <t>beton-hout</t>
  </si>
  <si>
    <t>hout-pvc</t>
  </si>
  <si>
    <t>KENGETAL NALOOP</t>
  </si>
  <si>
    <t>Z</t>
  </si>
  <si>
    <t>CALCULATIE-CODE</t>
  </si>
  <si>
    <t>m2 buitenglas</t>
  </si>
  <si>
    <t>Hout-Gietvloer</t>
  </si>
  <si>
    <t>Hout-Lino</t>
  </si>
  <si>
    <t>Hout-Natuursteen</t>
  </si>
  <si>
    <t>Hout-Tapijt</t>
  </si>
  <si>
    <t>Lino-RVS</t>
  </si>
  <si>
    <t>Gietvloer-Beton</t>
  </si>
  <si>
    <t>Lino-RVS-Glas</t>
  </si>
  <si>
    <t>Handeling</t>
  </si>
  <si>
    <t>Buitenterrein (o.a fietsenstalling, schoolplein etc.)</t>
  </si>
  <si>
    <t>Zonwering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</si>
  <si>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</si>
  <si>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</si>
  <si>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</si>
  <si>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</si>
  <si>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</si>
  <si>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</si>
  <si>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</si>
  <si>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Prijs in €</t>
  </si>
  <si>
    <t>per meter</t>
  </si>
  <si>
    <t>per m2</t>
  </si>
  <si>
    <t>Prijsvorming  extra werkzaamheden (inclusief middelen/materialen)</t>
  </si>
  <si>
    <t>Reiging meubilair</t>
  </si>
  <si>
    <t>Gestoffeerde stoelen</t>
  </si>
  <si>
    <t>Koolzuurreiniging</t>
  </si>
  <si>
    <t>Gewogen gemiddelde obv vloeropp in onderhoud</t>
  </si>
  <si>
    <t>Ruimte/- calculatiestaat Mutaties</t>
  </si>
  <si>
    <t>Verwerkt in ruimtestaat</t>
  </si>
  <si>
    <t>[voer naam in]</t>
  </si>
  <si>
    <t>1112-10-2019</t>
  </si>
  <si>
    <t>FACTOR REGULIER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</si>
  <si>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</si>
  <si>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</si>
  <si>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</si>
  <si>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</si>
  <si>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</si>
  <si>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</si>
  <si>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</si>
  <si>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</si>
  <si>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</si>
  <si>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</si>
  <si>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</si>
  <si>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</si>
  <si>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</si>
  <si>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</si>
  <si>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ADRES</t>
  </si>
  <si>
    <t>Kantoor</t>
  </si>
  <si>
    <t>Gang</t>
  </si>
  <si>
    <t>-</t>
  </si>
  <si>
    <t>Linoleum</t>
  </si>
  <si>
    <t>1.01</t>
  </si>
  <si>
    <t>1.02</t>
  </si>
  <si>
    <t>1.03</t>
  </si>
  <si>
    <t>1.04</t>
  </si>
  <si>
    <t>1.05</t>
  </si>
  <si>
    <t>1.06</t>
  </si>
  <si>
    <t>Tegels</t>
  </si>
  <si>
    <t>PERCEEL</t>
  </si>
  <si>
    <t>Magazijn cateraar</t>
  </si>
  <si>
    <t>Herenkamer</t>
  </si>
  <si>
    <t>Toiletruimte</t>
  </si>
  <si>
    <t>Tussenhal/doorloop</t>
  </si>
  <si>
    <t>Entree achterzijde naar Kant.</t>
  </si>
  <si>
    <t>bgg</t>
  </si>
  <si>
    <t>Douche en toiletruimte</t>
  </si>
  <si>
    <t>Pantry/vergaderruimte</t>
  </si>
  <si>
    <t>Zij entree tuinzijde</t>
  </si>
  <si>
    <t>Keuken cateraar</t>
  </si>
  <si>
    <t>Ruimte cateraar</t>
  </si>
  <si>
    <t>Laminaat</t>
  </si>
  <si>
    <t>9.06</t>
  </si>
  <si>
    <t>Pvc</t>
  </si>
  <si>
    <t>Trap naar 1e verdieping</t>
  </si>
  <si>
    <t>Slaapkamer 1</t>
  </si>
  <si>
    <t>Badkamer</t>
  </si>
  <si>
    <t>Slaapkamer 2</t>
  </si>
  <si>
    <t>Zolder</t>
  </si>
  <si>
    <t>2.01</t>
  </si>
  <si>
    <t>Zolder vanaf 1.06 via trap</t>
  </si>
  <si>
    <t>Noorderpolderhuis</t>
  </si>
  <si>
    <t>1843 VK Schermerhorn</t>
  </si>
  <si>
    <t>Molendijk 11</t>
  </si>
  <si>
    <t>0.1</t>
  </si>
  <si>
    <t>Werkplaats</t>
  </si>
  <si>
    <t>0.2</t>
  </si>
  <si>
    <t>Kleedruimte</t>
  </si>
  <si>
    <t>0.3</t>
  </si>
  <si>
    <t>Doucheruimte</t>
  </si>
  <si>
    <t>0.4</t>
  </si>
  <si>
    <t>Urinoirruimte</t>
  </si>
  <si>
    <t>0.5</t>
  </si>
  <si>
    <t>0.6</t>
  </si>
  <si>
    <t>Cv ruimte</t>
  </si>
  <si>
    <t>1.1</t>
  </si>
  <si>
    <t>Keuken/pantry</t>
  </si>
  <si>
    <t>1.2</t>
  </si>
  <si>
    <t>Kantine</t>
  </si>
  <si>
    <t>0.0</t>
  </si>
  <si>
    <t>Entree/portaal</t>
  </si>
  <si>
    <t>0.1a</t>
  </si>
  <si>
    <t>keuken en opslag</t>
  </si>
  <si>
    <t>0.2a</t>
  </si>
  <si>
    <t>Gang toiletgroepen</t>
  </si>
  <si>
    <t>0.3a</t>
  </si>
  <si>
    <t>Toiletgroep Ds.</t>
  </si>
  <si>
    <t>0.4a</t>
  </si>
  <si>
    <t>Toiletgroep Hr.</t>
  </si>
  <si>
    <t>0.5a</t>
  </si>
  <si>
    <t>Vergaderruimte</t>
  </si>
  <si>
    <t>laminaat</t>
  </si>
  <si>
    <t>Entree/voorzijde</t>
  </si>
  <si>
    <t>Noorderdijkweg 12</t>
  </si>
  <si>
    <t>1771 MJ Wieringerwerf</t>
  </si>
  <si>
    <t>Oude Zeug Muskusrattenbestrijders</t>
  </si>
  <si>
    <t>Entree / Garage / Werkplaats</t>
  </si>
  <si>
    <t>Wasruimte / Doucheruimte</t>
  </si>
  <si>
    <t>Trap naar 1e etage</t>
  </si>
  <si>
    <t xml:space="preserve">Zolder / Opslagruimte </t>
  </si>
  <si>
    <t>Keuken / Kantine / Werkplek</t>
  </si>
  <si>
    <t>E7.0</t>
  </si>
  <si>
    <t>Buitenbordes</t>
  </si>
  <si>
    <t>E7.1</t>
  </si>
  <si>
    <t>Entree</t>
  </si>
  <si>
    <t>E7.2</t>
  </si>
  <si>
    <t>E7.3</t>
  </si>
  <si>
    <t>Kantoor/kantine</t>
  </si>
  <si>
    <t>E7.4</t>
  </si>
  <si>
    <t>Portaal/garderobe</t>
  </si>
  <si>
    <t>E7.5</t>
  </si>
  <si>
    <t>E7.6</t>
  </si>
  <si>
    <t>CV ruimte</t>
  </si>
  <si>
    <t>E7.7</t>
  </si>
  <si>
    <t>Portaal/tussenportaal</t>
  </si>
  <si>
    <t>E7.8</t>
  </si>
  <si>
    <t>E7.9</t>
  </si>
  <si>
    <t>Ertree/trap naar pompruimte</t>
  </si>
  <si>
    <t>E7.10</t>
  </si>
  <si>
    <t>Pompkelder</t>
  </si>
  <si>
    <t>E7.11</t>
  </si>
  <si>
    <t>Labruimte</t>
  </si>
  <si>
    <t>E7.12</t>
  </si>
  <si>
    <t>Voorr.douche. Toilet</t>
  </si>
  <si>
    <t>E7.13</t>
  </si>
  <si>
    <t>Schakelruimte</t>
  </si>
  <si>
    <t>RWZI Ursem</t>
  </si>
  <si>
    <t>Kokosmat</t>
  </si>
  <si>
    <t>staal/tegels</t>
  </si>
  <si>
    <t>Epoxie</t>
  </si>
  <si>
    <t>1645 RJ  Ursem</t>
  </si>
  <si>
    <t>Het Gors 1</t>
  </si>
  <si>
    <t>Entree / Hal incl. trap</t>
  </si>
  <si>
    <t>Pauze / Lunchruimte</t>
  </si>
  <si>
    <t>Kleedruimte/wasruimte</t>
  </si>
  <si>
    <t>0.04a</t>
  </si>
  <si>
    <t>0.04b</t>
  </si>
  <si>
    <t>0.04c</t>
  </si>
  <si>
    <t>Besturingsruimte</t>
  </si>
  <si>
    <t>Entree / Gang</t>
  </si>
  <si>
    <t>Bordes</t>
  </si>
  <si>
    <t>Flex / annex Vergaderruimte</t>
  </si>
  <si>
    <t>Tegel/steen</t>
  </si>
  <si>
    <t>Tegels/linoleum</t>
  </si>
  <si>
    <t>Jan van Scorelkade 6</t>
  </si>
  <si>
    <t>1817 ET Alkmaar</t>
  </si>
  <si>
    <t>0.00</t>
  </si>
  <si>
    <t>Voorruimte/kleedruimte</t>
  </si>
  <si>
    <t>PVC</t>
  </si>
  <si>
    <t>Kantine/pantry</t>
  </si>
  <si>
    <t>Vinyl</t>
  </si>
  <si>
    <t>Garderobe/nis</t>
  </si>
  <si>
    <t>Kantoor/bedieningsruimte</t>
  </si>
  <si>
    <t>Staal</t>
  </si>
  <si>
    <t>R1.1</t>
  </si>
  <si>
    <t>R1.2</t>
  </si>
  <si>
    <t>Tegel/Alu</t>
  </si>
  <si>
    <t>R1.3</t>
  </si>
  <si>
    <t>R1.4</t>
  </si>
  <si>
    <t>Pomphuis</t>
  </si>
  <si>
    <t>R1.5</t>
  </si>
  <si>
    <t>Trap van en naar Pomhuis/kelder</t>
  </si>
  <si>
    <t>RWZI Wieringen</t>
  </si>
  <si>
    <t xml:space="preserve">1779 GX Den Oever </t>
  </si>
  <si>
    <t>Rijksweg 9</t>
  </si>
  <si>
    <t>Entree / trappenhuis</t>
  </si>
  <si>
    <t>Steen /Tegels</t>
  </si>
  <si>
    <t xml:space="preserve">Bordes </t>
  </si>
  <si>
    <t>zie trappenh.</t>
  </si>
  <si>
    <t>Lab</t>
  </si>
  <si>
    <t>Steen/Tegels</t>
  </si>
  <si>
    <t>Douche / werkkast</t>
  </si>
  <si>
    <t xml:space="preserve">Voorruimte incl. Toilet  </t>
  </si>
  <si>
    <t>RWZI Zaandam Oost Slibgistinggebouw</t>
  </si>
  <si>
    <t>1504 NX Zaandam</t>
  </si>
  <si>
    <t>Poelenburg 467</t>
  </si>
  <si>
    <t>Steen/tegels</t>
  </si>
  <si>
    <t>Entree/hal/gang</t>
  </si>
  <si>
    <t>Natuursteen/tegels</t>
  </si>
  <si>
    <t>Opslag/douche/wastafel</t>
  </si>
  <si>
    <t>Archief</t>
  </si>
  <si>
    <t>T.D</t>
  </si>
  <si>
    <t>Pauze lunchruimte</t>
  </si>
  <si>
    <t>Magazijn</t>
  </si>
  <si>
    <t>Lasplaats</t>
  </si>
  <si>
    <t>Garderobe</t>
  </si>
  <si>
    <t>Zij-entree</t>
  </si>
  <si>
    <t>0.15</t>
  </si>
  <si>
    <t>0.15 A</t>
  </si>
  <si>
    <t>0.15 B</t>
  </si>
  <si>
    <t>0.15 C</t>
  </si>
  <si>
    <t>0.15 D</t>
  </si>
  <si>
    <t>Doucheruimte/werkkast</t>
  </si>
  <si>
    <t>0.15 E</t>
  </si>
  <si>
    <t>0.15 F</t>
  </si>
  <si>
    <t>0.16</t>
  </si>
  <si>
    <t>Toiletruimte Ds.</t>
  </si>
  <si>
    <t>0.17</t>
  </si>
  <si>
    <t>Toiletruimte Hr.</t>
  </si>
  <si>
    <t>0.18</t>
  </si>
  <si>
    <t>0.19</t>
  </si>
  <si>
    <t>0.20</t>
  </si>
  <si>
    <t>0.21</t>
  </si>
  <si>
    <t>0.22</t>
  </si>
  <si>
    <t>0.23</t>
  </si>
  <si>
    <t>RWZI Zuidoostbeemster</t>
  </si>
  <si>
    <t>Zuiderweg 44</t>
  </si>
  <si>
    <t>Personeelsruimte/pantry</t>
  </si>
  <si>
    <t>Magazijn/berging</t>
  </si>
  <si>
    <t>Elektra kast</t>
  </si>
  <si>
    <t>Loods/werkplaats</t>
  </si>
  <si>
    <t>Betonloods Ulkesluis</t>
  </si>
  <si>
    <t>1774 NN Slootdorp</t>
  </si>
  <si>
    <t>Amstelmeerweg 5</t>
  </si>
  <si>
    <t>Lino./inloopmat</t>
  </si>
  <si>
    <t>gang</t>
  </si>
  <si>
    <t>0.02A</t>
  </si>
  <si>
    <t>Trap</t>
  </si>
  <si>
    <t>0.03A</t>
  </si>
  <si>
    <t>Kantoor opgedeeld</t>
  </si>
  <si>
    <t>0.03B</t>
  </si>
  <si>
    <t>I.C.T</t>
  </si>
  <si>
    <t>Portaal</t>
  </si>
  <si>
    <t>Kleedruimte Ds</t>
  </si>
  <si>
    <t>0.07A</t>
  </si>
  <si>
    <t>Toiletruimte Ds</t>
  </si>
  <si>
    <t>0.07B</t>
  </si>
  <si>
    <t>Doucheruimte Ds</t>
  </si>
  <si>
    <t>Toiletruimte Hr</t>
  </si>
  <si>
    <t>Berging tevens doorgang</t>
  </si>
  <si>
    <t>Berging /werkkast</t>
  </si>
  <si>
    <t>0.14A</t>
  </si>
  <si>
    <t>Kleedruimte hr (schoon)</t>
  </si>
  <si>
    <t>0.14B</t>
  </si>
  <si>
    <t>Doucheruimte nr 1 Hr links</t>
  </si>
  <si>
    <t>0.14C</t>
  </si>
  <si>
    <t>Doucheruimte nr 2 Hr rechts</t>
  </si>
  <si>
    <t>Kleedruimte Hr (vuil)</t>
  </si>
  <si>
    <t>0.15A</t>
  </si>
  <si>
    <t xml:space="preserve">Kantoor </t>
  </si>
  <si>
    <t>Overloop/gang</t>
  </si>
  <si>
    <t>Toilet/voorruimte Ds/Hr</t>
  </si>
  <si>
    <t>Kantine/keuken</t>
  </si>
  <si>
    <t>Toilet/voorruimte</t>
  </si>
  <si>
    <t>Gedeelte bij wasbak</t>
  </si>
  <si>
    <t>beton</t>
  </si>
  <si>
    <t>Entree/gang</t>
  </si>
  <si>
    <t>Kantoor/besturingsruimte</t>
  </si>
  <si>
    <t>RWZI Den Helder</t>
  </si>
  <si>
    <t>1786 PS Den Helder</t>
  </si>
  <si>
    <t>Oostoeverweg 70</t>
  </si>
  <si>
    <t>Tegelvloer</t>
  </si>
  <si>
    <t>Waskleedruimte</t>
  </si>
  <si>
    <t>Werkkast</t>
  </si>
  <si>
    <t>Entree/Hal incl. trap</t>
  </si>
  <si>
    <t>Hal/wachtruimte</t>
  </si>
  <si>
    <t>1.03/1.04</t>
  </si>
  <si>
    <t>Kantoortuin gedeeld</t>
  </si>
  <si>
    <t>1.07</t>
  </si>
  <si>
    <t>1.08</t>
  </si>
  <si>
    <t>1.09</t>
  </si>
  <si>
    <t>1.11</t>
  </si>
  <si>
    <t>121-1</t>
  </si>
  <si>
    <t>109-1</t>
  </si>
  <si>
    <t>Noppenvinyl</t>
  </si>
  <si>
    <t>87-1</t>
  </si>
  <si>
    <t>107-1</t>
  </si>
  <si>
    <t>5--1</t>
  </si>
  <si>
    <t>Buiten entree</t>
  </si>
  <si>
    <t>Staal/steen</t>
  </si>
  <si>
    <t>Entree/hal</t>
  </si>
  <si>
    <t>Pauzeruimte</t>
  </si>
  <si>
    <t>Flexplekken/vergaderr.</t>
  </si>
  <si>
    <t>Tussengang</t>
  </si>
  <si>
    <t>Linoleum/steen</t>
  </si>
  <si>
    <t xml:space="preserve">Linoleum </t>
  </si>
  <si>
    <t>RWZI Beverwijk, Slibgebouw</t>
  </si>
  <si>
    <t>RWZI Beverwijk Bedrijfsgebouw</t>
  </si>
  <si>
    <t>1948 NS Beverwijk</t>
  </si>
  <si>
    <t>Randweg 2</t>
  </si>
  <si>
    <t>Centraal Kantoor</t>
  </si>
  <si>
    <t>0.31</t>
  </si>
  <si>
    <t>0.29</t>
  </si>
  <si>
    <t>0.30</t>
  </si>
  <si>
    <t>0.24</t>
  </si>
  <si>
    <t>0.25</t>
  </si>
  <si>
    <t>0.32</t>
  </si>
  <si>
    <t>0.37</t>
  </si>
  <si>
    <t>0.36</t>
  </si>
  <si>
    <t>0.33</t>
  </si>
  <si>
    <t>1.10</t>
  </si>
  <si>
    <t>RS 00</t>
  </si>
  <si>
    <t>RS 01</t>
  </si>
  <si>
    <t>Entree/garderobe</t>
  </si>
  <si>
    <t>RS 02</t>
  </si>
  <si>
    <t>Marmoleum</t>
  </si>
  <si>
    <t>RS 03</t>
  </si>
  <si>
    <t>Laagspanningsruimte</t>
  </si>
  <si>
    <t>RS 04</t>
  </si>
  <si>
    <t>Trafo ruimte</t>
  </si>
  <si>
    <t>RS 05</t>
  </si>
  <si>
    <t>RS 06</t>
  </si>
  <si>
    <t>Voorruimte</t>
  </si>
  <si>
    <t>RS 07</t>
  </si>
  <si>
    <t>Douche</t>
  </si>
  <si>
    <t>RS 08</t>
  </si>
  <si>
    <t>Werkplaats alleen keukenblok</t>
  </si>
  <si>
    <t>RS 09</t>
  </si>
  <si>
    <t>Opslag</t>
  </si>
  <si>
    <t>RS 0.10</t>
  </si>
  <si>
    <t>Patchruimte</t>
  </si>
  <si>
    <t>RS 0.11</t>
  </si>
  <si>
    <t>1e</t>
  </si>
  <si>
    <t>2e</t>
  </si>
  <si>
    <t>RWZI De Stolpen</t>
  </si>
  <si>
    <t>E1.1</t>
  </si>
  <si>
    <t>Entree/buitenbordes</t>
  </si>
  <si>
    <t>E1.10</t>
  </si>
  <si>
    <t>E1.10a</t>
  </si>
  <si>
    <t>Kleedruimte douche</t>
  </si>
  <si>
    <t>E1.10b</t>
  </si>
  <si>
    <t>Douche ruimte</t>
  </si>
  <si>
    <t>E1.10c</t>
  </si>
  <si>
    <t>E1.10d</t>
  </si>
  <si>
    <t>E1.11</t>
  </si>
  <si>
    <t>Was/droogruimte</t>
  </si>
  <si>
    <t>E1.12</t>
  </si>
  <si>
    <t>Achter entree</t>
  </si>
  <si>
    <t>E1.13</t>
  </si>
  <si>
    <t>E1.14</t>
  </si>
  <si>
    <t>Entree/balie</t>
  </si>
  <si>
    <t>E1.15</t>
  </si>
  <si>
    <t>Printerruimte</t>
  </si>
  <si>
    <t>E1.16</t>
  </si>
  <si>
    <t>E1.17/1.20/1.21</t>
  </si>
  <si>
    <t>E1.18</t>
  </si>
  <si>
    <t>Kantoor/Controleruimte</t>
  </si>
  <si>
    <t>E1.19</t>
  </si>
  <si>
    <t>E1.2</t>
  </si>
  <si>
    <t>gang links</t>
  </si>
  <si>
    <t>E1.22</t>
  </si>
  <si>
    <t>Kantoor/receptie</t>
  </si>
  <si>
    <t>E1.23</t>
  </si>
  <si>
    <t>Toiletgroep</t>
  </si>
  <si>
    <t>E1.3</t>
  </si>
  <si>
    <t>Laboratorium</t>
  </si>
  <si>
    <t>E1.3a</t>
  </si>
  <si>
    <t>E1.4</t>
  </si>
  <si>
    <t>E1.5</t>
  </si>
  <si>
    <t>E1.6</t>
  </si>
  <si>
    <t>E1.7</t>
  </si>
  <si>
    <t>E1.9</t>
  </si>
  <si>
    <t>Toiletgroep + voorruimte</t>
  </si>
  <si>
    <t>RWZI Geestmerambacht</t>
  </si>
  <si>
    <t>Huiskebuurtweg 4</t>
  </si>
  <si>
    <t>1775 DA Schagerbrug</t>
  </si>
  <si>
    <t>Schagerweg 2</t>
  </si>
  <si>
    <t>1749 CL Warmenhuizen</t>
  </si>
  <si>
    <t xml:space="preserve">1461 GD Zuidoostbeemster </t>
  </si>
  <si>
    <t>S0.4</t>
  </si>
  <si>
    <t xml:space="preserve">Toiletruimte incl. voorruimte hr. </t>
  </si>
  <si>
    <t>Garderobe/portaal</t>
  </si>
  <si>
    <t>S0.6</t>
  </si>
  <si>
    <t xml:space="preserve">Toiletruimte incl. voorruimte ds. </t>
  </si>
  <si>
    <t>S0.8</t>
  </si>
  <si>
    <t xml:space="preserve">Was/kleedruimte </t>
  </si>
  <si>
    <t>S0.9 A</t>
  </si>
  <si>
    <t xml:space="preserve">Doucheruimte </t>
  </si>
  <si>
    <t>S0.9 B</t>
  </si>
  <si>
    <t>S0.10</t>
  </si>
  <si>
    <t xml:space="preserve">Toiletruimte </t>
  </si>
  <si>
    <t>1851 LR Heiloo</t>
  </si>
  <si>
    <t>Kanaalstraat 11</t>
  </si>
  <si>
    <t>RWZI Heiloo</t>
  </si>
  <si>
    <t>Magazijn betreft alleen wasbak</t>
  </si>
  <si>
    <t>Besturingsruimte/kantoor</t>
  </si>
  <si>
    <t>1474 HM Oosthuizen</t>
  </si>
  <si>
    <t>Beetsdijkje 2</t>
  </si>
  <si>
    <t>R3.1</t>
  </si>
  <si>
    <t>Buitenbordes/portaal</t>
  </si>
  <si>
    <t>Inloopmat</t>
  </si>
  <si>
    <t>R3.2</t>
  </si>
  <si>
    <t>R3.3</t>
  </si>
  <si>
    <t>R3.4</t>
  </si>
  <si>
    <t>Voorruimte toletten</t>
  </si>
  <si>
    <t>R3.5</t>
  </si>
  <si>
    <t>R3.6</t>
  </si>
  <si>
    <t>R3.7</t>
  </si>
  <si>
    <t>Vergaderzaal</t>
  </si>
  <si>
    <t>R3.8</t>
  </si>
  <si>
    <t>Hal / Portaal</t>
  </si>
  <si>
    <t>R3.9</t>
  </si>
  <si>
    <t>Staattegels</t>
  </si>
  <si>
    <t>R3.10</t>
  </si>
  <si>
    <t>Was/kleedruimte</t>
  </si>
  <si>
    <t>R3.11</t>
  </si>
  <si>
    <t>R3.12</t>
  </si>
  <si>
    <t>R3.13</t>
  </si>
  <si>
    <t>R3.14</t>
  </si>
  <si>
    <t>R3.15</t>
  </si>
  <si>
    <t>R3.16</t>
  </si>
  <si>
    <t>R3.17</t>
  </si>
  <si>
    <t>R3.18</t>
  </si>
  <si>
    <t>Schakelruimte/kantoor</t>
  </si>
  <si>
    <t>R3.19</t>
  </si>
  <si>
    <t>Buiten/Kantoor</t>
  </si>
  <si>
    <t>R3.20</t>
  </si>
  <si>
    <t>R3.21</t>
  </si>
  <si>
    <t>Pantry</t>
  </si>
  <si>
    <t>R3.22</t>
  </si>
  <si>
    <t>RWZI Wervershoof</t>
  </si>
  <si>
    <t>R7.1</t>
  </si>
  <si>
    <t>Entree/Pomphuis</t>
  </si>
  <si>
    <t>R4.1</t>
  </si>
  <si>
    <t>R5.1</t>
  </si>
  <si>
    <t>Entree/werkruimte</t>
  </si>
  <si>
    <t>R6.3</t>
  </si>
  <si>
    <t>Kantoor/schakelruimte</t>
  </si>
  <si>
    <t>1693 HC Wervershoof</t>
  </si>
  <si>
    <t>Ketellap 1</t>
  </si>
  <si>
    <t>Hal</t>
  </si>
  <si>
    <t>Technische ruimte</t>
  </si>
  <si>
    <t xml:space="preserve">Magazijnruimte </t>
  </si>
  <si>
    <t>Voorruimte/Kleedruimte</t>
  </si>
  <si>
    <t>0.10a</t>
  </si>
  <si>
    <t>0.10b</t>
  </si>
  <si>
    <t>0.10c</t>
  </si>
  <si>
    <t>0.10d</t>
  </si>
  <si>
    <t>Urinoir</t>
  </si>
  <si>
    <t>0.10e</t>
  </si>
  <si>
    <t>Garage</t>
  </si>
  <si>
    <t>RWZI Zaandam-Oost</t>
  </si>
  <si>
    <t>Poelenburg 46</t>
  </si>
  <si>
    <t>SDI Beverwijk Bedrijfsgebouw</t>
  </si>
  <si>
    <t>SDI  Beverwijk Sanitairgebouw</t>
  </si>
  <si>
    <t>Stalling/opslag</t>
  </si>
  <si>
    <t>Keuken</t>
  </si>
  <si>
    <t>Voorruimte toilet</t>
  </si>
  <si>
    <t>Loods</t>
  </si>
  <si>
    <t>Werf Anna Paulowna</t>
  </si>
  <si>
    <t>Van Ewijcksvaart 3a</t>
  </si>
  <si>
    <t>1761 JS Anna Paulowna</t>
  </si>
  <si>
    <t>Werf Dirkshorn</t>
  </si>
  <si>
    <t>C. de Vriesweg 11-13</t>
  </si>
  <si>
    <t>1746 CL Dirkshorn</t>
  </si>
  <si>
    <t>Meterkast</t>
  </si>
  <si>
    <t>Concentratieplek</t>
  </si>
  <si>
    <t>Onderhoudswerkplaats</t>
  </si>
  <si>
    <t>Oplag olie en vetten</t>
  </si>
  <si>
    <t>0.01C</t>
  </si>
  <si>
    <t>Sluis/portaal</t>
  </si>
  <si>
    <t>Facility corner</t>
  </si>
  <si>
    <t>Was/kleedr. Toiletten Hr.</t>
  </si>
  <si>
    <t>0.09 /0.13 Voorruimte Hr.</t>
  </si>
  <si>
    <t>Toilet Hr.</t>
  </si>
  <si>
    <t>Douche Hr.</t>
  </si>
  <si>
    <t>Miva/EHBO</t>
  </si>
  <si>
    <t>Wekkast</t>
  </si>
  <si>
    <t>Toilet Ds.</t>
  </si>
  <si>
    <t>Droogruimte</t>
  </si>
  <si>
    <t>Was/kleedr. Toiletten Ds.</t>
  </si>
  <si>
    <t>Kast-inbouw</t>
  </si>
  <si>
    <t>Opslagruimte</t>
  </si>
  <si>
    <t>Vloerplaat</t>
  </si>
  <si>
    <t>Cementdekvloer</t>
  </si>
  <si>
    <t>Epoxy troffelvloer</t>
  </si>
  <si>
    <t>Rubber</t>
  </si>
  <si>
    <t>PVC/Vinyl</t>
  </si>
  <si>
    <t>Werf Kwadijk</t>
  </si>
  <si>
    <t>Kwadijkerweg 3</t>
  </si>
  <si>
    <t>1461 DW Zuidoostbeemster</t>
  </si>
  <si>
    <t>Doorgang incl. Facility corner</t>
  </si>
  <si>
    <t xml:space="preserve">Gang </t>
  </si>
  <si>
    <t>Kantoorruimte opgedeeld</t>
  </si>
  <si>
    <t>Pvc/vinyl</t>
  </si>
  <si>
    <t>MIVA/EHBO</t>
  </si>
  <si>
    <t>Epoxy</t>
  </si>
  <si>
    <t>Voorruimte/urinoir  Hr.</t>
  </si>
  <si>
    <t>Toilet  Hr.</t>
  </si>
  <si>
    <t>Douche/kleedruimte Ds.</t>
  </si>
  <si>
    <t>0.12a</t>
  </si>
  <si>
    <t>Voorruimte toilet  Ds.</t>
  </si>
  <si>
    <t>0.12b</t>
  </si>
  <si>
    <t>Kleedruimte Hr.</t>
  </si>
  <si>
    <t>0.14a t/m e</t>
  </si>
  <si>
    <t>Voorruimte/Urinoirs  Hr.</t>
  </si>
  <si>
    <t>0.14b</t>
  </si>
  <si>
    <t xml:space="preserve">Toiletruimte   </t>
  </si>
  <si>
    <t>0.14c</t>
  </si>
  <si>
    <t>0.14d</t>
  </si>
  <si>
    <t>0.14e</t>
  </si>
  <si>
    <t>Werkkast schoonmaak</t>
  </si>
  <si>
    <t>ICT ruimte</t>
  </si>
  <si>
    <t>Magazijn werfbeheer</t>
  </si>
  <si>
    <t>Opslag olie en vetten</t>
  </si>
  <si>
    <t>Overige gebruiksruimte</t>
  </si>
  <si>
    <t>1686 PH Zwaag</t>
  </si>
  <si>
    <t>Zwaagdijk 390</t>
  </si>
  <si>
    <t>Werf Zwaagdijk</t>
  </si>
  <si>
    <t>0.001</t>
  </si>
  <si>
    <t>0.02/0.02a</t>
  </si>
  <si>
    <t>Hal &amp; Facility Corner</t>
  </si>
  <si>
    <t>Marmer</t>
  </si>
  <si>
    <t>Kantoorruimte</t>
  </si>
  <si>
    <t>Concentratiewerkplek</t>
  </si>
  <si>
    <t>Voorruimte toilet Hr</t>
  </si>
  <si>
    <t>Voorruimte toilet Ds</t>
  </si>
  <si>
    <t>Printer-plotterruimte</t>
  </si>
  <si>
    <t>Miva - EHBO - lactatie</t>
  </si>
  <si>
    <t xml:space="preserve">hal </t>
  </si>
  <si>
    <t>Kleedruimte Hr incl.2 douche</t>
  </si>
  <si>
    <t>Toiletruimte  Hr</t>
  </si>
  <si>
    <t>0.23A</t>
  </si>
  <si>
    <t>0.23B</t>
  </si>
  <si>
    <t>0.23C</t>
  </si>
  <si>
    <t>Toiletruimte werkplaats</t>
  </si>
  <si>
    <t>Bamboeparket</t>
  </si>
  <si>
    <t>Kantine/Keuken</t>
  </si>
  <si>
    <t>Pvc Vinyl</t>
  </si>
  <si>
    <t>Timmerwerkplaats</t>
  </si>
  <si>
    <t>Kantoor/magazijn</t>
  </si>
  <si>
    <t>Garage/werkplaats</t>
  </si>
  <si>
    <t>1775 QQ  Middenmeer</t>
  </si>
  <si>
    <t>Flevoweg 2</t>
  </si>
  <si>
    <t>RWZI Wieringermeer</t>
  </si>
  <si>
    <t>R2.1</t>
  </si>
  <si>
    <t>R2.2</t>
  </si>
  <si>
    <t>R2.3</t>
  </si>
  <si>
    <t>R2.4</t>
  </si>
  <si>
    <t>R2.5</t>
  </si>
  <si>
    <t>1755 LH Petten</t>
  </si>
  <si>
    <t>Strandweg 4</t>
  </si>
  <si>
    <t>Zand tegen Zee</t>
  </si>
  <si>
    <t>Schoonloopmat</t>
  </si>
  <si>
    <t>Hal/receptie</t>
  </si>
  <si>
    <t>Toilet Miva</t>
  </si>
  <si>
    <t>Tegrls</t>
  </si>
  <si>
    <t>Toilet Hr</t>
  </si>
  <si>
    <t>Toilet Ds</t>
  </si>
  <si>
    <t>Expositieruimte 2</t>
  </si>
  <si>
    <t>Trap naar 1e verd.</t>
  </si>
  <si>
    <t>Expositieruimte 1</t>
  </si>
  <si>
    <t>Zolder/Opslag</t>
  </si>
  <si>
    <t>Gemaal Krassekeet</t>
  </si>
  <si>
    <t>Pontweg 150</t>
  </si>
  <si>
    <t>RWZI Evertsekoog</t>
  </si>
  <si>
    <t>1796 MD  De Koog  (Texel)</t>
  </si>
  <si>
    <t>Stormwachtershuisje</t>
  </si>
  <si>
    <t>Gemaal Prins Hendrik</t>
  </si>
  <si>
    <t>Gemaal De Schans</t>
  </si>
  <si>
    <t>Gemaal Dijkmanshuizen</t>
  </si>
  <si>
    <t>Gemaal Eierland</t>
  </si>
  <si>
    <t>I.C.T ruimte</t>
  </si>
  <si>
    <t>Kleedruimte vuil</t>
  </si>
  <si>
    <t>Kleedruimte schoon</t>
  </si>
  <si>
    <t>C.V ruimte/werkkast</t>
  </si>
  <si>
    <t>inclusief Magazijn</t>
  </si>
  <si>
    <t>labruimte</t>
  </si>
  <si>
    <t>museum, gemeenschappelijke ruimte, bibliotheek</t>
  </si>
  <si>
    <t>pantry, keuken, koffiecorner</t>
  </si>
  <si>
    <t>UREN P/JR NALOOP</t>
  </si>
  <si>
    <t>Aantal stuks</t>
  </si>
  <si>
    <t>Prijs per stuk</t>
  </si>
  <si>
    <t>Totaal kosten</t>
  </si>
  <si>
    <t>Koelkasten reinigen</t>
  </si>
  <si>
    <r>
      <t>Automatische koppeling naar contractblad</t>
    </r>
    <r>
      <rPr>
        <i/>
        <sz val="14"/>
        <color rgb="FF424242"/>
        <rFont val="Verdana"/>
        <family val="2"/>
      </rPr>
      <t xml:space="preserve"> </t>
    </r>
    <r>
      <rPr>
        <i/>
        <sz val="24"/>
        <color theme="5" tint="-0.499984740745262"/>
        <rFont val="Verdana"/>
        <family val="2"/>
      </rPr>
      <t>➚</t>
    </r>
    <r>
      <rPr>
        <i/>
        <sz val="10"/>
        <color theme="5" tint="-0.499984740745262"/>
        <rFont val="Verdana"/>
        <family val="2"/>
      </rPr>
      <t xml:space="preserve">  </t>
    </r>
  </si>
  <si>
    <t xml:space="preserve">RWZI Katwoude </t>
  </si>
  <si>
    <t>RWZI Oosthuizen</t>
  </si>
  <si>
    <t>RWZI Alkmaar Bedrijfsgebouw</t>
  </si>
  <si>
    <t>ADDITIONELE KOSTEN</t>
  </si>
  <si>
    <t>INVESTERING MACHINE KOSTEN</t>
  </si>
  <si>
    <t>PRODUCTIE KOSTEN</t>
  </si>
  <si>
    <t>TOEZICHT KOSTEN</t>
  </si>
  <si>
    <t>KOSTEN AFRONDINGSUREN</t>
  </si>
  <si>
    <t>KOSTEN TOTAAL SCHOONMAAK</t>
  </si>
  <si>
    <t>MUTATIES VOLGENS TABBLAD 1.1c</t>
  </si>
  <si>
    <t>VERREKEND JA/NEE</t>
  </si>
  <si>
    <t>KOSTEN GLASBEWASSING</t>
  </si>
  <si>
    <t>TOTALE KOSTEN PER JAAR</t>
  </si>
  <si>
    <t>TOTAAL VLOEROPPERVLAK</t>
  </si>
  <si>
    <t>PRODUCTIE UREN PERIODIEK</t>
  </si>
  <si>
    <t>TOEZICHT UREN MA-VR</t>
  </si>
  <si>
    <t>PRODUCTIE UREN REGULIER MA - VR</t>
  </si>
  <si>
    <t>TOTAAL M2 GLAS</t>
  </si>
  <si>
    <t>Selecteer tarief toezicht</t>
  </si>
  <si>
    <t>Selecteer tarief uitvoerend</t>
  </si>
  <si>
    <t>Perceel 2</t>
  </si>
  <si>
    <t>Hetreinigen van de binnen-/ en buitenzijde koelkasten, inclusief de rubbers  (excl. vriesruimten) en verwijderen van artikelen over houdbaarheidsdatum</t>
  </si>
  <si>
    <t xml:space="preserve">Reinigen koelkasten </t>
  </si>
  <si>
    <t>Gemaal de Drieban in Venhuizen</t>
  </si>
  <si>
    <t>Gemaal Grootslag in Andijk</t>
  </si>
  <si>
    <t>Gemaal Oosterpolder in Hoorn</t>
  </si>
  <si>
    <t>Gemaal Vier Noorder Koggen in Wervershoof</t>
  </si>
  <si>
    <t>Gemaal Westerkogge in Scharwoude</t>
  </si>
  <si>
    <t>Gemaal Ursem in Ursem</t>
  </si>
  <si>
    <t>Gemaal C.Mantel</t>
  </si>
  <si>
    <t>Gemaal de Poel in Monnickendam</t>
  </si>
  <si>
    <t>Gemaal de Waker in Oostzaan</t>
  </si>
  <si>
    <t>Gemaal Jacobus Bouman in Beemster</t>
  </si>
  <si>
    <t>Gemaal Kadoelen in Amsterdam</t>
  </si>
  <si>
    <t>Gemaal Purmer Noord in Edam</t>
  </si>
  <si>
    <t>Gemaal Wijde Wormer in Wijde Wormer</t>
  </si>
  <si>
    <t>Gemaal Wouter Sluis in West-Beemster</t>
  </si>
  <si>
    <t>Gemaal Zeevang in Kwadijk</t>
  </si>
  <si>
    <t>Gemaal Geestmerambacht in Oudkarspel</t>
  </si>
  <si>
    <t>Gemaal Huygendijk in Heerhugowaard</t>
  </si>
  <si>
    <t>Gemaal de Boekel in Alkmaar</t>
  </si>
  <si>
    <t>Gemaal Grootdammerpolder in Schoorl</t>
  </si>
  <si>
    <t>Gemaal Meldijk in Uitgeest</t>
  </si>
  <si>
    <t>Gemaal Overtoom in Westzaan</t>
  </si>
  <si>
    <t>Gemaal Overtoom: vergadergebouw in Westzaan</t>
  </si>
  <si>
    <t>Gemaal Pieter Engel in Assendelft</t>
  </si>
  <si>
    <t>Gemaal Soeteboom in Zaandam</t>
  </si>
  <si>
    <t>Gemaal Zaangemaal in Zaandam</t>
  </si>
  <si>
    <t>Gemaal Veenpolder in Assendelft</t>
  </si>
  <si>
    <t>Gemaal Wijkermeer in Beverwijk</t>
  </si>
  <si>
    <t>Gemaal Willem Alexander in Driehuizen</t>
  </si>
  <si>
    <t>Gemaal Breebaart in Lutjewinkel</t>
  </si>
  <si>
    <t>Gemaal de Kampen in 't Veld</t>
  </si>
  <si>
    <t>Gemaal de Waakzaamheid, Lutjewinkel</t>
  </si>
  <si>
    <t>Gemaal Leemans in Wieringerwaard</t>
  </si>
  <si>
    <t>Gemaal Slootvaart in Slootdorp</t>
  </si>
  <si>
    <t>Gemaal de Helsdeur in Den Helder</t>
  </si>
  <si>
    <t>Gemaal Wijdenes Spaans in Anna Paulowna</t>
  </si>
  <si>
    <t>Gemaal Lely in Wieringerwerf</t>
  </si>
  <si>
    <t>Gemaal Schellinkhout</t>
  </si>
  <si>
    <t>Gemaal Obdam in Obdam</t>
  </si>
  <si>
    <t>Gemaal Kaagpolder (Ketelhuis)</t>
  </si>
  <si>
    <t>Gemaal Beetskoog in Oudendijk</t>
  </si>
  <si>
    <t>Gemaal Dijkgraaf W. De Boer in Spijkerboor</t>
  </si>
  <si>
    <t>Gemaal Krommenier Woudpolder</t>
  </si>
  <si>
    <t>Gemaal Volendam in Volendam</t>
  </si>
  <si>
    <t>Gemaal Warder in Warder</t>
  </si>
  <si>
    <t>Gemaal Woudmeer in Dirkshorn</t>
  </si>
  <si>
    <t>Gemaal Beatrix, Schermerhorn</t>
  </si>
  <si>
    <t>Gemaal Bergermeer in Alkmaar</t>
  </si>
  <si>
    <t>Gemaal Breelaan</t>
  </si>
  <si>
    <t>Gemaal de Rekere</t>
  </si>
  <si>
    <t>Gemaal Nauerna in Assendelft</t>
  </si>
  <si>
    <t>Gemaal Sammerspolder</t>
  </si>
  <si>
    <t>Gemaal Sint Aagtendijk</t>
  </si>
  <si>
    <t>Gemaal De Wadden</t>
  </si>
  <si>
    <t>Gemaal Westzanerpolder</t>
  </si>
  <si>
    <t>Gemaal Zaandammer</t>
  </si>
  <si>
    <t>Gemaal Nauernaschepolder</t>
  </si>
  <si>
    <t>Gemaal 't Leven 2 in Zaandijk</t>
  </si>
  <si>
    <t xml:space="preserve">Schulpstuw Akersloot </t>
  </si>
  <si>
    <t>Schulpstuw West-Graftdijk</t>
  </si>
  <si>
    <t>Gemaal Grootlimmerpolder-Noord</t>
  </si>
  <si>
    <t>Gemaal Binnengeester</t>
  </si>
  <si>
    <t>Gemaal Starnmeer in Starnmeer</t>
  </si>
  <si>
    <t>Gemaal de Leijen in Nieuwe Niedorp</t>
  </si>
  <si>
    <t>Gemaal Scheltinga/Winterberg in Kolhorn</t>
  </si>
  <si>
    <t xml:space="preserve">Gemaal Hoekvaart in Wieringerwerf </t>
  </si>
  <si>
    <t>Gemaal Schagerkogge in Kolhorn</t>
  </si>
  <si>
    <t>Gemaal Slootgaard in Waarland</t>
  </si>
  <si>
    <t>Gemaal Snevert in Schagen</t>
  </si>
  <si>
    <t>Gemaal Speketer in Waarland</t>
  </si>
  <si>
    <t>Gemaal 't Wad in Schagen</t>
  </si>
  <si>
    <t>Gemaal JC de Leeuw in Anna Paulowna</t>
  </si>
  <si>
    <t>Gemaal Z-Uit</t>
  </si>
  <si>
    <t>Gemaal 't Hoekje</t>
  </si>
  <si>
    <t>Gemaal Wieringerwaard (nieuw)</t>
  </si>
  <si>
    <t>Mutatiebericht</t>
  </si>
  <si>
    <t>Heerhugowaard</t>
  </si>
  <si>
    <t>buitenbordes</t>
  </si>
  <si>
    <t>Afronding van taak-uren</t>
  </si>
  <si>
    <t>Schacht</t>
  </si>
  <si>
    <t>Opslagvloer</t>
  </si>
  <si>
    <t>Stalling</t>
  </si>
  <si>
    <t>Opslag stoomcleaner</t>
  </si>
  <si>
    <t>R3.23</t>
  </si>
  <si>
    <t>26.1</t>
  </si>
  <si>
    <t>16.1</t>
  </si>
  <si>
    <t>23.1</t>
  </si>
  <si>
    <t>Toiletruimte buitengebouw</t>
  </si>
  <si>
    <t>Ja</t>
  </si>
  <si>
    <t>Wia basispremie</t>
  </si>
  <si>
    <t>WGA sectorpremie</t>
  </si>
  <si>
    <t>ZW-flex</t>
  </si>
  <si>
    <t>Totaal premie Whk</t>
  </si>
  <si>
    <t>Werkeloosheidswet (W.W.)</t>
  </si>
  <si>
    <t>SCHOONMAAKMEDEWERKERS</t>
  </si>
  <si>
    <t>TOEZICHTMEDEWERKERS</t>
  </si>
  <si>
    <t>GLAZENWASSERS</t>
  </si>
  <si>
    <t>Project gemiddelde</t>
  </si>
  <si>
    <t>Selecteer tarief glazenwasser</t>
  </si>
  <si>
    <t>deur</t>
  </si>
  <si>
    <t>samen met 10a</t>
  </si>
  <si>
    <t>0.14a t/m 0.14e</t>
  </si>
  <si>
    <t>geen echt bordes maar wel toegangsdeur</t>
  </si>
  <si>
    <t>0.22  t/m 0.23c samen gemeten</t>
  </si>
  <si>
    <t>samen met E1.10 t/m E1.10d</t>
  </si>
  <si>
    <t>Samen met 0.3</t>
  </si>
  <si>
    <t>Samen met 0.2</t>
  </si>
  <si>
    <t>PROGR. CODE ZA-ZO</t>
  </si>
  <si>
    <t>KENGETAL ZA-ZO</t>
  </si>
  <si>
    <t>2019.1</t>
  </si>
  <si>
    <t>Nieuwjaar</t>
  </si>
  <si>
    <t>JANUARI</t>
  </si>
  <si>
    <t>FEBRUARI</t>
  </si>
  <si>
    <t>2019.2</t>
  </si>
  <si>
    <t>Goede vrijdag</t>
  </si>
  <si>
    <t>M</t>
  </si>
  <si>
    <t>D</t>
  </si>
  <si>
    <t>W</t>
  </si>
  <si>
    <t>WERKDAGEN</t>
  </si>
  <si>
    <t>2019.3</t>
  </si>
  <si>
    <t>1e Paasdag</t>
  </si>
  <si>
    <t>2019.4</t>
  </si>
  <si>
    <t>2e Paasdag</t>
  </si>
  <si>
    <t>2019.5</t>
  </si>
  <si>
    <t>Koningsdag</t>
  </si>
  <si>
    <t>WEEKEND DAGEN</t>
  </si>
  <si>
    <t>2019.6</t>
  </si>
  <si>
    <t>Hemelvaartsdag</t>
  </si>
  <si>
    <t>2019.7</t>
  </si>
  <si>
    <t>1e Pinksterdag</t>
  </si>
  <si>
    <t>2019.8</t>
  </si>
  <si>
    <t>2e Pinksterdag</t>
  </si>
  <si>
    <t>FEESTDAGEN</t>
  </si>
  <si>
    <t>2019.9</t>
  </si>
  <si>
    <t>1e Kerstdag</t>
  </si>
  <si>
    <t>2019.10</t>
  </si>
  <si>
    <t>2e Kerstdag</t>
  </si>
  <si>
    <t>MAART</t>
  </si>
  <si>
    <t>APRIL</t>
  </si>
  <si>
    <t>2019.11</t>
  </si>
  <si>
    <t>.1</t>
  </si>
  <si>
    <t>.2</t>
  </si>
  <si>
    <t>2020.1</t>
  </si>
  <si>
    <t>.3</t>
  </si>
  <si>
    <t>2020.2</t>
  </si>
  <si>
    <t>.4</t>
  </si>
  <si>
    <t>2020.3</t>
  </si>
  <si>
    <t>.5</t>
  </si>
  <si>
    <t>2020.4</t>
  </si>
  <si>
    <t>.6</t>
  </si>
  <si>
    <t>2020.5</t>
  </si>
  <si>
    <t>.7</t>
  </si>
  <si>
    <t>2020.6</t>
  </si>
  <si>
    <t>Bevrijdingsdag</t>
  </si>
  <si>
    <t>.8</t>
  </si>
  <si>
    <t>2020.7</t>
  </si>
  <si>
    <t>MEI</t>
  </si>
  <si>
    <t>JUNI</t>
  </si>
  <si>
    <t>.9</t>
  </si>
  <si>
    <t>2020.8</t>
  </si>
  <si>
    <t>.10</t>
  </si>
  <si>
    <t>2020.9</t>
  </si>
  <si>
    <t>.11</t>
  </si>
  <si>
    <t>2020.10</t>
  </si>
  <si>
    <t>.12</t>
  </si>
  <si>
    <t>2020.11</t>
  </si>
  <si>
    <t>.13</t>
  </si>
  <si>
    <t>2021.1</t>
  </si>
  <si>
    <t>2021.2</t>
  </si>
  <si>
    <t>2021.3</t>
  </si>
  <si>
    <t>2021.4</t>
  </si>
  <si>
    <t>JULI</t>
  </si>
  <si>
    <t>AUGUSTUS</t>
  </si>
  <si>
    <t>2021.5</t>
  </si>
  <si>
    <t>2021.6</t>
  </si>
  <si>
    <t>2021.7</t>
  </si>
  <si>
    <t>2021.8</t>
  </si>
  <si>
    <t>2021.9</t>
  </si>
  <si>
    <t>2021.10</t>
  </si>
  <si>
    <t>2021.11</t>
  </si>
  <si>
    <t>2022.1</t>
  </si>
  <si>
    <t>SEPTEMBER</t>
  </si>
  <si>
    <t>OKTOBER</t>
  </si>
  <si>
    <t>2022.2</t>
  </si>
  <si>
    <t>2022.3</t>
  </si>
  <si>
    <t>2022.4</t>
  </si>
  <si>
    <t>2022.5</t>
  </si>
  <si>
    <t>2022.6</t>
  </si>
  <si>
    <t>2022.7</t>
  </si>
  <si>
    <t>2022.8</t>
  </si>
  <si>
    <t>2022.9</t>
  </si>
  <si>
    <t>2022.10</t>
  </si>
  <si>
    <t>NOVEMBER</t>
  </si>
  <si>
    <t>DECEMBER</t>
  </si>
  <si>
    <t>2022.11</t>
  </si>
  <si>
    <t>2023.1</t>
  </si>
  <si>
    <t>2023.2</t>
  </si>
  <si>
    <t>2023.3</t>
  </si>
  <si>
    <t>2023.4</t>
  </si>
  <si>
    <t>2023.5</t>
  </si>
  <si>
    <t>2023.6</t>
  </si>
  <si>
    <t>2023.7</t>
  </si>
  <si>
    <t>2023.8</t>
  </si>
  <si>
    <t>2023.9</t>
  </si>
  <si>
    <t>2023.10</t>
  </si>
  <si>
    <t>2023.11</t>
  </si>
  <si>
    <t>JAARKALENDER ZAND EN ZEE PETTEN</t>
  </si>
  <si>
    <t>Werkbare dagen</t>
  </si>
  <si>
    <t>Dins- t/m vrijdag</t>
  </si>
  <si>
    <t>Zater- en zondag</t>
  </si>
  <si>
    <t>Feestdagen</t>
  </si>
  <si>
    <t>Productie uren  weekend</t>
  </si>
  <si>
    <t>PRODUCTIE-UREN ZATERDAG - ZONDAG 06:00-21:30 uur</t>
  </si>
  <si>
    <t>Productie kosten ma-vr</t>
  </si>
  <si>
    <t>Productie kosten za-zo</t>
  </si>
  <si>
    <t>Spinbehandeling</t>
  </si>
  <si>
    <t>Het reinigen en inspuiten van glas, omlijsting en houtwerk in het voor-, en najaar. (In overleg welk product wordt gehanteerd)</t>
  </si>
  <si>
    <t>Uitvoering op dinsdag en donderdag</t>
  </si>
  <si>
    <t>Uitvoering op dinsdag</t>
  </si>
  <si>
    <t>uitvoering op dinsdag en donderdag</t>
  </si>
  <si>
    <t>Uitvoering op woensdag</t>
  </si>
  <si>
    <t>Uitvoering oneven weken op woensdag</t>
  </si>
  <si>
    <t>Uitvoering op maandag</t>
  </si>
  <si>
    <t>Uitvoering op maandag, woensdag en vrijdag</t>
  </si>
  <si>
    <t>Wagenweg 11</t>
  </si>
  <si>
    <t>1145 PW Katwoude</t>
  </si>
  <si>
    <t>Gemaal Jisperveldstraat in Amsterdam</t>
  </si>
  <si>
    <t>Gemaal Schellingwouderbreek in Amsterdam</t>
  </si>
  <si>
    <t>Gemaal Elzenhage in Amsterdam</t>
  </si>
  <si>
    <t>Gemaal de Koog</t>
  </si>
  <si>
    <t>Gemaal Overwhere</t>
  </si>
  <si>
    <t>Gemaal de Gors</t>
  </si>
  <si>
    <t>Basisuurloon per 1juli 2020</t>
  </si>
  <si>
    <r>
      <t xml:space="preserve">Totaal uren glasbewassing gekoppeld aan tabblad </t>
    </r>
    <r>
      <rPr>
        <b/>
        <sz val="10"/>
        <color indexed="63"/>
        <rFont val="Verdana"/>
        <family val="2"/>
      </rPr>
      <t>1.0-Contractblad : Cel G94</t>
    </r>
  </si>
  <si>
    <t>Hoogheemraadschap Hollands Noorderkwartier Perceel 2</t>
  </si>
  <si>
    <t>V1 12-mrt-2020</t>
  </si>
  <si>
    <t>B</t>
  </si>
  <si>
    <t>Woensdag t/m maandag</t>
  </si>
  <si>
    <t>Totaal eindtarief [incl. 30% toeslag]</t>
  </si>
  <si>
    <t>Totaal eindtarief [incl. 50% toeslag]</t>
  </si>
  <si>
    <t>Totaal eindtarief  [incl. 150% toeslag]</t>
  </si>
  <si>
    <t>Productie uren  regulier ma t/m vr</t>
  </si>
  <si>
    <t>Maand- woens-, t/m 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</si>
</sst>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3" formatCode="_(* #,##0.00_);_(* \(#,##0.00\);_(* &quot;-&quot;??_);_(@_)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€&quot;* #,##0.00_);_(&quot;€&quot;* \(#,##0.00\);_(&quot;€&quot;* &quot;-&quot;??_);_(@_)"/>
    <numFmt numFmtId="168" formatCode="_(&quot;ƒ&quot;* #,##0.00_);_(&quot;ƒ&quot;* \(#,##0.00\);_(&quot;ƒ&quot;* &quot;-&quot;??_);_(@_)"/>
    <numFmt numFmtId="169" formatCode="_-* #,##0.00_-;\-* #,##0.00_-;_-* &quot;-&quot;??_-;_-@_-"/>
    <numFmt numFmtId="170" formatCode="&quot;Fl.&quot;#,##0;\-&quot;Fl.&quot;#,##0"/>
    <numFmt numFmtId="171" formatCode="&quot;Fl.&quot;#,##0;[Red]\-&quot;Fl.&quot;#,##0"/>
    <numFmt numFmtId="172" formatCode="_-&quot;ƒ&quot;\ * #,##0.00_-;_-&quot;ƒ&quot;\ * #,##0.00\-;_-&quot;ƒ&quot;\ * &quot;-&quot;??_-;_-@_-"/>
    <numFmt numFmtId="173" formatCode="0_)"/>
    <numFmt numFmtId="174" formatCode="General_)"/>
    <numFmt numFmtId="175" formatCode="0.00_)"/>
    <numFmt numFmtId="176" formatCode="0.000"/>
    <numFmt numFmtId="177" formatCode="_-* #,##0_-;_-* #,##0\-;_-* &quot;-&quot;??_-;_-@_-"/>
    <numFmt numFmtId="178" formatCode="00,000"/>
    <numFmt numFmtId="179" formatCode="0.0%"/>
    <numFmt numFmtId="180" formatCode="0.0"/>
    <numFmt numFmtId="181" formatCode="#,##0.0"/>
    <numFmt numFmtId="182" formatCode="_-* #,##0.000_-;_-* #,##0.000\-;_-* &quot;-&quot;??_-;_-@_-"/>
    <numFmt numFmtId="183" formatCode="0.000%"/>
    <numFmt numFmtId="184" formatCode="_-[$€-2]\ * #,##0.00_ ;_-[$€-2]\ * \-#,##0.00\ ;_-[$€-2]\ * &quot;-&quot;??_ ;_-@_ "/>
    <numFmt numFmtId="185" formatCode="_([$€-2]\ * #,##0.00_);_([$€-2]\ * \(#,##0.00\);_([$€-2]\ * &quot;-&quot;??_);_(@_)"/>
    <numFmt numFmtId="186" formatCode="#,000"/>
    <numFmt numFmtId="187" formatCode="_-[$€-2]\ * #,##0.00_-;_-[$€-2]\ * #,##0.00\-;_-[$€-2]\ * &quot;-&quot;??_-;_-@_-"/>
    <numFmt numFmtId="188" formatCode="mm/dd/yyyy"/>
    <numFmt numFmtId="189" formatCode="[$-413]d\-mmm\-yy;@"/>
    <numFmt numFmtId="190" formatCode="0.0000000%"/>
    <numFmt numFmtId="191" formatCode="0\ &quot;x per jaar&quot;"/>
    <numFmt numFmtId="192" formatCode="_-[$€-413]\ * #,##0.00_-;_-[$€-413]\ * #,##0.00\-;_-[$€-413]\ * &quot;-&quot;??_-;_-@_-"/>
    <numFmt numFmtId="193" formatCode="[$-413]d/mmm/yy;@"/>
    <numFmt numFmtId="194" formatCode="dd/mmmm/yyyy"/>
    <numFmt numFmtId="195" formatCode="[$-413]dd/mmm/yy;@"/>
    <numFmt numFmtId="196" formatCode="&quot;fl&quot;\ #,##0_-;[Red]&quot;fl&quot;\ #,##0\-"/>
    <numFmt numFmtId="197" formatCode="_-[$€]\ * #,##0.00_-;_-[$€]\ * #,##0.00\-;_-[$€]\ * &quot;-&quot;??_-;_-@_-"/>
    <numFmt numFmtId="198" formatCode="_([$€]\ * #,##0.00_);_([$€]\ * \(#,##0.00\);_([$€]\ * &quot;-&quot;??_);_(@_)"/>
    <numFmt numFmtId="199" formatCode="_-&quot;fl&quot;\ * #,##0.00_-;_-&quot;fl&quot;\ * #,##0.00\-;_-&quot;fl&quot;\ * &quot;-&quot;??_-;_-@_-"/>
    <numFmt numFmtId="200" formatCode="_ [$€-413]\ * #,##0.00_ ;_ [$€-413]\ * \-#,##0.00_ ;_ [$€-413]\ * &quot;-&quot;??_ ;_ @_ "/>
    <numFmt numFmtId="201" formatCode="00"/>
    <numFmt numFmtId="202" formatCode="yyyy/mm/dd;@"/>
    <numFmt numFmtId="203" formatCode="0.00000"/>
    <numFmt numFmtId="204" formatCode="0.0000"/>
    <numFmt numFmtId="205" formatCode="d"/>
    <numFmt numFmtId="206" formatCode="dddd"/>
  </numFmts>
  <fonts count="136">
    <font>
      <sz val="10"/>
      <name val="MS Sans Serif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Times New Roman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b/>
      <sz val="10"/>
      <name val="MS Sans Serif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12"/>
      <name val="Times"/>
      <family val="1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0"/>
      <color indexed="9"/>
      <name val="Verdana"/>
      <family val="2"/>
    </font>
    <font>
      <sz val="12"/>
      <color indexed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sz val="9"/>
      <color indexed="63"/>
      <name val="Verdana"/>
      <family val="2"/>
    </font>
    <font>
      <sz val="10"/>
      <color indexed="63"/>
      <name val="MS Sans Serif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Verdana"/>
      <family val="2"/>
    </font>
    <font>
      <b/>
      <i/>
      <sz val="10"/>
      <color indexed="63"/>
      <name val="Verdana"/>
      <family val="2"/>
    </font>
    <font>
      <b/>
      <sz val="10"/>
      <color indexed="10"/>
      <name val="Verdana"/>
      <family val="2"/>
    </font>
    <font>
      <sz val="9"/>
      <name val="Verdana"/>
      <family val="2"/>
    </font>
    <font>
      <b/>
      <sz val="16"/>
      <name val="Verdana"/>
      <family val="2"/>
    </font>
    <font>
      <b/>
      <sz val="9"/>
      <color indexed="63"/>
      <name val="Verdana"/>
      <family val="2"/>
    </font>
    <font>
      <b/>
      <sz val="14"/>
      <name val="Verdana"/>
      <family val="2"/>
    </font>
    <font>
      <b/>
      <sz val="12"/>
      <color theme="1" tint="4.9989318521683403E-2"/>
      <name val="Verdana"/>
      <family val="2"/>
    </font>
    <font>
      <sz val="12"/>
      <color theme="1" tint="4.9989318521683403E-2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theme="0" tint="-0.499984740745262"/>
      <name val="MS Sans Serif"/>
      <family val="2"/>
    </font>
    <font>
      <sz val="10"/>
      <color theme="0" tint="-0.499984740745262"/>
      <name val="Verdana"/>
      <family val="2"/>
    </font>
    <font>
      <sz val="10"/>
      <color theme="1" tint="4.9989318521683403E-2"/>
      <name val="MS Sans Serif"/>
      <family val="2"/>
    </font>
    <font>
      <b/>
      <i/>
      <sz val="10"/>
      <color theme="1" tint="4.9989318521683403E-2"/>
      <name val="Verdana"/>
      <family val="2"/>
    </font>
    <font>
      <sz val="9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color rgb="FF424242"/>
      <name val="Verdana"/>
      <family val="2"/>
    </font>
    <font>
      <i/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10"/>
      <color rgb="FFFF0000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b/>
      <i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Times New Roman"/>
      <family val="2"/>
      <scheme val="minor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indexed="63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Times New Roman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10"/>
      <color theme="2" tint="-0.499984740745262"/>
      <name val="Verdana"/>
      <family val="2"/>
    </font>
    <font>
      <sz val="9"/>
      <color theme="2" tint="-0.499984740745262"/>
      <name val="Verdana"/>
      <family val="2"/>
    </font>
    <font>
      <sz val="10"/>
      <color theme="2" tint="-0.499984740745262"/>
      <name val="MS Sans Serif"/>
      <family val="2"/>
    </font>
    <font>
      <sz val="6"/>
      <color theme="2" tint="-0.499984740745262"/>
      <name val="Verdana"/>
      <family val="2"/>
    </font>
    <font>
      <b/>
      <sz val="10"/>
      <color rgb="FFFF0000"/>
      <name val="Verdana"/>
      <family val="2"/>
    </font>
    <font>
      <sz val="10"/>
      <color theme="2"/>
      <name val="MS Sans Serif"/>
    </font>
    <font>
      <b/>
      <sz val="10"/>
      <color theme="2"/>
      <name val="MS Sans Serif"/>
      <family val="2"/>
    </font>
    <font>
      <b/>
      <sz val="10"/>
      <color theme="2"/>
      <name val="MS Sans Serif"/>
    </font>
    <font>
      <b/>
      <sz val="22"/>
      <color rgb="FFFF0000"/>
      <name val="Verdana"/>
      <family val="2"/>
    </font>
    <font>
      <sz val="11"/>
      <name val="Verdana"/>
      <family val="2"/>
    </font>
    <font>
      <b/>
      <sz val="10"/>
      <color theme="2" tint="0.79998168889431442"/>
      <name val="Verdana"/>
      <family val="2"/>
    </font>
    <font>
      <b/>
      <sz val="10"/>
      <color theme="2" tint="0.79998168889431442"/>
      <name val="MS Sans Serif"/>
      <family val="2"/>
    </font>
    <font>
      <b/>
      <sz val="14"/>
      <color rgb="FFFF0000"/>
      <name val="Verdana"/>
      <family val="2"/>
    </font>
    <font>
      <i/>
      <sz val="10"/>
      <color theme="1"/>
      <name val="Verdana"/>
      <family val="2"/>
    </font>
    <font>
      <b/>
      <sz val="14"/>
      <color indexed="63"/>
      <name val="Verdana"/>
      <family val="2"/>
    </font>
    <font>
      <i/>
      <sz val="14"/>
      <color rgb="FF424242"/>
      <name val="Verdana"/>
      <family val="2"/>
    </font>
    <font>
      <i/>
      <sz val="24"/>
      <color theme="5" tint="-0.499984740745262"/>
      <name val="Verdana"/>
      <family val="2"/>
    </font>
    <font>
      <i/>
      <sz val="10"/>
      <color theme="5" tint="-0.499984740745262"/>
      <name val="Verdana"/>
      <family val="2"/>
    </font>
    <font>
      <sz val="11"/>
      <color theme="1"/>
      <name val="Verdana"/>
      <family val="2"/>
    </font>
    <font>
      <sz val="10"/>
      <color theme="2"/>
      <name val="MS Sans Serif"/>
      <family val="2"/>
    </font>
    <font>
      <b/>
      <i/>
      <sz val="9"/>
      <name val="Verdana"/>
      <family val="2"/>
    </font>
    <font>
      <sz val="8"/>
      <color theme="1"/>
      <name val="Times New Roman"/>
      <family val="2"/>
      <scheme val="minor"/>
    </font>
    <font>
      <b/>
      <sz val="18"/>
      <color theme="1"/>
      <name val="Verdana"/>
      <family val="2"/>
    </font>
    <font>
      <b/>
      <sz val="10"/>
      <color theme="1" tint="0.249977111117893"/>
      <name val="Verdana"/>
      <family val="2"/>
    </font>
    <font>
      <b/>
      <sz val="10"/>
      <color theme="0" tint="-0.249977111117893"/>
      <name val="Verdana"/>
      <family val="2"/>
    </font>
    <font>
      <b/>
      <sz val="10"/>
      <color theme="3" tint="-0.249977111117893"/>
      <name val="Verdana"/>
      <family val="2"/>
    </font>
    <font>
      <sz val="10"/>
      <name val="MS Sans Serif"/>
      <family val="2"/>
    </font>
    <font>
      <sz val="10"/>
      <color theme="8"/>
      <name val="Verdana"/>
      <family val="2"/>
    </font>
    <font>
      <sz val="10"/>
      <color theme="1" tint="0.249977111117893"/>
      <name val="Verdana"/>
      <family val="2"/>
    </font>
    <font>
      <sz val="10"/>
      <color theme="1" tint="0.14999847407452621"/>
      <name val="Verdana"/>
      <family val="2"/>
    </font>
    <font>
      <sz val="13"/>
      <color rgb="FF333333"/>
      <name val="Verdana"/>
      <family val="2"/>
    </font>
    <font>
      <sz val="12"/>
      <color rgb="FF333333"/>
      <name val="Courier New"/>
      <family val="1"/>
    </font>
    <font>
      <b/>
      <sz val="10"/>
      <color theme="1" tint="0.14999847407452621"/>
      <name val="Verdana"/>
      <family val="2"/>
    </font>
    <font>
      <b/>
      <sz val="9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DFBFA"/>
      <name val="Verdana"/>
      <family val="2"/>
    </font>
    <font>
      <sz val="10"/>
      <color rgb="FFFDFBFA"/>
      <name val="MS Sans Serif"/>
    </font>
    <font>
      <b/>
      <sz val="10"/>
      <color rgb="FFFDFBFA"/>
      <name val="Verdana"/>
      <family val="2"/>
    </font>
    <font>
      <b/>
      <sz val="10"/>
      <color rgb="FFFDFBFA"/>
      <name val="MS Sans Serif"/>
      <family val="2"/>
    </font>
  </fonts>
  <fills count="4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0DDB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249977111117893"/>
        <bgColor indexed="64"/>
      </patternFill>
    </fill>
  </fills>
  <borders count="10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ck">
        <color theme="0" tint="-0.34998626667073579"/>
      </right>
      <top style="thin">
        <color theme="0" tint="-0.14999847407452621"/>
      </top>
      <bottom style="thick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5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/>
      <diagonal/>
    </border>
  </borders>
  <cellStyleXfs count="3333">
    <xf numFmtId="0" fontId="0" fillId="0" borderId="0"/>
    <xf numFmtId="0" fontId="34" fillId="3" borderId="1" applyNumberFormat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6" fillId="0" borderId="0" applyFont="0" applyFill="0" applyBorder="0" applyAlignment="0" applyProtection="0"/>
    <xf numFmtId="171" fontId="18" fillId="0" borderId="0"/>
    <xf numFmtId="0" fontId="35" fillId="0" borderId="2" applyNumberFormat="0" applyFill="0" applyAlignment="0" applyProtection="0"/>
    <xf numFmtId="0" fontId="36" fillId="2" borderId="0" applyNumberFormat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7" fillId="6" borderId="0"/>
    <xf numFmtId="166" fontId="38" fillId="0" borderId="0">
      <alignment horizontal="center" vertical="center" textRotation="90" wrapText="1"/>
    </xf>
    <xf numFmtId="0" fontId="39" fillId="5" borderId="3"/>
    <xf numFmtId="170" fontId="18" fillId="0" borderId="0"/>
    <xf numFmtId="0" fontId="40" fillId="4" borderId="0" applyNumberFormat="0" applyBorder="0" applyAlignment="0" applyProtection="0"/>
    <xf numFmtId="0" fontId="9" fillId="0" borderId="0"/>
    <xf numFmtId="0" fontId="15" fillId="0" borderId="0"/>
    <xf numFmtId="0" fontId="10" fillId="0" borderId="0"/>
    <xf numFmtId="0" fontId="9" fillId="0" borderId="0"/>
    <xf numFmtId="0" fontId="8" fillId="0" borderId="0"/>
    <xf numFmtId="0" fontId="18" fillId="0" borderId="0"/>
    <xf numFmtId="0" fontId="16" fillId="0" borderId="0"/>
    <xf numFmtId="0" fontId="8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9" fontId="8" fillId="0" borderId="0" applyFont="0" applyFill="0" applyBorder="0" applyAlignment="0" applyProtection="0"/>
    <xf numFmtId="0" fontId="39" fillId="7" borderId="4" applyNumberFormat="0" applyFont="0" applyBorder="0">
      <alignment horizontal="center"/>
    </xf>
    <xf numFmtId="0" fontId="9" fillId="0" borderId="0"/>
    <xf numFmtId="0" fontId="41" fillId="0" borderId="0" applyNumberFormat="0" applyFill="0" applyBorder="0" applyAlignment="0" applyProtection="0"/>
    <xf numFmtId="0" fontId="42" fillId="0" borderId="5" applyNumberFormat="0" applyFill="0" applyAlignment="0" applyProtection="0"/>
    <xf numFmtId="172" fontId="8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4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2" borderId="0" applyNumberFormat="0" applyBorder="0" applyAlignment="0" applyProtection="0"/>
    <xf numFmtId="0" fontId="78" fillId="17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78" fillId="22" borderId="0" applyNumberFormat="0" applyBorder="0" applyAlignment="0" applyProtection="0"/>
    <xf numFmtId="0" fontId="78" fillId="17" borderId="0" applyNumberFormat="0" applyBorder="0" applyAlignment="0" applyProtection="0"/>
    <xf numFmtId="0" fontId="78" fillId="20" borderId="0" applyNumberFormat="0" applyBorder="0" applyAlignment="0" applyProtection="0"/>
    <xf numFmtId="0" fontId="78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31" borderId="0" applyNumberFormat="0" applyBorder="0" applyAlignment="0" applyProtection="0"/>
    <xf numFmtId="0" fontId="80" fillId="16" borderId="0" applyNumberFormat="0" applyBorder="0" applyAlignment="0" applyProtection="0"/>
    <xf numFmtId="0" fontId="34" fillId="3" borderId="1" applyNumberFormat="0" applyAlignment="0" applyProtection="0"/>
    <xf numFmtId="0" fontId="34" fillId="32" borderId="1" applyNumberFormat="0" applyAlignment="0" applyProtection="0"/>
    <xf numFmtId="0" fontId="81" fillId="33" borderId="38" applyNumberFormat="0" applyAlignment="0" applyProtection="0"/>
    <xf numFmtId="38" fontId="8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1" fillId="33" borderId="38" applyNumberFormat="0" applyAlignment="0" applyProtection="0"/>
    <xf numFmtId="196" fontId="82" fillId="0" borderId="0" applyFont="0" applyFill="0" applyBorder="0" applyAlignment="0" applyProtection="0"/>
    <xf numFmtId="165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35" fillId="0" borderId="2" applyNumberFormat="0" applyFill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85" fillId="0" borderId="39" applyNumberFormat="0" applyFill="0" applyAlignment="0" applyProtection="0"/>
    <xf numFmtId="0" fontId="86" fillId="0" borderId="40" applyNumberFormat="0" applyFill="0" applyAlignment="0" applyProtection="0"/>
    <xf numFmtId="0" fontId="87" fillId="0" borderId="4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9" fillId="4" borderId="1" applyNumberFormat="0" applyAlignment="0" applyProtection="0"/>
    <xf numFmtId="0" fontId="89" fillId="19" borderId="1" applyNumberFormat="0" applyAlignment="0" applyProtection="0"/>
    <xf numFmtId="166" fontId="6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90" fillId="0" borderId="42" applyNumberFormat="0" applyFill="0" applyAlignment="0" applyProtection="0"/>
    <xf numFmtId="0" fontId="91" fillId="0" borderId="40" applyNumberFormat="0" applyFill="0" applyAlignment="0" applyProtection="0"/>
    <xf numFmtId="0" fontId="92" fillId="0" borderId="43" applyNumberFormat="0" applyFill="0" applyAlignment="0" applyProtection="0"/>
    <xf numFmtId="0" fontId="92" fillId="0" borderId="0" applyNumberFormat="0" applyFill="0" applyBorder="0" applyAlignment="0" applyProtection="0"/>
    <xf numFmtId="0" fontId="35" fillId="0" borderId="2" applyNumberFormat="0" applyFill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6" fillId="0" borderId="0"/>
    <xf numFmtId="0" fontId="11" fillId="34" borderId="44" applyNumberFormat="0" applyFont="0" applyAlignment="0" applyProtection="0"/>
    <xf numFmtId="0" fontId="11" fillId="34" borderId="44" applyNumberFormat="0" applyFont="0" applyAlignment="0" applyProtection="0"/>
    <xf numFmtId="0" fontId="8" fillId="34" borderId="44" applyNumberFormat="0" applyFont="0" applyAlignment="0" applyProtection="0"/>
    <xf numFmtId="0" fontId="11" fillId="34" borderId="44" applyNumberFormat="0" applyFont="0" applyAlignment="0" applyProtection="0"/>
    <xf numFmtId="0" fontId="80" fillId="16" borderId="0" applyNumberFormat="0" applyBorder="0" applyAlignment="0" applyProtection="0"/>
    <xf numFmtId="0" fontId="93" fillId="32" borderId="45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4" fillId="0" borderId="0"/>
    <xf numFmtId="0" fontId="11" fillId="0" borderId="0"/>
    <xf numFmtId="0" fontId="9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1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2" fillId="0" borderId="5" applyNumberFormat="0" applyFill="0" applyAlignment="0" applyProtection="0"/>
    <xf numFmtId="0" fontId="42" fillId="0" borderId="46" applyNumberFormat="0" applyFill="0" applyAlignment="0" applyProtection="0"/>
    <xf numFmtId="0" fontId="93" fillId="3" borderId="45" applyNumberFormat="0" applyAlignment="0" applyProtection="0"/>
    <xf numFmtId="199" fontId="11" fillId="0" borderId="0" applyFont="0" applyFill="0" applyBorder="0" applyAlignment="0" applyProtection="0"/>
    <xf numFmtId="199" fontId="11" fillId="0" borderId="0" applyFont="0" applyFill="0" applyBorder="0" applyAlignment="0" applyProtection="0"/>
    <xf numFmtId="199" fontId="11" fillId="0" borderId="0" applyFont="0" applyFill="0" applyBorder="0" applyAlignment="0" applyProtection="0"/>
    <xf numFmtId="199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" fillId="0" borderId="0"/>
    <xf numFmtId="0" fontId="8" fillId="0" borderId="0"/>
    <xf numFmtId="0" fontId="118" fillId="0" borderId="0"/>
    <xf numFmtId="0" fontId="123" fillId="0" borderId="0"/>
  </cellStyleXfs>
  <cellXfs count="938">
    <xf numFmtId="0" fontId="0" fillId="0" borderId="0" xfId="0"/>
    <xf numFmtId="0" fontId="18" fillId="0" borderId="0" xfId="0" applyFont="1"/>
    <xf numFmtId="0" fontId="18" fillId="0" borderId="0" xfId="0" applyFont="1" applyFill="1" applyBorder="1" applyAlignment="1">
      <alignment vertical="center"/>
    </xf>
    <xf numFmtId="0" fontId="25" fillId="0" borderId="0" xfId="20" applyFont="1" applyFill="1" applyBorder="1" applyAlignment="1"/>
    <xf numFmtId="0" fontId="26" fillId="0" borderId="0" xfId="20" applyFont="1" applyFill="1" applyAlignment="1"/>
    <xf numFmtId="49" fontId="26" fillId="0" borderId="0" xfId="17" applyNumberFormat="1" applyFont="1" applyFill="1" applyBorder="1" applyAlignment="1" applyProtection="1">
      <alignment horizontal="left" vertical="top"/>
      <protection hidden="1"/>
    </xf>
    <xf numFmtId="49" fontId="27" fillId="0" borderId="0" xfId="20" applyNumberFormat="1" applyFont="1" applyFill="1" applyBorder="1" applyAlignment="1"/>
    <xf numFmtId="2" fontId="28" fillId="0" borderId="0" xfId="20" applyNumberFormat="1" applyFont="1" applyFill="1" applyBorder="1" applyAlignment="1"/>
    <xf numFmtId="2" fontId="28" fillId="0" borderId="0" xfId="20" applyNumberFormat="1" applyFont="1" applyFill="1" applyAlignment="1"/>
    <xf numFmtId="2" fontId="27" fillId="0" borderId="0" xfId="20" applyNumberFormat="1" applyFont="1" applyFill="1" applyAlignment="1"/>
    <xf numFmtId="0" fontId="28" fillId="0" borderId="0" xfId="20" applyFont="1" applyFill="1" applyAlignment="1"/>
    <xf numFmtId="49" fontId="26" fillId="0" borderId="0" xfId="20" applyNumberFormat="1" applyFont="1" applyFill="1" applyBorder="1" applyAlignment="1"/>
    <xf numFmtId="177" fontId="26" fillId="0" borderId="0" xfId="17" applyNumberFormat="1" applyFont="1" applyFill="1" applyBorder="1" applyAlignment="1" applyProtection="1">
      <alignment horizontal="left" vertical="top"/>
      <protection hidden="1"/>
    </xf>
    <xf numFmtId="49" fontId="26" fillId="0" borderId="0" xfId="17" applyNumberFormat="1" applyFont="1" applyFill="1" applyBorder="1" applyAlignment="1" applyProtection="1">
      <alignment horizontal="left"/>
      <protection hidden="1"/>
    </xf>
    <xf numFmtId="1" fontId="26" fillId="0" borderId="0" xfId="2" applyNumberFormat="1" applyFont="1" applyFill="1" applyAlignment="1">
      <alignment horizontal="center"/>
    </xf>
    <xf numFmtId="184" fontId="26" fillId="0" borderId="0" xfId="5" applyNumberFormat="1" applyFont="1" applyFill="1" applyAlignment="1"/>
    <xf numFmtId="184" fontId="26" fillId="0" borderId="0" xfId="5" applyNumberFormat="1" applyFont="1" applyFill="1" applyAlignment="1">
      <alignment horizontal="right"/>
    </xf>
    <xf numFmtId="43" fontId="26" fillId="0" borderId="0" xfId="20" applyNumberFormat="1" applyFont="1" applyFill="1" applyAlignment="1"/>
    <xf numFmtId="184" fontId="26" fillId="0" borderId="6" xfId="5" applyNumberFormat="1" applyFont="1" applyFill="1" applyBorder="1" applyAlignment="1">
      <alignment horizontal="right"/>
    </xf>
    <xf numFmtId="49" fontId="25" fillId="0" borderId="0" xfId="17" applyNumberFormat="1" applyFont="1" applyFill="1" applyBorder="1" applyAlignment="1" applyProtection="1">
      <alignment horizontal="left"/>
      <protection hidden="1"/>
    </xf>
    <xf numFmtId="179" fontId="25" fillId="0" borderId="0" xfId="17" applyNumberFormat="1" applyFont="1" applyFill="1" applyBorder="1" applyAlignment="1" applyProtection="1">
      <alignment horizontal="center"/>
      <protection hidden="1"/>
    </xf>
    <xf numFmtId="43" fontId="25" fillId="0" borderId="0" xfId="2" applyFont="1" applyFill="1" applyBorder="1" applyAlignment="1" applyProtection="1">
      <alignment horizontal="left"/>
      <protection hidden="1"/>
    </xf>
    <xf numFmtId="0" fontId="25" fillId="0" borderId="0" xfId="17" applyNumberFormat="1" applyFont="1" applyFill="1" applyBorder="1" applyAlignment="1" applyProtection="1">
      <alignment horizontal="left"/>
      <protection hidden="1"/>
    </xf>
    <xf numFmtId="184" fontId="25" fillId="0" borderId="0" xfId="17" applyNumberFormat="1" applyFont="1" applyFill="1" applyBorder="1" applyAlignment="1" applyProtection="1">
      <alignment horizontal="left"/>
      <protection hidden="1"/>
    </xf>
    <xf numFmtId="0" fontId="26" fillId="0" borderId="0" xfId="17" applyFont="1" applyFill="1" applyBorder="1" applyAlignment="1" applyProtection="1">
      <alignment horizontal="left"/>
      <protection hidden="1"/>
    </xf>
    <xf numFmtId="179" fontId="25" fillId="0" borderId="0" xfId="29" applyNumberFormat="1" applyFont="1" applyFill="1" applyBorder="1" applyAlignment="1" applyProtection="1">
      <alignment horizontal="center"/>
      <protection hidden="1"/>
    </xf>
    <xf numFmtId="185" fontId="26" fillId="0" borderId="0" xfId="20" applyNumberFormat="1" applyFont="1" applyFill="1" applyAlignment="1"/>
    <xf numFmtId="49" fontId="25" fillId="0" borderId="0" xfId="20" applyNumberFormat="1" applyFont="1" applyFill="1" applyBorder="1" applyAlignment="1"/>
    <xf numFmtId="0" fontId="26" fillId="0" borderId="0" xfId="20" applyFont="1" applyFill="1" applyAlignment="1">
      <alignment horizontal="right"/>
    </xf>
    <xf numFmtId="10" fontId="26" fillId="0" borderId="0" xfId="20" applyNumberFormat="1" applyFont="1" applyFill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20" applyFont="1" applyFill="1" applyAlignment="1">
      <alignment vertical="center"/>
    </xf>
    <xf numFmtId="1" fontId="26" fillId="0" borderId="0" xfId="31" applyNumberFormat="1" applyFont="1" applyAlignment="1">
      <alignment horizontal="center"/>
    </xf>
    <xf numFmtId="166" fontId="26" fillId="0" borderId="0" xfId="10" applyFont="1" applyAlignment="1">
      <alignment horizontal="left"/>
    </xf>
    <xf numFmtId="176" fontId="26" fillId="0" borderId="0" xfId="31" applyNumberFormat="1" applyFont="1" applyAlignment="1">
      <alignment horizontal="center"/>
    </xf>
    <xf numFmtId="3" fontId="26" fillId="0" borderId="0" xfId="10" applyNumberFormat="1" applyFont="1" applyAlignment="1">
      <alignment horizontal="right"/>
    </xf>
    <xf numFmtId="166" fontId="26" fillId="0" borderId="0" xfId="10" applyFont="1" applyAlignment="1">
      <alignment horizontal="right"/>
    </xf>
    <xf numFmtId="166" fontId="26" fillId="0" borderId="0" xfId="10" applyFont="1" applyAlignment="1">
      <alignment horizontal="center"/>
    </xf>
    <xf numFmtId="0" fontId="26" fillId="0" borderId="0" xfId="31" applyFont="1" applyAlignment="1">
      <alignment horizontal="center"/>
    </xf>
    <xf numFmtId="0" fontId="26" fillId="0" borderId="0" xfId="31" applyFont="1"/>
    <xf numFmtId="2" fontId="27" fillId="0" borderId="0" xfId="20" applyNumberFormat="1" applyFont="1" applyFill="1" applyBorder="1" applyAlignment="1"/>
    <xf numFmtId="176" fontId="28" fillId="0" borderId="0" xfId="20" applyNumberFormat="1" applyFont="1" applyFill="1" applyAlignment="1"/>
    <xf numFmtId="3" fontId="28" fillId="0" borderId="0" xfId="20" applyNumberFormat="1" applyFont="1" applyFill="1" applyAlignment="1">
      <alignment horizontal="right"/>
    </xf>
    <xf numFmtId="0" fontId="28" fillId="0" borderId="0" xfId="20" applyFont="1" applyFill="1" applyAlignment="1">
      <alignment horizontal="right"/>
    </xf>
    <xf numFmtId="2" fontId="28" fillId="0" borderId="0" xfId="20" applyNumberFormat="1" applyFont="1" applyFill="1" applyBorder="1" applyAlignment="1">
      <alignment horizontal="left" vertical="top"/>
    </xf>
    <xf numFmtId="0" fontId="30" fillId="0" borderId="0" xfId="0" applyFont="1" applyAlignment="1">
      <alignment vertical="top"/>
    </xf>
    <xf numFmtId="0" fontId="26" fillId="0" borderId="0" xfId="31" applyFont="1" applyFill="1" applyAlignment="1">
      <alignment horizontal="center"/>
    </xf>
    <xf numFmtId="2" fontId="26" fillId="0" borderId="0" xfId="31" applyNumberFormat="1" applyFont="1" applyAlignment="1">
      <alignment horizontal="center"/>
    </xf>
    <xf numFmtId="2" fontId="26" fillId="0" borderId="0" xfId="10" applyNumberFormat="1" applyFont="1" applyAlignment="1">
      <alignment horizontal="left"/>
    </xf>
    <xf numFmtId="3" fontId="26" fillId="0" borderId="0" xfId="10" applyNumberFormat="1" applyFont="1" applyFill="1" applyAlignment="1">
      <alignment horizontal="right"/>
    </xf>
    <xf numFmtId="166" fontId="26" fillId="0" borderId="0" xfId="10" applyFont="1" applyFill="1" applyAlignment="1">
      <alignment horizontal="right"/>
    </xf>
    <xf numFmtId="1" fontId="26" fillId="0" borderId="0" xfId="31" applyNumberFormat="1" applyFont="1" applyFill="1" applyAlignment="1">
      <alignment horizontal="center"/>
    </xf>
    <xf numFmtId="166" fontId="26" fillId="0" borderId="0" xfId="10" applyFont="1" applyFill="1" applyAlignment="1">
      <alignment horizontal="left"/>
    </xf>
    <xf numFmtId="166" fontId="26" fillId="0" borderId="0" xfId="10" applyFont="1" applyFill="1" applyAlignment="1">
      <alignment horizontal="center"/>
    </xf>
    <xf numFmtId="176" fontId="26" fillId="0" borderId="0" xfId="31" applyNumberFormat="1" applyFont="1" applyFill="1" applyAlignment="1">
      <alignment horizontal="center"/>
    </xf>
    <xf numFmtId="0" fontId="26" fillId="0" borderId="0" xfId="31" applyFont="1" applyFill="1"/>
    <xf numFmtId="0" fontId="26" fillId="0" borderId="0" xfId="0" applyFont="1" applyFill="1"/>
    <xf numFmtId="0" fontId="25" fillId="0" borderId="0" xfId="0" applyFont="1" applyFill="1" applyAlignment="1"/>
    <xf numFmtId="0" fontId="26" fillId="0" borderId="0" xfId="0" applyFont="1" applyFill="1" applyAlignment="1"/>
    <xf numFmtId="178" fontId="26" fillId="0" borderId="0" xfId="0" applyNumberFormat="1" applyFont="1" applyFill="1" applyAlignment="1">
      <alignment horizontal="center"/>
    </xf>
    <xf numFmtId="178" fontId="25" fillId="0" borderId="0" xfId="0" applyNumberFormat="1" applyFont="1" applyFill="1" applyAlignment="1">
      <alignment horizontal="center"/>
    </xf>
    <xf numFmtId="0" fontId="28" fillId="0" borderId="0" xfId="20" applyNumberFormat="1" applyFont="1" applyFill="1" applyBorder="1" applyAlignment="1"/>
    <xf numFmtId="2" fontId="26" fillId="0" borderId="0" xfId="17" applyNumberFormat="1" applyFont="1" applyFill="1" applyAlignment="1" applyProtection="1">
      <alignment horizontal="center"/>
      <protection hidden="1"/>
    </xf>
    <xf numFmtId="2" fontId="26" fillId="0" borderId="0" xfId="17" applyNumberFormat="1" applyFont="1" applyFill="1" applyProtection="1">
      <protection hidden="1"/>
    </xf>
    <xf numFmtId="0" fontId="26" fillId="0" borderId="0" xfId="17" applyFont="1" applyFill="1" applyProtection="1">
      <protection hidden="1"/>
    </xf>
    <xf numFmtId="0" fontId="26" fillId="0" borderId="0" xfId="17" applyNumberFormat="1" applyFont="1" applyFill="1" applyBorder="1" applyAlignment="1" applyProtection="1">
      <alignment horizontal="left"/>
      <protection hidden="1"/>
    </xf>
    <xf numFmtId="4" fontId="26" fillId="0" borderId="0" xfId="17" applyNumberFormat="1" applyFont="1" applyFill="1" applyBorder="1" applyAlignment="1" applyProtection="1">
      <alignment horizontal="center"/>
      <protection hidden="1"/>
    </xf>
    <xf numFmtId="0" fontId="26" fillId="0" borderId="0" xfId="17" applyFont="1" applyFill="1" applyBorder="1" applyAlignment="1" applyProtection="1">
      <alignment horizontal="center"/>
      <protection hidden="1"/>
    </xf>
    <xf numFmtId="185" fontId="26" fillId="0" borderId="0" xfId="17" applyNumberFormat="1" applyFont="1" applyFill="1" applyBorder="1" applyAlignment="1" applyProtection="1">
      <alignment horizontal="center"/>
      <protection hidden="1"/>
    </xf>
    <xf numFmtId="2" fontId="28" fillId="0" borderId="0" xfId="18" applyNumberFormat="1" applyFont="1" applyFill="1" applyBorder="1" applyAlignment="1">
      <alignment vertical="center"/>
    </xf>
    <xf numFmtId="0" fontId="27" fillId="0" borderId="0" xfId="17" applyNumberFormat="1" applyFont="1" applyFill="1" applyBorder="1" applyAlignment="1" applyProtection="1">
      <alignment horizontal="left" vertical="center"/>
      <protection hidden="1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2" fontId="27" fillId="0" borderId="0" xfId="18" applyNumberFormat="1" applyFont="1" applyFill="1" applyBorder="1" applyAlignment="1">
      <alignment horizontal="center" vertical="center"/>
    </xf>
    <xf numFmtId="0" fontId="29" fillId="0" borderId="0" xfId="18" applyFont="1" applyAlignment="1">
      <alignment vertical="center"/>
    </xf>
    <xf numFmtId="0" fontId="29" fillId="0" borderId="0" xfId="18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2" fontId="27" fillId="0" borderId="0" xfId="20" applyNumberFormat="1" applyFont="1" applyFill="1" applyBorder="1" applyAlignment="1">
      <alignment vertical="center"/>
    </xf>
    <xf numFmtId="0" fontId="26" fillId="0" borderId="0" xfId="27" applyFont="1" applyFill="1" applyBorder="1" applyAlignment="1">
      <alignment vertical="center"/>
    </xf>
    <xf numFmtId="2" fontId="26" fillId="0" borderId="0" xfId="27" applyNumberFormat="1" applyFont="1" applyFill="1" applyBorder="1" applyAlignment="1">
      <alignment vertical="center"/>
    </xf>
    <xf numFmtId="2" fontId="26" fillId="0" borderId="0" xfId="27" applyNumberFormat="1" applyFont="1" applyFill="1" applyBorder="1" applyAlignment="1">
      <alignment horizontal="center" vertical="center"/>
    </xf>
    <xf numFmtId="0" fontId="29" fillId="0" borderId="0" xfId="18" applyFont="1" applyBorder="1" applyAlignment="1">
      <alignment vertical="center"/>
    </xf>
    <xf numFmtId="0" fontId="29" fillId="0" borderId="0" xfId="18" applyFont="1" applyFill="1" applyBorder="1" applyAlignment="1">
      <alignment vertical="center"/>
    </xf>
    <xf numFmtId="0" fontId="26" fillId="0" borderId="0" xfId="18" applyFont="1" applyFill="1" applyBorder="1" applyAlignment="1">
      <alignment horizontal="center" vertical="center"/>
    </xf>
    <xf numFmtId="0" fontId="26" fillId="0" borderId="0" xfId="18" applyFont="1" applyFill="1" applyBorder="1" applyAlignment="1">
      <alignment vertical="center"/>
    </xf>
    <xf numFmtId="2" fontId="26" fillId="0" borderId="0" xfId="26" applyNumberFormat="1" applyFont="1" applyFill="1" applyBorder="1" applyAlignment="1" applyProtection="1">
      <alignment vertical="center"/>
      <protection hidden="1"/>
    </xf>
    <xf numFmtId="185" fontId="25" fillId="0" borderId="0" xfId="2" applyNumberFormat="1" applyFont="1" applyFill="1" applyBorder="1" applyAlignment="1" applyProtection="1">
      <alignment horizontal="left"/>
      <protection hidden="1"/>
    </xf>
    <xf numFmtId="43" fontId="25" fillId="0" borderId="0" xfId="17" applyNumberFormat="1" applyFont="1" applyFill="1" applyBorder="1" applyAlignment="1" applyProtection="1">
      <alignment horizontal="left"/>
      <protection hidden="1"/>
    </xf>
    <xf numFmtId="184" fontId="26" fillId="0" borderId="0" xfId="20" applyNumberFormat="1" applyFont="1" applyFill="1" applyAlignment="1"/>
    <xf numFmtId="2" fontId="22" fillId="0" borderId="0" xfId="20" applyNumberFormat="1" applyFont="1" applyFill="1" applyBorder="1" applyAlignment="1"/>
    <xf numFmtId="0" fontId="25" fillId="0" borderId="0" xfId="17" applyNumberFormat="1" applyFont="1" applyFill="1" applyBorder="1" applyAlignment="1" applyProtection="1">
      <alignment horizontal="center"/>
      <protection hidden="1"/>
    </xf>
    <xf numFmtId="0" fontId="18" fillId="0" borderId="0" xfId="0" applyFont="1" applyFill="1" applyBorder="1"/>
    <xf numFmtId="0" fontId="51" fillId="0" borderId="0" xfId="20" applyNumberFormat="1" applyFont="1" applyFill="1" applyBorder="1" applyAlignment="1"/>
    <xf numFmtId="0" fontId="52" fillId="0" borderId="0" xfId="20" applyNumberFormat="1" applyFont="1" applyFill="1" applyBorder="1" applyAlignment="1"/>
    <xf numFmtId="0" fontId="26" fillId="0" borderId="0" xfId="20" applyFont="1" applyFill="1" applyBorder="1" applyAlignment="1"/>
    <xf numFmtId="0" fontId="25" fillId="0" borderId="0" xfId="20" applyFont="1" applyFill="1" applyAlignment="1">
      <alignment vertical="top" wrapText="1"/>
    </xf>
    <xf numFmtId="49" fontId="53" fillId="0" borderId="0" xfId="17" applyNumberFormat="1" applyFont="1" applyFill="1" applyBorder="1" applyAlignment="1" applyProtection="1">
      <alignment horizontal="left"/>
      <protection hidden="1"/>
    </xf>
    <xf numFmtId="49" fontId="54" fillId="0" borderId="0" xfId="17" applyNumberFormat="1" applyFont="1" applyFill="1" applyBorder="1" applyAlignment="1" applyProtection="1">
      <alignment horizontal="left"/>
      <protection hidden="1"/>
    </xf>
    <xf numFmtId="49" fontId="53" fillId="0" borderId="0" xfId="17" applyNumberFormat="1" applyFont="1" applyFill="1" applyBorder="1" applyAlignment="1" applyProtection="1">
      <alignment horizontal="left" vertical="center"/>
      <protection hidden="1"/>
    </xf>
    <xf numFmtId="0" fontId="25" fillId="0" borderId="0" xfId="17" applyNumberFormat="1" applyFont="1" applyFill="1" applyBorder="1" applyAlignment="1" applyProtection="1">
      <alignment horizontal="left" vertical="center"/>
      <protection hidden="1"/>
    </xf>
    <xf numFmtId="177" fontId="26" fillId="0" borderId="0" xfId="17" applyNumberFormat="1" applyFont="1" applyFill="1" applyBorder="1" applyAlignment="1" applyProtection="1">
      <alignment horizontal="left" vertical="center"/>
      <protection hidden="1"/>
    </xf>
    <xf numFmtId="184" fontId="26" fillId="0" borderId="0" xfId="20" applyNumberFormat="1" applyFont="1" applyFill="1" applyAlignment="1">
      <alignment vertical="center"/>
    </xf>
    <xf numFmtId="179" fontId="25" fillId="0" borderId="0" xfId="17" applyNumberFormat="1" applyFont="1" applyFill="1" applyBorder="1" applyAlignment="1" applyProtection="1">
      <alignment horizontal="center" vertical="center"/>
      <protection hidden="1"/>
    </xf>
    <xf numFmtId="43" fontId="25" fillId="0" borderId="0" xfId="2" applyFont="1" applyFill="1" applyBorder="1" applyAlignment="1" applyProtection="1">
      <alignment horizontal="left" vertical="center"/>
      <protection hidden="1"/>
    </xf>
    <xf numFmtId="184" fontId="25" fillId="0" borderId="0" xfId="17" applyNumberFormat="1" applyFont="1" applyFill="1" applyBorder="1" applyAlignment="1" applyProtection="1">
      <alignment horizontal="left" vertical="center"/>
      <protection hidden="1"/>
    </xf>
    <xf numFmtId="0" fontId="18" fillId="0" borderId="0" xfId="0" applyFont="1" applyAlignment="1">
      <alignment horizontal="center" vertical="center"/>
    </xf>
    <xf numFmtId="184" fontId="26" fillId="0" borderId="0" xfId="20" applyNumberFormat="1" applyFont="1" applyFill="1" applyAlignment="1">
      <alignment horizontal="right" vertical="center"/>
    </xf>
    <xf numFmtId="43" fontId="26" fillId="0" borderId="0" xfId="20" applyNumberFormat="1" applyFont="1" applyFill="1" applyAlignment="1">
      <alignment vertical="center"/>
    </xf>
    <xf numFmtId="43" fontId="26" fillId="0" borderId="0" xfId="2" applyFont="1" applyFill="1" applyAlignment="1">
      <alignment vertical="center"/>
    </xf>
    <xf numFmtId="184" fontId="26" fillId="0" borderId="0" xfId="5" applyNumberFormat="1" applyFont="1" applyFill="1" applyAlignment="1">
      <alignment horizontal="right" vertical="center"/>
    </xf>
    <xf numFmtId="0" fontId="55" fillId="0" borderId="0" xfId="20" applyFont="1" applyFill="1" applyBorder="1" applyAlignment="1"/>
    <xf numFmtId="0" fontId="55" fillId="0" borderId="0" xfId="20" applyFont="1" applyFill="1" applyBorder="1" applyAlignment="1">
      <alignment vertical="center"/>
    </xf>
    <xf numFmtId="0" fontId="28" fillId="0" borderId="0" xfId="20" applyFont="1" applyFill="1" applyBorder="1" applyAlignment="1"/>
    <xf numFmtId="0" fontId="25" fillId="0" borderId="0" xfId="20" applyFont="1" applyFill="1" applyBorder="1" applyAlignment="1">
      <alignment vertical="top" wrapText="1"/>
    </xf>
    <xf numFmtId="0" fontId="26" fillId="0" borderId="0" xfId="20" applyFont="1" applyFill="1" applyBorder="1" applyAlignment="1">
      <alignment vertical="center"/>
    </xf>
    <xf numFmtId="0" fontId="55" fillId="0" borderId="10" xfId="20" applyFont="1" applyFill="1" applyBorder="1" applyAlignment="1"/>
    <xf numFmtId="0" fontId="20" fillId="0" borderId="0" xfId="20" applyFont="1" applyFill="1" applyBorder="1" applyAlignment="1"/>
    <xf numFmtId="0" fontId="24" fillId="0" borderId="0" xfId="20" applyFont="1" applyFill="1" applyBorder="1" applyAlignment="1"/>
    <xf numFmtId="0" fontId="46" fillId="0" borderId="0" xfId="20" applyFont="1" applyFill="1" applyBorder="1" applyAlignment="1">
      <alignment vertical="top" wrapText="1"/>
    </xf>
    <xf numFmtId="0" fontId="20" fillId="0" borderId="0" xfId="20" applyFont="1" applyFill="1" applyBorder="1" applyAlignment="1">
      <alignment vertical="center"/>
    </xf>
    <xf numFmtId="49" fontId="20" fillId="0" borderId="0" xfId="17" applyNumberFormat="1" applyFont="1" applyFill="1" applyBorder="1" applyAlignment="1" applyProtection="1">
      <alignment horizontal="left"/>
      <protection hidden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17" applyNumberFormat="1" applyFont="1" applyFill="1" applyBorder="1" applyAlignment="1" applyProtection="1">
      <alignment horizontal="left" vertical="top"/>
      <protection hidden="1"/>
    </xf>
    <xf numFmtId="0" fontId="26" fillId="0" borderId="0" xfId="17" applyFont="1" applyFill="1" applyBorder="1" applyAlignment="1" applyProtection="1">
      <alignment horizontal="right"/>
      <protection hidden="1"/>
    </xf>
    <xf numFmtId="0" fontId="28" fillId="0" borderId="0" xfId="23" applyFont="1" applyFill="1" applyBorder="1" applyProtection="1">
      <protection hidden="1"/>
    </xf>
    <xf numFmtId="167" fontId="25" fillId="0" borderId="0" xfId="6" applyFont="1" applyFill="1" applyBorder="1" applyAlignment="1" applyProtection="1">
      <alignment horizontal="right"/>
      <protection hidden="1"/>
    </xf>
    <xf numFmtId="4" fontId="26" fillId="0" borderId="0" xfId="17" applyNumberFormat="1" applyFont="1" applyFill="1" applyBorder="1" applyAlignment="1" applyProtection="1">
      <alignment horizontal="right"/>
      <protection hidden="1"/>
    </xf>
    <xf numFmtId="187" fontId="25" fillId="0" borderId="0" xfId="20" applyNumberFormat="1" applyFont="1" applyFill="1" applyAlignment="1"/>
    <xf numFmtId="49" fontId="32" fillId="0" borderId="0" xfId="20" applyNumberFormat="1" applyFont="1" applyFill="1" applyBorder="1" applyAlignment="1"/>
    <xf numFmtId="0" fontId="26" fillId="0" borderId="0" xfId="31" applyFont="1" applyAlignment="1">
      <alignment vertical="center"/>
    </xf>
    <xf numFmtId="0" fontId="29" fillId="0" borderId="0" xfId="18" applyFont="1" applyFill="1" applyBorder="1" applyAlignment="1">
      <alignment horizontal="center" vertical="center"/>
    </xf>
    <xf numFmtId="2" fontId="28" fillId="0" borderId="0" xfId="20" applyNumberFormat="1" applyFont="1" applyFill="1" applyBorder="1" applyAlignment="1">
      <alignment horizontal="center" vertical="center"/>
    </xf>
    <xf numFmtId="2" fontId="29" fillId="0" borderId="0" xfId="18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81" fontId="26" fillId="0" borderId="0" xfId="20" applyNumberFormat="1" applyFont="1" applyFill="1" applyAlignment="1">
      <alignment horizontal="right"/>
    </xf>
    <xf numFmtId="0" fontId="25" fillId="12" borderId="0" xfId="3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4" fontId="26" fillId="0" borderId="7" xfId="22" applyNumberFormat="1" applyFont="1" applyFill="1" applyBorder="1" applyAlignment="1">
      <alignment horizontal="center" vertical="center"/>
    </xf>
    <xf numFmtId="49" fontId="45" fillId="0" borderId="0" xfId="2" applyNumberFormat="1" applyFont="1" applyFill="1" applyBorder="1" applyAlignment="1" applyProtection="1">
      <protection hidden="1"/>
    </xf>
    <xf numFmtId="0" fontId="18" fillId="0" borderId="0" xfId="22"/>
    <xf numFmtId="4" fontId="18" fillId="0" borderId="0" xfId="22" applyNumberFormat="1"/>
    <xf numFmtId="185" fontId="18" fillId="0" borderId="0" xfId="22" applyNumberFormat="1"/>
    <xf numFmtId="0" fontId="30" fillId="0" borderId="0" xfId="22" applyFont="1"/>
    <xf numFmtId="0" fontId="54" fillId="11" borderId="0" xfId="0" applyFont="1" applyFill="1" applyAlignment="1">
      <alignment vertical="center"/>
    </xf>
    <xf numFmtId="0" fontId="53" fillId="11" borderId="0" xfId="0" applyFont="1" applyFill="1" applyAlignment="1">
      <alignment vertical="center"/>
    </xf>
    <xf numFmtId="0" fontId="25" fillId="0" borderId="0" xfId="0" applyFont="1" applyFill="1" applyAlignment="1">
      <alignment horizontal="right" vertical="center"/>
    </xf>
    <xf numFmtId="187" fontId="19" fillId="10" borderId="0" xfId="20" applyNumberFormat="1" applyFont="1" applyFill="1" applyAlignment="1">
      <alignment horizontal="center"/>
    </xf>
    <xf numFmtId="0" fontId="27" fillId="0" borderId="0" xfId="20" applyNumberFormat="1" applyFont="1" applyFill="1" applyBorder="1" applyAlignment="1">
      <alignment horizontal="left"/>
    </xf>
    <xf numFmtId="194" fontId="32" fillId="0" borderId="0" xfId="20" applyNumberFormat="1" applyFont="1" applyFill="1" applyAlignment="1"/>
    <xf numFmtId="187" fontId="26" fillId="0" borderId="0" xfId="20" applyNumberFormat="1" applyFont="1" applyFill="1" applyAlignment="1"/>
    <xf numFmtId="0" fontId="47" fillId="0" borderId="0" xfId="0" applyFont="1" applyAlignment="1">
      <alignment horizontal="center" vertical="center"/>
    </xf>
    <xf numFmtId="0" fontId="18" fillId="0" borderId="13" xfId="0" applyFont="1" applyFill="1" applyBorder="1" applyAlignment="1">
      <alignment vertical="center"/>
    </xf>
    <xf numFmtId="181" fontId="25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left" indent="4"/>
    </xf>
    <xf numFmtId="194" fontId="63" fillId="0" borderId="0" xfId="0" applyNumberFormat="1" applyFont="1" applyAlignment="1">
      <alignment horizontal="left"/>
    </xf>
    <xf numFmtId="0" fontId="18" fillId="0" borderId="0" xfId="0" quotePrefix="1" applyFont="1" applyAlignment="1">
      <alignment vertical="center"/>
    </xf>
    <xf numFmtId="185" fontId="26" fillId="0" borderId="0" xfId="0" applyNumberFormat="1" applyFont="1" applyAlignment="1">
      <alignment vertical="center"/>
    </xf>
    <xf numFmtId="2" fontId="68" fillId="11" borderId="0" xfId="0" applyNumberFormat="1" applyFont="1" applyFill="1" applyBorder="1" applyAlignment="1">
      <alignment horizontal="center" vertical="center" wrapText="1"/>
    </xf>
    <xf numFmtId="188" fontId="26" fillId="0" borderId="11" xfId="0" applyNumberFormat="1" applyFont="1" applyBorder="1" applyAlignment="1">
      <alignment vertical="center"/>
    </xf>
    <xf numFmtId="193" fontId="26" fillId="0" borderId="11" xfId="0" applyNumberFormat="1" applyFont="1" applyBorder="1" applyAlignment="1">
      <alignment horizontal="center" vertical="center"/>
    </xf>
    <xf numFmtId="0" fontId="26" fillId="9" borderId="14" xfId="0" applyFont="1" applyFill="1" applyBorder="1" applyAlignment="1">
      <alignment horizontal="center" vertical="center"/>
    </xf>
    <xf numFmtId="195" fontId="26" fillId="0" borderId="12" xfId="0" applyNumberFormat="1" applyFont="1" applyBorder="1" applyAlignment="1">
      <alignment horizontal="center" vertical="center"/>
    </xf>
    <xf numFmtId="192" fontId="18" fillId="0" borderId="9" xfId="34" applyNumberFormat="1" applyFont="1" applyBorder="1" applyAlignment="1">
      <alignment vertical="center"/>
    </xf>
    <xf numFmtId="192" fontId="18" fillId="0" borderId="9" xfId="0" applyNumberFormat="1" applyFont="1" applyBorder="1" applyAlignment="1">
      <alignment vertical="center"/>
    </xf>
    <xf numFmtId="0" fontId="69" fillId="11" borderId="0" xfId="0" applyFont="1" applyFill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192" fontId="18" fillId="0" borderId="0" xfId="0" applyNumberFormat="1" applyFont="1"/>
    <xf numFmtId="0" fontId="0" fillId="0" borderId="0" xfId="0" applyFill="1" applyAlignment="1">
      <alignment vertical="center"/>
    </xf>
    <xf numFmtId="49" fontId="53" fillId="0" borderId="0" xfId="17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185" fontId="51" fillId="0" borderId="0" xfId="0" applyNumberFormat="1" applyFont="1" applyFill="1" applyAlignment="1">
      <alignment vertical="center"/>
    </xf>
    <xf numFmtId="183" fontId="19" fillId="0" borderId="0" xfId="29" applyNumberFormat="1" applyFont="1" applyFill="1" applyAlignment="1">
      <alignment horizontal="right" vertical="center"/>
    </xf>
    <xf numFmtId="187" fontId="18" fillId="0" borderId="0" xfId="0" applyNumberFormat="1" applyFont="1" applyFill="1" applyAlignment="1">
      <alignment vertical="center"/>
    </xf>
    <xf numFmtId="0" fontId="59" fillId="0" borderId="0" xfId="25" applyFont="1" applyFill="1" applyBorder="1" applyAlignment="1">
      <alignment horizontal="right" vertical="center"/>
    </xf>
    <xf numFmtId="0" fontId="57" fillId="0" borderId="0" xfId="25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/>
    </xf>
    <xf numFmtId="2" fontId="53" fillId="11" borderId="0" xfId="0" applyNumberFormat="1" applyFont="1" applyFill="1" applyBorder="1" applyAlignment="1">
      <alignment vertical="center" wrapText="1"/>
    </xf>
    <xf numFmtId="2" fontId="53" fillId="11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vertical="center"/>
    </xf>
    <xf numFmtId="185" fontId="54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185" fontId="51" fillId="0" borderId="0" xfId="0" applyNumberFormat="1" applyFont="1" applyFill="1" applyBorder="1" applyAlignment="1">
      <alignment vertical="center"/>
    </xf>
    <xf numFmtId="181" fontId="18" fillId="0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187" fontId="18" fillId="0" borderId="0" xfId="0" applyNumberFormat="1" applyFont="1" applyFill="1" applyBorder="1" applyAlignment="1">
      <alignment vertical="center"/>
    </xf>
    <xf numFmtId="185" fontId="26" fillId="0" borderId="0" xfId="0" applyNumberFormat="1" applyFont="1" applyFill="1" applyBorder="1" applyAlignment="1">
      <alignment vertical="center"/>
    </xf>
    <xf numFmtId="192" fontId="26" fillId="0" borderId="0" xfId="0" applyNumberFormat="1" applyFont="1" applyFill="1" applyBorder="1" applyAlignment="1">
      <alignment vertical="center"/>
    </xf>
    <xf numFmtId="4" fontId="26" fillId="0" borderId="0" xfId="0" applyNumberFormat="1" applyFont="1" applyFill="1" applyBorder="1" applyAlignment="1">
      <alignment horizontal="center" vertical="center"/>
    </xf>
    <xf numFmtId="185" fontId="18" fillId="0" borderId="0" xfId="0" applyNumberFormat="1" applyFont="1" applyFill="1" applyAlignment="1">
      <alignment vertical="center"/>
    </xf>
    <xf numFmtId="180" fontId="67" fillId="0" borderId="0" xfId="0" applyNumberFormat="1" applyFont="1" applyFill="1" applyBorder="1" applyAlignment="1">
      <alignment horizontal="center" vertical="center"/>
    </xf>
    <xf numFmtId="10" fontId="26" fillId="0" borderId="0" xfId="29" applyNumberFormat="1" applyFont="1" applyFill="1" applyBorder="1" applyAlignment="1" applyProtection="1">
      <alignment horizontal="center" vertical="center"/>
      <protection hidden="1"/>
    </xf>
    <xf numFmtId="2" fontId="26" fillId="11" borderId="9" xfId="29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>
      <alignment horizontal="left" vertical="center"/>
    </xf>
    <xf numFmtId="0" fontId="47" fillId="11" borderId="9" xfId="0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/>
    </xf>
    <xf numFmtId="0" fontId="30" fillId="0" borderId="0" xfId="21" applyFont="1" applyFill="1" applyBorder="1" applyAlignment="1">
      <alignment vertical="center"/>
    </xf>
    <xf numFmtId="0" fontId="25" fillId="0" borderId="0" xfId="21" applyFont="1" applyFill="1" applyBorder="1" applyAlignment="1">
      <alignment horizontal="center" vertical="center"/>
    </xf>
    <xf numFmtId="2" fontId="25" fillId="0" borderId="0" xfId="21" applyNumberFormat="1" applyFont="1" applyFill="1" applyBorder="1" applyAlignment="1">
      <alignment horizontal="center" vertical="center"/>
    </xf>
    <xf numFmtId="0" fontId="26" fillId="0" borderId="0" xfId="0" applyNumberFormat="1" applyFont="1" applyFill="1" applyAlignment="1">
      <alignment horizontal="center"/>
    </xf>
    <xf numFmtId="0" fontId="26" fillId="0" borderId="0" xfId="0" applyNumberFormat="1" applyFont="1" applyFill="1" applyAlignment="1"/>
    <xf numFmtId="181" fontId="26" fillId="0" borderId="0" xfId="0" applyNumberFormat="1" applyFont="1" applyFill="1" applyAlignment="1">
      <alignment horizontal="center"/>
    </xf>
    <xf numFmtId="2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166" fontId="25" fillId="0" borderId="0" xfId="1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27" fillId="0" borderId="0" xfId="0" applyNumberFormat="1" applyFont="1" applyFill="1" applyAlignment="1">
      <alignment horizontal="center"/>
    </xf>
    <xf numFmtId="0" fontId="53" fillId="0" borderId="0" xfId="0" applyFont="1" applyFill="1" applyBorder="1" applyAlignment="1">
      <alignment vertical="center"/>
    </xf>
    <xf numFmtId="2" fontId="26" fillId="0" borderId="0" xfId="20" applyNumberFormat="1" applyFont="1" applyFill="1" applyAlignment="1">
      <alignment vertical="center" wrapText="1"/>
    </xf>
    <xf numFmtId="0" fontId="53" fillId="11" borderId="0" xfId="0" applyNumberFormat="1" applyFont="1" applyFill="1" applyBorder="1" applyAlignment="1">
      <alignment vertical="center" wrapText="1"/>
    </xf>
    <xf numFmtId="181" fontId="53" fillId="11" borderId="0" xfId="0" applyNumberFormat="1" applyFont="1" applyFill="1" applyBorder="1" applyAlignment="1">
      <alignment horizontal="center" vertical="center" wrapText="1"/>
    </xf>
    <xf numFmtId="178" fontId="53" fillId="11" borderId="0" xfId="0" applyNumberFormat="1" applyFont="1" applyFill="1" applyBorder="1" applyAlignment="1">
      <alignment horizontal="center" vertical="center" wrapText="1"/>
    </xf>
    <xf numFmtId="166" fontId="53" fillId="11" borderId="0" xfId="10" applyFont="1" applyFill="1" applyBorder="1" applyAlignment="1">
      <alignment horizontal="center" vertical="center" wrapText="1"/>
    </xf>
    <xf numFmtId="182" fontId="53" fillId="11" borderId="0" xfId="10" applyNumberFormat="1" applyFont="1" applyFill="1" applyBorder="1" applyAlignment="1">
      <alignment horizontal="center" vertical="center" wrapText="1"/>
    </xf>
    <xf numFmtId="0" fontId="53" fillId="11" borderId="0" xfId="0" applyFont="1" applyFill="1" applyBorder="1" applyAlignment="1">
      <alignment horizontal="center" vertical="center" wrapText="1"/>
    </xf>
    <xf numFmtId="49" fontId="22" fillId="0" borderId="0" xfId="20" applyNumberFormat="1" applyFont="1" applyFill="1" applyBorder="1" applyAlignment="1"/>
    <xf numFmtId="2" fontId="21" fillId="0" borderId="0" xfId="20" applyNumberFormat="1" applyFont="1" applyFill="1" applyBorder="1" applyAlignment="1"/>
    <xf numFmtId="15" fontId="21" fillId="0" borderId="0" xfId="20" applyNumberFormat="1" applyFont="1" applyFill="1" applyBorder="1" applyAlignment="1">
      <alignment horizontal="left"/>
    </xf>
    <xf numFmtId="0" fontId="25" fillId="0" borderId="0" xfId="20" applyFont="1" applyFill="1" applyBorder="1" applyAlignment="1">
      <alignment vertical="center" wrapText="1"/>
    </xf>
    <xf numFmtId="0" fontId="46" fillId="0" borderId="0" xfId="20" applyFont="1" applyFill="1" applyBorder="1" applyAlignment="1">
      <alignment vertical="center" wrapText="1"/>
    </xf>
    <xf numFmtId="0" fontId="25" fillId="0" borderId="0" xfId="20" applyFont="1" applyFill="1" applyAlignment="1">
      <alignment vertical="center" wrapText="1"/>
    </xf>
    <xf numFmtId="192" fontId="25" fillId="0" borderId="0" xfId="3" applyNumberFormat="1" applyFont="1" applyFill="1" applyBorder="1" applyAlignment="1" applyProtection="1">
      <alignment horizontal="center" vertical="center"/>
      <protection hidden="1"/>
    </xf>
    <xf numFmtId="192" fontId="26" fillId="0" borderId="0" xfId="3" applyNumberFormat="1" applyFont="1" applyFill="1" applyBorder="1" applyAlignment="1" applyProtection="1">
      <alignment horizontal="center" vertical="center"/>
      <protection hidden="1"/>
    </xf>
    <xf numFmtId="1" fontId="26" fillId="0" borderId="0" xfId="2" applyNumberFormat="1" applyFont="1" applyFill="1" applyAlignment="1">
      <alignment horizontal="center" vertical="center"/>
    </xf>
    <xf numFmtId="184" fontId="26" fillId="0" borderId="0" xfId="5" applyNumberFormat="1" applyFont="1" applyFill="1" applyAlignment="1">
      <alignment vertical="center"/>
    </xf>
    <xf numFmtId="0" fontId="55" fillId="0" borderId="10" xfId="20" applyFont="1" applyFill="1" applyBorder="1" applyAlignment="1">
      <alignment vertical="center"/>
    </xf>
    <xf numFmtId="49" fontId="26" fillId="0" borderId="0" xfId="17" applyNumberFormat="1" applyFont="1" applyFill="1" applyBorder="1" applyAlignment="1" applyProtection="1">
      <alignment horizontal="left" vertical="center"/>
      <protection hidden="1"/>
    </xf>
    <xf numFmtId="49" fontId="20" fillId="0" borderId="0" xfId="17" applyNumberFormat="1" applyFont="1" applyFill="1" applyBorder="1" applyAlignment="1" applyProtection="1">
      <alignment horizontal="left" vertical="center"/>
      <protection hidden="1"/>
    </xf>
    <xf numFmtId="43" fontId="26" fillId="0" borderId="6" xfId="2" applyFont="1" applyFill="1" applyBorder="1" applyAlignment="1">
      <alignment vertical="center"/>
    </xf>
    <xf numFmtId="49" fontId="54" fillId="0" borderId="0" xfId="17" applyNumberFormat="1" applyFont="1" applyFill="1" applyBorder="1" applyAlignment="1" applyProtection="1">
      <alignment horizontal="left" vertical="center"/>
      <protection hidden="1"/>
    </xf>
    <xf numFmtId="187" fontId="25" fillId="10" borderId="0" xfId="20" applyNumberFormat="1" applyFont="1" applyFill="1" applyAlignment="1"/>
    <xf numFmtId="174" fontId="23" fillId="8" borderId="24" xfId="0" applyNumberFormat="1" applyFont="1" applyFill="1" applyBorder="1" applyAlignment="1" applyProtection="1">
      <alignment horizontal="center"/>
    </xf>
    <xf numFmtId="1" fontId="21" fillId="0" borderId="0" xfId="20" applyNumberFormat="1" applyFont="1" applyFill="1" applyBorder="1" applyAlignment="1">
      <alignment horizontal="left"/>
    </xf>
    <xf numFmtId="15" fontId="21" fillId="0" borderId="0" xfId="20" applyNumberFormat="1" applyFont="1" applyFill="1" applyBorder="1" applyAlignment="1">
      <alignment horizontal="left"/>
    </xf>
    <xf numFmtId="194" fontId="70" fillId="0" borderId="0" xfId="20" applyNumberFormat="1" applyFont="1" applyFill="1" applyAlignment="1">
      <alignment horizontal="left"/>
    </xf>
    <xf numFmtId="0" fontId="18" fillId="0" borderId="26" xfId="0" applyFont="1" applyBorder="1"/>
    <xf numFmtId="0" fontId="18" fillId="0" borderId="27" xfId="0" applyFont="1" applyBorder="1"/>
    <xf numFmtId="0" fontId="48" fillId="0" borderId="27" xfId="0" applyFont="1" applyBorder="1" applyAlignment="1">
      <alignment horizontal="center"/>
    </xf>
    <xf numFmtId="0" fontId="18" fillId="0" borderId="28" xfId="0" applyFont="1" applyBorder="1"/>
    <xf numFmtId="0" fontId="18" fillId="0" borderId="29" xfId="0" applyFont="1" applyBorder="1"/>
    <xf numFmtId="0" fontId="18" fillId="0" borderId="0" xfId="0" applyFont="1" applyBorder="1"/>
    <xf numFmtId="0" fontId="48" fillId="0" borderId="0" xfId="0" applyFont="1" applyBorder="1" applyAlignment="1">
      <alignment horizontal="center"/>
    </xf>
    <xf numFmtId="0" fontId="18" fillId="0" borderId="30" xfId="0" applyFont="1" applyBorder="1"/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right" vertical="center"/>
    </xf>
    <xf numFmtId="0" fontId="18" fillId="0" borderId="31" xfId="0" applyFont="1" applyBorder="1"/>
    <xf numFmtId="0" fontId="18" fillId="0" borderId="32" xfId="0" applyFont="1" applyBorder="1"/>
    <xf numFmtId="0" fontId="18" fillId="0" borderId="33" xfId="0" applyFont="1" applyBorder="1"/>
    <xf numFmtId="10" fontId="26" fillId="11" borderId="9" xfId="29" applyNumberFormat="1" applyFont="1" applyFill="1" applyBorder="1" applyAlignment="1" applyProtection="1">
      <alignment horizontal="center" vertical="center"/>
      <protection hidden="1"/>
    </xf>
    <xf numFmtId="10" fontId="26" fillId="0" borderId="0" xfId="17" applyNumberFormat="1" applyFont="1" applyFill="1" applyBorder="1" applyAlignment="1" applyProtection="1">
      <alignment horizontal="left"/>
      <protection hidden="1"/>
    </xf>
    <xf numFmtId="10" fontId="26" fillId="0" borderId="0" xfId="20" applyNumberFormat="1" applyFont="1" applyFill="1" applyAlignment="1">
      <alignment vertical="center"/>
    </xf>
    <xf numFmtId="10" fontId="25" fillId="0" borderId="0" xfId="17" applyNumberFormat="1" applyFont="1" applyFill="1" applyBorder="1" applyAlignment="1" applyProtection="1">
      <alignment horizontal="center" vertical="center"/>
      <protection hidden="1"/>
    </xf>
    <xf numFmtId="10" fontId="25" fillId="0" borderId="0" xfId="17" applyNumberFormat="1" applyFont="1" applyFill="1" applyBorder="1" applyAlignment="1" applyProtection="1">
      <alignment horizontal="center"/>
      <protection hidden="1"/>
    </xf>
    <xf numFmtId="10" fontId="26" fillId="0" borderId="0" xfId="17" applyNumberFormat="1" applyFont="1" applyFill="1" applyBorder="1" applyAlignment="1" applyProtection="1">
      <alignment horizontal="left" vertical="center"/>
      <protection hidden="1"/>
    </xf>
    <xf numFmtId="0" fontId="53" fillId="11" borderId="0" xfId="0" applyNumberFormat="1" applyFont="1" applyFill="1" applyBorder="1" applyAlignment="1">
      <alignment horizontal="center" vertical="center" wrapText="1"/>
    </xf>
    <xf numFmtId="193" fontId="26" fillId="0" borderId="12" xfId="0" applyNumberFormat="1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3" xfId="0" applyNumberFormat="1" applyFont="1" applyFill="1" applyBorder="1" applyAlignment="1">
      <alignment horizontal="center" vertical="center"/>
    </xf>
    <xf numFmtId="0" fontId="26" fillId="0" borderId="23" xfId="10" applyNumberFormat="1" applyFont="1" applyFill="1" applyBorder="1" applyAlignment="1">
      <alignment vertical="center"/>
    </xf>
    <xf numFmtId="1" fontId="26" fillId="0" borderId="23" xfId="0" applyNumberFormat="1" applyFont="1" applyFill="1" applyBorder="1" applyAlignment="1">
      <alignment horizontal="center" vertical="center"/>
    </xf>
    <xf numFmtId="2" fontId="26" fillId="0" borderId="23" xfId="10" applyNumberFormat="1" applyFont="1" applyFill="1" applyBorder="1" applyAlignment="1">
      <alignment horizontal="center" vertical="center"/>
    </xf>
    <xf numFmtId="185" fontId="26" fillId="0" borderId="13" xfId="0" applyNumberFormat="1" applyFont="1" applyFill="1" applyBorder="1" applyAlignment="1">
      <alignment horizontal="center" vertical="center"/>
    </xf>
    <xf numFmtId="194" fontId="63" fillId="0" borderId="0" xfId="0" applyNumberFormat="1" applyFont="1" applyFill="1" applyAlignment="1">
      <alignment horizontal="left"/>
    </xf>
    <xf numFmtId="2" fontId="51" fillId="0" borderId="0" xfId="17" applyNumberFormat="1" applyFont="1" applyFill="1" applyBorder="1" applyAlignment="1" applyProtection="1">
      <alignment horizontal="left"/>
      <protection hidden="1"/>
    </xf>
    <xf numFmtId="0" fontId="26" fillId="0" borderId="0" xfId="0" applyFont="1" applyFill="1" applyBorder="1"/>
    <xf numFmtId="185" fontId="25" fillId="0" borderId="0" xfId="17" applyNumberFormat="1" applyFont="1" applyFill="1" applyBorder="1" applyAlignment="1" applyProtection="1">
      <alignment horizontal="right"/>
      <protection hidden="1"/>
    </xf>
    <xf numFmtId="0" fontId="32" fillId="0" borderId="0" xfId="0" applyFont="1" applyFill="1" applyBorder="1" applyAlignment="1">
      <alignment horizontal="left" indent="4"/>
    </xf>
    <xf numFmtId="185" fontId="25" fillId="0" borderId="0" xfId="0" applyNumberFormat="1" applyFont="1" applyFill="1" applyBorder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/>
    </xf>
    <xf numFmtId="4" fontId="26" fillId="0" borderId="0" xfId="0" applyNumberFormat="1" applyFont="1" applyFill="1"/>
    <xf numFmtId="192" fontId="26" fillId="11" borderId="0" xfId="29" applyNumberFormat="1" applyFont="1" applyFill="1" applyBorder="1" applyAlignment="1" applyProtection="1">
      <alignment horizontal="center" vertical="center"/>
      <protection hidden="1"/>
    </xf>
    <xf numFmtId="185" fontId="26" fillId="0" borderId="0" xfId="17" applyNumberFormat="1" applyFont="1" applyFill="1" applyBorder="1" applyAlignment="1" applyProtection="1">
      <alignment horizontal="right"/>
      <protection hidden="1"/>
    </xf>
    <xf numFmtId="1" fontId="26" fillId="11" borderId="0" xfId="29" applyNumberFormat="1" applyFont="1" applyFill="1" applyBorder="1" applyAlignment="1" applyProtection="1">
      <alignment horizontal="center" vertical="center"/>
      <protection hidden="1"/>
    </xf>
    <xf numFmtId="9" fontId="25" fillId="0" borderId="0" xfId="0" applyNumberFormat="1" applyFont="1" applyFill="1" applyBorder="1" applyAlignment="1">
      <alignment horizontal="center"/>
    </xf>
    <xf numFmtId="4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2" fontId="51" fillId="0" borderId="0" xfId="17" applyNumberFormat="1" applyFont="1" applyFill="1" applyBorder="1" applyAlignment="1" applyProtection="1">
      <protection hidden="1"/>
    </xf>
    <xf numFmtId="4" fontId="26" fillId="0" borderId="8" xfId="22" applyNumberFormat="1" applyFont="1" applyFill="1" applyBorder="1" applyAlignment="1">
      <alignment horizontal="center" vertical="center"/>
    </xf>
    <xf numFmtId="4" fontId="26" fillId="0" borderId="35" xfId="22" applyNumberFormat="1" applyFont="1" applyFill="1" applyBorder="1" applyAlignment="1">
      <alignment horizontal="center" vertical="center"/>
    </xf>
    <xf numFmtId="185" fontId="26" fillId="0" borderId="35" xfId="22" applyNumberFormat="1" applyFont="1" applyFill="1" applyBorder="1" applyAlignment="1">
      <alignment horizontal="center" vertical="center"/>
    </xf>
    <xf numFmtId="185" fontId="26" fillId="0" borderId="36" xfId="22" applyNumberFormat="1" applyFont="1" applyFill="1" applyBorder="1" applyAlignment="1">
      <alignment horizontal="center" vertical="center"/>
    </xf>
    <xf numFmtId="0" fontId="49" fillId="11" borderId="0" xfId="18" applyFont="1" applyFill="1" applyBorder="1" applyAlignment="1">
      <alignment vertical="center"/>
    </xf>
    <xf numFmtId="49" fontId="45" fillId="11" borderId="0" xfId="2" applyNumberFormat="1" applyFont="1" applyFill="1" applyBorder="1" applyAlignment="1" applyProtection="1">
      <protection hidden="1"/>
    </xf>
    <xf numFmtId="0" fontId="30" fillId="11" borderId="0" xfId="22" applyFont="1" applyFill="1"/>
    <xf numFmtId="0" fontId="54" fillId="0" borderId="0" xfId="0" applyFont="1" applyFill="1" applyAlignment="1">
      <alignment vertical="center"/>
    </xf>
    <xf numFmtId="43" fontId="71" fillId="0" borderId="0" xfId="2" applyNumberFormat="1" applyFont="1" applyFill="1" applyAlignment="1">
      <alignment horizontal="right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18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 wrapText="1"/>
    </xf>
    <xf numFmtId="183" fontId="47" fillId="0" borderId="0" xfId="0" applyNumberFormat="1" applyFont="1" applyAlignment="1">
      <alignment horizontal="center" vertical="center"/>
    </xf>
    <xf numFmtId="183" fontId="18" fillId="0" borderId="0" xfId="0" applyNumberFormat="1" applyFont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186" fontId="26" fillId="0" borderId="1" xfId="0" applyNumberFormat="1" applyFont="1" applyFill="1" applyBorder="1" applyAlignment="1">
      <alignment horizontal="center" vertical="center"/>
    </xf>
    <xf numFmtId="1" fontId="26" fillId="0" borderId="1" xfId="31" applyNumberFormat="1" applyFont="1" applyFill="1" applyBorder="1" applyAlignment="1">
      <alignment horizontal="center" vertical="center"/>
    </xf>
    <xf numFmtId="193" fontId="72" fillId="14" borderId="0" xfId="0" applyNumberFormat="1" applyFont="1" applyFill="1" applyAlignment="1">
      <alignment horizontal="center" vertical="center"/>
    </xf>
    <xf numFmtId="178" fontId="25" fillId="11" borderId="0" xfId="0" applyNumberFormat="1" applyFont="1" applyFill="1" applyAlignment="1">
      <alignment horizontal="center"/>
    </xf>
    <xf numFmtId="178" fontId="25" fillId="11" borderId="0" xfId="0" applyNumberFormat="1" applyFont="1" applyFill="1" applyAlignment="1">
      <alignment horizontal="center" wrapText="1"/>
    </xf>
    <xf numFmtId="2" fontId="25" fillId="11" borderId="0" xfId="0" applyNumberFormat="1" applyFont="1" applyFill="1" applyAlignment="1">
      <alignment horizontal="center" wrapText="1"/>
    </xf>
    <xf numFmtId="0" fontId="25" fillId="11" borderId="0" xfId="0" applyFont="1" applyFill="1" applyAlignment="1">
      <alignment horizontal="center" wrapText="1"/>
    </xf>
    <xf numFmtId="166" fontId="25" fillId="11" borderId="0" xfId="10" applyFont="1" applyFill="1" applyAlignment="1">
      <alignment horizontal="right"/>
    </xf>
    <xf numFmtId="1" fontId="7" fillId="11" borderId="0" xfId="0" applyNumberFormat="1" applyFont="1" applyFill="1" applyAlignment="1">
      <alignment horizontal="center"/>
    </xf>
    <xf numFmtId="192" fontId="25" fillId="11" borderId="0" xfId="0" applyNumberFormat="1" applyFont="1" applyFill="1" applyAlignment="1">
      <alignment horizontal="center"/>
    </xf>
    <xf numFmtId="192" fontId="7" fillId="11" borderId="0" xfId="34" applyNumberFormat="1" applyFont="1" applyFill="1" applyAlignment="1">
      <alignment horizontal="center"/>
    </xf>
    <xf numFmtId="2" fontId="26" fillId="0" borderId="0" xfId="0" applyNumberFormat="1" applyFont="1" applyFill="1" applyAlignment="1">
      <alignment horizontal="center"/>
    </xf>
    <xf numFmtId="49" fontId="22" fillId="0" borderId="0" xfId="20" applyNumberFormat="1" applyFont="1" applyFill="1" applyBorder="1" applyAlignment="1">
      <alignment vertical="center"/>
    </xf>
    <xf numFmtId="2" fontId="21" fillId="0" borderId="0" xfId="20" applyNumberFormat="1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2" fontId="19" fillId="11" borderId="21" xfId="0" applyNumberFormat="1" applyFont="1" applyFill="1" applyBorder="1" applyAlignment="1">
      <alignment horizontal="center" vertical="center"/>
    </xf>
    <xf numFmtId="183" fontId="19" fillId="36" borderId="47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8" fillId="37" borderId="0" xfId="0" applyFont="1" applyFill="1" applyBorder="1" applyAlignment="1">
      <alignment vertical="center"/>
    </xf>
    <xf numFmtId="0" fontId="50" fillId="37" borderId="0" xfId="0" applyFont="1" applyFill="1" applyAlignment="1">
      <alignment horizontal="center"/>
    </xf>
    <xf numFmtId="3" fontId="18" fillId="0" borderId="0" xfId="0" applyNumberFormat="1" applyFont="1" applyFill="1" applyBorder="1" applyAlignment="1">
      <alignment horizontal="center" vertical="center"/>
    </xf>
    <xf numFmtId="192" fontId="18" fillId="0" borderId="0" xfId="0" applyNumberFormat="1" applyFont="1" applyFill="1" applyAlignment="1">
      <alignment horizontal="center" vertical="center"/>
    </xf>
    <xf numFmtId="0" fontId="28" fillId="0" borderId="0" xfId="2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194" fontId="32" fillId="0" borderId="0" xfId="20" applyNumberFormat="1" applyFont="1" applyFill="1" applyAlignment="1">
      <alignment vertical="center"/>
    </xf>
    <xf numFmtId="15" fontId="21" fillId="0" borderId="0" xfId="20" applyNumberFormat="1" applyFont="1" applyFill="1" applyBorder="1" applyAlignment="1">
      <alignment horizontal="left" vertical="center"/>
    </xf>
    <xf numFmtId="43" fontId="18" fillId="0" borderId="0" xfId="0" applyNumberFormat="1" applyFont="1" applyFill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54" fillId="0" borderId="0" xfId="0" applyFont="1" applyFill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8" fillId="0" borderId="0" xfId="0" applyFont="1" applyFill="1" applyAlignment="1">
      <alignment vertical="center"/>
    </xf>
    <xf numFmtId="0" fontId="56" fillId="0" borderId="0" xfId="0" applyFont="1" applyFill="1" applyAlignment="1">
      <alignment vertical="center"/>
    </xf>
    <xf numFmtId="0" fontId="54" fillId="0" borderId="0" xfId="25" applyFont="1" applyFill="1" applyBorder="1" applyAlignment="1">
      <alignment vertical="center"/>
    </xf>
    <xf numFmtId="9" fontId="55" fillId="0" borderId="0" xfId="25" applyNumberFormat="1" applyFont="1" applyFill="1" applyBorder="1" applyAlignment="1">
      <alignment vertical="center"/>
    </xf>
    <xf numFmtId="190" fontId="60" fillId="0" borderId="0" xfId="25" applyNumberFormat="1" applyFont="1" applyFill="1" applyBorder="1" applyAlignment="1">
      <alignment vertical="center"/>
    </xf>
    <xf numFmtId="10" fontId="61" fillId="0" borderId="0" xfId="25" applyNumberFormat="1" applyFont="1" applyFill="1" applyBorder="1" applyAlignment="1" applyProtection="1">
      <alignment horizontal="center" vertical="center"/>
      <protection locked="0" hidden="1"/>
    </xf>
    <xf numFmtId="0" fontId="55" fillId="0" borderId="0" xfId="0" applyFont="1" applyFill="1" applyAlignment="1">
      <alignment vertical="center"/>
    </xf>
    <xf numFmtId="10" fontId="54" fillId="0" borderId="48" xfId="25" applyNumberFormat="1" applyFont="1" applyFill="1" applyBorder="1" applyAlignment="1" applyProtection="1">
      <alignment horizontal="center" vertical="center"/>
      <protection locked="0" hidden="1"/>
    </xf>
    <xf numFmtId="0" fontId="44" fillId="0" borderId="9" xfId="25" applyFont="1" applyFill="1" applyBorder="1" applyAlignment="1">
      <alignment horizontal="center" vertical="center"/>
    </xf>
    <xf numFmtId="189" fontId="44" fillId="0" borderId="49" xfId="25" applyNumberFormat="1" applyFont="1" applyFill="1" applyBorder="1" applyAlignment="1">
      <alignment horizontal="center" vertical="center"/>
    </xf>
    <xf numFmtId="0" fontId="44" fillId="0" borderId="49" xfId="25" applyFont="1" applyFill="1" applyBorder="1" applyAlignment="1">
      <alignment horizontal="center" vertical="center"/>
    </xf>
    <xf numFmtId="183" fontId="53" fillId="0" borderId="49" xfId="25" applyNumberFormat="1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Fill="1" applyBorder="1" applyAlignment="1">
      <alignment horizontal="left" vertical="center" indent="1"/>
    </xf>
    <xf numFmtId="4" fontId="26" fillId="0" borderId="0" xfId="2" applyNumberFormat="1" applyFont="1" applyFill="1" applyBorder="1" applyAlignment="1">
      <alignment horizontal="center" vertical="center"/>
    </xf>
    <xf numFmtId="4" fontId="67" fillId="0" borderId="0" xfId="0" applyNumberFormat="1" applyFont="1" applyFill="1" applyBorder="1" applyAlignment="1">
      <alignment horizontal="center" vertical="center"/>
    </xf>
    <xf numFmtId="185" fontId="26" fillId="0" borderId="0" xfId="17" applyNumberFormat="1" applyFont="1" applyFill="1" applyBorder="1" applyAlignment="1" applyProtection="1">
      <alignment horizontal="right"/>
      <protection locked="0"/>
    </xf>
    <xf numFmtId="181" fontId="76" fillId="12" borderId="0" xfId="0" applyNumberFormat="1" applyFont="1" applyFill="1" applyBorder="1" applyAlignment="1" applyProtection="1">
      <alignment horizontal="right" vertical="center"/>
    </xf>
    <xf numFmtId="166" fontId="6" fillId="0" borderId="0" xfId="10" applyFont="1" applyAlignment="1">
      <alignment horizontal="center"/>
    </xf>
    <xf numFmtId="0" fontId="6" fillId="0" borderId="0" xfId="31" applyFont="1" applyAlignment="1">
      <alignment horizontal="center"/>
    </xf>
    <xf numFmtId="0" fontId="6" fillId="0" borderId="0" xfId="31" applyFont="1" applyFill="1"/>
    <xf numFmtId="3" fontId="6" fillId="0" borderId="0" xfId="10" applyNumberFormat="1" applyFont="1" applyFill="1" applyAlignment="1">
      <alignment horizontal="right"/>
    </xf>
    <xf numFmtId="176" fontId="6" fillId="0" borderId="0" xfId="31" applyNumberFormat="1" applyFont="1" applyFill="1" applyAlignment="1">
      <alignment horizontal="center"/>
    </xf>
    <xf numFmtId="166" fontId="6" fillId="0" borderId="0" xfId="10" applyFont="1" applyFill="1" applyAlignment="1">
      <alignment horizontal="center"/>
    </xf>
    <xf numFmtId="0" fontId="6" fillId="0" borderId="0" xfId="31" applyFont="1" applyFill="1" applyAlignment="1">
      <alignment horizontal="center"/>
    </xf>
    <xf numFmtId="166" fontId="6" fillId="0" borderId="0" xfId="10" applyFont="1" applyFill="1" applyAlignment="1">
      <alignment horizontal="right"/>
    </xf>
    <xf numFmtId="0" fontId="26" fillId="38" borderId="50" xfId="31" applyFont="1" applyFill="1" applyBorder="1" applyAlignment="1">
      <alignment horizontal="center" vertical="center"/>
    </xf>
    <xf numFmtId="1" fontId="26" fillId="38" borderId="50" xfId="31" applyNumberFormat="1" applyFont="1" applyFill="1" applyBorder="1" applyAlignment="1">
      <alignment horizontal="center" vertical="center"/>
    </xf>
    <xf numFmtId="166" fontId="26" fillId="38" borderId="50" xfId="10" applyFont="1" applyFill="1" applyBorder="1" applyAlignment="1">
      <alignment horizontal="center" vertical="center"/>
    </xf>
    <xf numFmtId="1" fontId="26" fillId="38" borderId="50" xfId="10" applyNumberFormat="1" applyFont="1" applyFill="1" applyBorder="1" applyAlignment="1">
      <alignment horizontal="center" vertical="center"/>
    </xf>
    <xf numFmtId="0" fontId="28" fillId="0" borderId="0" xfId="20" applyFont="1" applyFill="1" applyAlignment="1">
      <alignment horizontal="center"/>
    </xf>
    <xf numFmtId="9" fontId="76" fillId="12" borderId="0" xfId="29" applyFont="1" applyFill="1" applyBorder="1" applyAlignment="1" applyProtection="1">
      <alignment horizontal="center" vertical="center"/>
    </xf>
    <xf numFmtId="3" fontId="6" fillId="0" borderId="0" xfId="10" applyNumberFormat="1" applyFont="1" applyFill="1" applyAlignment="1">
      <alignment horizontal="center"/>
    </xf>
    <xf numFmtId="3" fontId="26" fillId="0" borderId="0" xfId="31" applyNumberFormat="1" applyFont="1" applyAlignment="1">
      <alignment horizontal="center"/>
    </xf>
    <xf numFmtId="3" fontId="28" fillId="0" borderId="0" xfId="20" applyNumberFormat="1" applyFont="1" applyFill="1" applyAlignment="1">
      <alignment horizontal="center"/>
    </xf>
    <xf numFmtId="3" fontId="76" fillId="0" borderId="0" xfId="31" applyNumberFormat="1" applyFont="1" applyAlignment="1">
      <alignment horizontal="center" vertical="center"/>
    </xf>
    <xf numFmtId="3" fontId="6" fillId="0" borderId="0" xfId="31" applyNumberFormat="1" applyFont="1" applyFill="1" applyAlignment="1">
      <alignment horizontal="center"/>
    </xf>
    <xf numFmtId="3" fontId="26" fillId="0" borderId="0" xfId="31" applyNumberFormat="1" applyFont="1" applyFill="1" applyAlignment="1">
      <alignment horizontal="center"/>
    </xf>
    <xf numFmtId="179" fontId="25" fillId="0" borderId="0" xfId="0" applyNumberFormat="1" applyFont="1" applyFill="1" applyBorder="1" applyAlignment="1">
      <alignment horizontal="center"/>
    </xf>
    <xf numFmtId="2" fontId="26" fillId="0" borderId="0" xfId="2" applyNumberFormat="1" applyFont="1" applyFill="1" applyAlignment="1">
      <alignment horizontal="center" vertical="center"/>
    </xf>
    <xf numFmtId="2" fontId="26" fillId="0" borderId="0" xfId="17" applyNumberFormat="1" applyFont="1" applyFill="1" applyBorder="1" applyAlignment="1" applyProtection="1">
      <alignment horizontal="center"/>
      <protection hidden="1"/>
    </xf>
    <xf numFmtId="2" fontId="26" fillId="0" borderId="0" xfId="20" applyNumberFormat="1" applyFont="1" applyFill="1" applyAlignment="1">
      <alignment horizontal="center" vertical="center"/>
    </xf>
    <xf numFmtId="2" fontId="26" fillId="0" borderId="6" xfId="2" applyNumberFormat="1" applyFont="1" applyFill="1" applyBorder="1" applyAlignment="1">
      <alignment horizontal="center" vertical="center"/>
    </xf>
    <xf numFmtId="2" fontId="25" fillId="0" borderId="0" xfId="2" applyNumberFormat="1" applyFont="1" applyFill="1" applyBorder="1" applyAlignment="1" applyProtection="1">
      <alignment horizontal="center" vertical="center"/>
      <protection hidden="1"/>
    </xf>
    <xf numFmtId="2" fontId="26" fillId="0" borderId="0" xfId="2" applyNumberFormat="1" applyFont="1" applyFill="1" applyAlignment="1">
      <alignment horizontal="center"/>
    </xf>
    <xf numFmtId="2" fontId="25" fillId="0" borderId="0" xfId="2" applyNumberFormat="1" applyFont="1" applyFill="1" applyBorder="1" applyAlignment="1" applyProtection="1">
      <alignment horizontal="center"/>
      <protection hidden="1"/>
    </xf>
    <xf numFmtId="4" fontId="26" fillId="0" borderId="0" xfId="2" applyNumberFormat="1" applyFont="1" applyFill="1" applyAlignment="1">
      <alignment horizontal="center" vertical="center"/>
    </xf>
    <xf numFmtId="4" fontId="26" fillId="0" borderId="0" xfId="20" applyNumberFormat="1" applyFont="1" applyFill="1" applyAlignment="1">
      <alignment horizontal="center" vertical="center"/>
    </xf>
    <xf numFmtId="4" fontId="26" fillId="0" borderId="6" xfId="2" applyNumberFormat="1" applyFont="1" applyFill="1" applyBorder="1" applyAlignment="1">
      <alignment horizontal="center" vertical="center"/>
    </xf>
    <xf numFmtId="4" fontId="25" fillId="0" borderId="0" xfId="2" applyNumberFormat="1" applyFont="1" applyFill="1" applyBorder="1" applyAlignment="1" applyProtection="1">
      <alignment horizontal="center" vertical="center"/>
      <protection hidden="1"/>
    </xf>
    <xf numFmtId="4" fontId="26" fillId="0" borderId="0" xfId="17" applyNumberFormat="1" applyFont="1" applyFill="1" applyBorder="1" applyAlignment="1" applyProtection="1">
      <alignment horizontal="center" vertical="center"/>
      <protection hidden="1"/>
    </xf>
    <xf numFmtId="4" fontId="26" fillId="0" borderId="0" xfId="2" applyNumberFormat="1" applyFont="1" applyFill="1" applyAlignment="1">
      <alignment horizontal="center"/>
    </xf>
    <xf numFmtId="4" fontId="25" fillId="0" borderId="0" xfId="2" applyNumberFormat="1" applyFont="1" applyFill="1" applyBorder="1" applyAlignment="1" applyProtection="1">
      <alignment horizontal="center"/>
      <protection hidden="1"/>
    </xf>
    <xf numFmtId="0" fontId="102" fillId="0" borderId="0" xfId="0" applyFont="1" applyFill="1" applyAlignment="1">
      <alignment vertical="center"/>
    </xf>
    <xf numFmtId="0" fontId="103" fillId="0" borderId="0" xfId="0" applyFont="1" applyFill="1" applyBorder="1" applyAlignment="1">
      <alignment vertical="center"/>
    </xf>
    <xf numFmtId="49" fontId="22" fillId="0" borderId="0" xfId="20" applyNumberFormat="1" applyFont="1" applyFill="1" applyBorder="1" applyAlignment="1">
      <alignment horizontal="left" vertical="center" indent="1"/>
    </xf>
    <xf numFmtId="0" fontId="18" fillId="0" borderId="0" xfId="0" applyFont="1" applyFill="1" applyAlignment="1">
      <alignment horizontal="left" vertical="center" indent="1"/>
    </xf>
    <xf numFmtId="43" fontId="71" fillId="0" borderId="0" xfId="2" applyNumberFormat="1" applyFont="1" applyFill="1" applyAlignment="1">
      <alignment horizontal="right"/>
    </xf>
    <xf numFmtId="177" fontId="26" fillId="0" borderId="0" xfId="17" applyNumberFormat="1" applyFont="1" applyFill="1" applyBorder="1" applyAlignment="1" applyProtection="1">
      <alignment horizontal="left"/>
      <protection hidden="1"/>
    </xf>
    <xf numFmtId="192" fontId="25" fillId="0" borderId="0" xfId="3" applyNumberFormat="1" applyFont="1" applyFill="1" applyBorder="1" applyAlignment="1" applyProtection="1">
      <alignment horizontal="center"/>
      <protection hidden="1"/>
    </xf>
    <xf numFmtId="43" fontId="26" fillId="0" borderId="0" xfId="2" applyNumberFormat="1" applyFont="1" applyFill="1" applyAlignment="1"/>
    <xf numFmtId="0" fontId="26" fillId="0" borderId="0" xfId="31" applyFont="1" applyAlignment="1">
      <alignment horizontal="left"/>
    </xf>
    <xf numFmtId="200" fontId="26" fillId="0" borderId="0" xfId="20" applyNumberFormat="1" applyFont="1" applyFill="1" applyAlignment="1"/>
    <xf numFmtId="200" fontId="25" fillId="0" borderId="0" xfId="17" applyNumberFormat="1" applyFont="1" applyFill="1" applyBorder="1" applyAlignment="1" applyProtection="1">
      <alignment horizontal="left"/>
      <protection hidden="1"/>
    </xf>
    <xf numFmtId="0" fontId="67" fillId="0" borderId="0" xfId="31" applyFont="1"/>
    <xf numFmtId="0" fontId="67" fillId="0" borderId="0" xfId="31" applyFont="1" applyAlignment="1">
      <alignment horizontal="left"/>
    </xf>
    <xf numFmtId="200" fontId="25" fillId="0" borderId="0" xfId="17" applyNumberFormat="1" applyFont="1" applyFill="1" applyBorder="1" applyAlignment="1" applyProtection="1">
      <alignment horizontal="left" vertical="center"/>
      <protection hidden="1"/>
    </xf>
    <xf numFmtId="200" fontId="26" fillId="11" borderId="9" xfId="29" applyNumberFormat="1" applyFont="1" applyFill="1" applyBorder="1" applyAlignment="1" applyProtection="1">
      <alignment horizontal="center" vertical="center"/>
      <protection hidden="1"/>
    </xf>
    <xf numFmtId="185" fontId="19" fillId="0" borderId="0" xfId="0" applyNumberFormat="1" applyFont="1" applyFill="1" applyAlignment="1">
      <alignment vertical="center"/>
    </xf>
    <xf numFmtId="200" fontId="18" fillId="0" borderId="0" xfId="0" applyNumberFormat="1" applyFont="1" applyFill="1" applyAlignment="1">
      <alignment horizontal="center" vertical="center"/>
    </xf>
    <xf numFmtId="193" fontId="21" fillId="0" borderId="0" xfId="20" applyNumberFormat="1" applyFont="1" applyFill="1" applyBorder="1" applyAlignment="1">
      <alignment horizontal="left"/>
    </xf>
    <xf numFmtId="193" fontId="21" fillId="0" borderId="0" xfId="20" applyNumberFormat="1" applyFont="1" applyFill="1" applyBorder="1" applyAlignment="1">
      <alignment horizontal="left" vertical="center"/>
    </xf>
    <xf numFmtId="3" fontId="106" fillId="0" borderId="0" xfId="0" applyNumberFormat="1" applyFont="1"/>
    <xf numFmtId="200" fontId="19" fillId="0" borderId="0" xfId="0" applyNumberFormat="1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3" fontId="6" fillId="0" borderId="1" xfId="24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81" fontId="6" fillId="0" borderId="1" xfId="10" applyNumberFormat="1" applyFont="1" applyFill="1" applyBorder="1" applyAlignment="1">
      <alignment horizontal="right" vertical="center"/>
    </xf>
    <xf numFmtId="10" fontId="6" fillId="0" borderId="1" xfId="0" applyNumberFormat="1" applyFont="1" applyFill="1" applyBorder="1" applyAlignment="1" applyProtection="1">
      <alignment horizontal="center" vertical="center"/>
    </xf>
    <xf numFmtId="175" fontId="6" fillId="0" borderId="1" xfId="0" applyNumberFormat="1" applyFont="1" applyFill="1" applyBorder="1" applyAlignment="1" applyProtection="1">
      <alignment horizontal="left" vertical="center" indent="1"/>
    </xf>
    <xf numFmtId="175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10" applyNumberFormat="1" applyFont="1" applyFill="1" applyBorder="1" applyAlignment="1">
      <alignment horizontal="left" vertical="center"/>
    </xf>
    <xf numFmtId="0" fontId="105" fillId="0" borderId="0" xfId="0" applyFont="1" applyFill="1" applyAlignment="1">
      <alignment vertical="center"/>
    </xf>
    <xf numFmtId="1" fontId="75" fillId="0" borderId="0" xfId="20" applyNumberFormat="1" applyFont="1" applyFill="1" applyBorder="1" applyAlignment="1">
      <alignment horizontal="left"/>
    </xf>
    <xf numFmtId="1" fontId="75" fillId="0" borderId="0" xfId="20" applyNumberFormat="1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66" fontId="67" fillId="0" borderId="52" xfId="10" applyFont="1" applyBorder="1" applyAlignment="1">
      <alignment horizontal="right" vertical="center"/>
    </xf>
    <xf numFmtId="201" fontId="26" fillId="0" borderId="0" xfId="0" applyNumberFormat="1" applyFont="1" applyFill="1" applyAlignment="1">
      <alignment horizontal="center"/>
    </xf>
    <xf numFmtId="180" fontId="25" fillId="0" borderId="0" xfId="0" applyNumberFormat="1" applyFont="1" applyFill="1" applyAlignment="1">
      <alignment horizontal="center"/>
    </xf>
    <xf numFmtId="180" fontId="26" fillId="0" borderId="0" xfId="0" applyNumberFormat="1" applyFont="1" applyFill="1" applyAlignment="1">
      <alignment horizontal="center"/>
    </xf>
    <xf numFmtId="2" fontId="25" fillId="0" borderId="0" xfId="0" applyNumberFormat="1" applyFont="1" applyFill="1" applyAlignment="1">
      <alignment horizontal="right"/>
    </xf>
    <xf numFmtId="176" fontId="2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vertical="center"/>
    </xf>
    <xf numFmtId="193" fontId="21" fillId="0" borderId="0" xfId="2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Alignment="1"/>
    <xf numFmtId="2" fontId="25" fillId="0" borderId="0" xfId="0" applyNumberFormat="1" applyFont="1" applyFill="1" applyAlignment="1"/>
    <xf numFmtId="166" fontId="25" fillId="0" borderId="0" xfId="10" applyFont="1" applyFill="1" applyAlignment="1"/>
    <xf numFmtId="0" fontId="28" fillId="0" borderId="0" xfId="0" applyFont="1" applyFill="1" applyAlignment="1"/>
    <xf numFmtId="2" fontId="26" fillId="0" borderId="0" xfId="0" applyNumberFormat="1" applyFont="1" applyFill="1" applyAlignment="1"/>
    <xf numFmtId="2" fontId="26" fillId="11" borderId="9" xfId="29" applyNumberFormat="1" applyFont="1" applyFill="1" applyBorder="1" applyAlignment="1" applyProtection="1">
      <alignment horizontal="center"/>
      <protection hidden="1"/>
    </xf>
    <xf numFmtId="180" fontId="0" fillId="0" borderId="0" xfId="0" applyNumberFormat="1" applyAlignment="1"/>
    <xf numFmtId="180" fontId="18" fillId="0" borderId="0" xfId="0" quotePrefix="1" applyNumberFormat="1" applyFont="1" applyAlignment="1"/>
    <xf numFmtId="0" fontId="18" fillId="0" borderId="0" xfId="0" applyFont="1" applyFill="1" applyAlignment="1"/>
    <xf numFmtId="200" fontId="18" fillId="0" borderId="0" xfId="0" applyNumberFormat="1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/>
    </xf>
    <xf numFmtId="0" fontId="76" fillId="0" borderId="0" xfId="0" applyFont="1" applyFill="1" applyAlignment="1">
      <alignment horizontal="left" vertical="center"/>
    </xf>
    <xf numFmtId="0" fontId="53" fillId="0" borderId="0" xfId="0" applyFont="1" applyFill="1" applyBorder="1" applyAlignment="1">
      <alignment horizontal="center" vertical="center"/>
    </xf>
    <xf numFmtId="1" fontId="31" fillId="0" borderId="0" xfId="0" applyNumberFormat="1" applyFont="1" applyFill="1" applyAlignment="1"/>
    <xf numFmtId="1" fontId="25" fillId="0" borderId="0" xfId="0" applyNumberFormat="1" applyFont="1" applyFill="1" applyAlignment="1"/>
    <xf numFmtId="1" fontId="26" fillId="0" borderId="24" xfId="10" applyNumberFormat="1" applyFont="1" applyFill="1" applyBorder="1" applyAlignment="1">
      <alignment vertical="center"/>
    </xf>
    <xf numFmtId="1" fontId="26" fillId="0" borderId="0" xfId="0" applyNumberFormat="1" applyFont="1" applyFill="1" applyAlignment="1"/>
    <xf numFmtId="201" fontId="53" fillId="11" borderId="0" xfId="0" applyNumberFormat="1" applyFont="1" applyFill="1" applyBorder="1" applyAlignment="1">
      <alignment horizontal="center" vertical="center" wrapText="1"/>
    </xf>
    <xf numFmtId="180" fontId="53" fillId="11" borderId="0" xfId="0" applyNumberFormat="1" applyFont="1" applyFill="1" applyBorder="1" applyAlignment="1">
      <alignment horizontal="center" vertical="center" wrapText="1"/>
    </xf>
    <xf numFmtId="1" fontId="53" fillId="11" borderId="0" xfId="0" applyNumberFormat="1" applyFont="1" applyFill="1" applyBorder="1" applyAlignment="1">
      <alignment horizontal="center" vertical="center" wrapText="1"/>
    </xf>
    <xf numFmtId="2" fontId="25" fillId="0" borderId="0" xfId="10" applyNumberFormat="1" applyFont="1" applyFill="1" applyAlignment="1">
      <alignment horizontal="center"/>
    </xf>
    <xf numFmtId="2" fontId="18" fillId="0" borderId="0" xfId="29" applyNumberFormat="1" applyFont="1" applyFill="1" applyAlignment="1">
      <alignment horizontal="center"/>
    </xf>
    <xf numFmtId="2" fontId="53" fillId="11" borderId="0" xfId="10" applyNumberFormat="1" applyFont="1" applyFill="1" applyBorder="1" applyAlignment="1">
      <alignment horizontal="center" vertical="center" wrapText="1"/>
    </xf>
    <xf numFmtId="0" fontId="107" fillId="0" borderId="0" xfId="0" applyFont="1" applyFill="1" applyAlignment="1">
      <alignment vertical="center"/>
    </xf>
    <xf numFmtId="0" fontId="108" fillId="0" borderId="0" xfId="0" applyFont="1" applyFill="1" applyBorder="1" applyAlignment="1">
      <alignment vertical="center"/>
    </xf>
    <xf numFmtId="0" fontId="18" fillId="39" borderId="0" xfId="0" applyFont="1" applyFill="1" applyBorder="1" applyAlignment="1">
      <alignment horizontal="center" vertical="center"/>
    </xf>
    <xf numFmtId="201" fontId="26" fillId="0" borderId="23" xfId="0" applyNumberFormat="1" applyFont="1" applyFill="1" applyBorder="1" applyAlignment="1">
      <alignment horizontal="center" vertical="center"/>
    </xf>
    <xf numFmtId="180" fontId="18" fillId="0" borderId="23" xfId="0" applyNumberFormat="1" applyFont="1" applyFill="1" applyBorder="1" applyAlignment="1">
      <alignment horizontal="center" vertical="center"/>
    </xf>
    <xf numFmtId="2" fontId="18" fillId="0" borderId="23" xfId="0" applyNumberFormat="1" applyFont="1" applyFill="1" applyBorder="1" applyAlignment="1">
      <alignment horizontal="center" vertical="center"/>
    </xf>
    <xf numFmtId="178" fontId="5" fillId="0" borderId="23" xfId="0" applyNumberFormat="1" applyFont="1" applyFill="1" applyBorder="1" applyAlignment="1">
      <alignment horizontal="center" vertical="center"/>
    </xf>
    <xf numFmtId="1" fontId="62" fillId="0" borderId="23" xfId="0" applyNumberFormat="1" applyFont="1" applyFill="1" applyBorder="1" applyAlignment="1">
      <alignment horizontal="center" vertical="center"/>
    </xf>
    <xf numFmtId="2" fontId="26" fillId="0" borderId="0" xfId="10" applyNumberFormat="1" applyFont="1" applyFill="1" applyBorder="1" applyAlignment="1">
      <alignment horizontal="center" vertical="center"/>
    </xf>
    <xf numFmtId="176" fontId="26" fillId="0" borderId="1" xfId="1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2" fontId="26" fillId="0" borderId="12" xfId="0" applyNumberFormat="1" applyFont="1" applyFill="1" applyBorder="1" applyAlignment="1">
      <alignment horizontal="center" vertical="center"/>
    </xf>
    <xf numFmtId="166" fontId="26" fillId="0" borderId="0" xfId="1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8" fillId="0" borderId="34" xfId="0" applyFont="1" applyFill="1" applyBorder="1" applyAlignment="1"/>
    <xf numFmtId="0" fontId="30" fillId="0" borderId="0" xfId="22" applyFont="1" applyAlignment="1"/>
    <xf numFmtId="4" fontId="18" fillId="0" borderId="0" xfId="22" applyNumberFormat="1" applyAlignment="1"/>
    <xf numFmtId="0" fontId="18" fillId="0" borderId="0" xfId="22" applyAlignment="1"/>
    <xf numFmtId="0" fontId="26" fillId="0" borderId="0" xfId="0" applyFont="1" applyAlignment="1"/>
    <xf numFmtId="0" fontId="26" fillId="0" borderId="56" xfId="0" applyFont="1" applyBorder="1" applyAlignment="1">
      <alignment vertical="center"/>
    </xf>
    <xf numFmtId="185" fontId="18" fillId="0" borderId="56" xfId="22" applyNumberFormat="1" applyBorder="1"/>
    <xf numFmtId="0" fontId="18" fillId="0" borderId="56" xfId="22" applyBorder="1"/>
    <xf numFmtId="200" fontId="1" fillId="0" borderId="0" xfId="0" applyNumberFormat="1" applyFont="1" applyFill="1" applyBorder="1" applyAlignment="1">
      <alignment horizontal="center" vertical="center"/>
    </xf>
    <xf numFmtId="0" fontId="29" fillId="0" borderId="0" xfId="18" applyFont="1" applyFill="1" applyAlignment="1">
      <alignment vertical="center"/>
    </xf>
    <xf numFmtId="0" fontId="29" fillId="0" borderId="0" xfId="18" applyFont="1" applyFill="1" applyAlignment="1">
      <alignment horizontal="center" vertical="center"/>
    </xf>
    <xf numFmtId="0" fontId="25" fillId="0" borderId="0" xfId="18" applyFont="1" applyFill="1" applyBorder="1" applyAlignment="1">
      <alignment horizontal="center" vertical="center"/>
    </xf>
    <xf numFmtId="2" fontId="29" fillId="0" borderId="0" xfId="18" applyNumberFormat="1" applyFont="1" applyFill="1" applyAlignment="1">
      <alignment vertical="center"/>
    </xf>
    <xf numFmtId="2" fontId="27" fillId="0" borderId="0" xfId="18" applyNumberFormat="1" applyFont="1" applyFill="1" applyBorder="1" applyAlignment="1">
      <alignment vertical="center"/>
    </xf>
    <xf numFmtId="1" fontId="21" fillId="0" borderId="0" xfId="20" applyNumberFormat="1" applyFont="1" applyFill="1" applyBorder="1" applyAlignment="1">
      <alignment horizontal="left" vertical="center"/>
    </xf>
    <xf numFmtId="2" fontId="28" fillId="0" borderId="0" xfId="20" applyNumberFormat="1" applyFont="1" applyFill="1" applyBorder="1" applyAlignment="1">
      <alignment horizontal="left" vertical="center"/>
    </xf>
    <xf numFmtId="194" fontId="63" fillId="0" borderId="0" xfId="0" applyNumberFormat="1" applyFont="1" applyFill="1" applyAlignment="1">
      <alignment horizontal="left" vertical="center"/>
    </xf>
    <xf numFmtId="0" fontId="53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 wrapText="1"/>
    </xf>
    <xf numFmtId="0" fontId="26" fillId="0" borderId="0" xfId="18" applyFont="1" applyFill="1" applyAlignment="1">
      <alignment vertical="center"/>
    </xf>
    <xf numFmtId="0" fontId="25" fillId="0" borderId="0" xfId="18" applyFont="1" applyFill="1" applyAlignment="1">
      <alignment vertical="center"/>
    </xf>
    <xf numFmtId="0" fontId="26" fillId="0" borderId="0" xfId="18" applyFont="1" applyFill="1" applyAlignment="1">
      <alignment horizontal="center" vertical="center"/>
    </xf>
    <xf numFmtId="0" fontId="26" fillId="0" borderId="0" xfId="18" applyFont="1" applyFill="1" applyAlignment="1">
      <alignment horizontal="left" vertical="center"/>
    </xf>
    <xf numFmtId="179" fontId="25" fillId="0" borderId="58" xfId="17" applyNumberFormat="1" applyFont="1" applyFill="1" applyBorder="1" applyAlignment="1" applyProtection="1">
      <alignment horizontal="center"/>
      <protection hidden="1"/>
    </xf>
    <xf numFmtId="15" fontId="21" fillId="0" borderId="0" xfId="0" applyNumberFormat="1" applyFont="1" applyBorder="1" applyAlignment="1">
      <alignment horizontal="left"/>
    </xf>
    <xf numFmtId="1" fontId="21" fillId="0" borderId="0" xfId="0" applyNumberFormat="1" applyFont="1" applyBorder="1" applyAlignment="1">
      <alignment horizontal="left"/>
    </xf>
    <xf numFmtId="0" fontId="109" fillId="0" borderId="0" xfId="27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75" fillId="0" borderId="0" xfId="20" applyNumberFormat="1" applyFont="1" applyFill="1" applyAlignment="1"/>
    <xf numFmtId="194" fontId="32" fillId="0" borderId="0" xfId="20" applyNumberFormat="1" applyFont="1" applyFill="1" applyAlignment="1">
      <alignment horizontal="center"/>
    </xf>
    <xf numFmtId="2" fontId="26" fillId="0" borderId="0" xfId="10" applyNumberFormat="1" applyFont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0" applyNumberFormat="1" applyFont="1" applyFill="1" applyBorder="1" applyAlignment="1">
      <alignment horizontal="center" vertical="center" wrapText="1"/>
    </xf>
    <xf numFmtId="0" fontId="26" fillId="38" borderId="54" xfId="31" applyFont="1" applyFill="1" applyBorder="1" applyAlignment="1">
      <alignment horizontal="center" vertical="center"/>
    </xf>
    <xf numFmtId="0" fontId="26" fillId="38" borderId="50" xfId="0" applyFont="1" applyFill="1" applyBorder="1" applyAlignment="1">
      <alignment horizontal="center" vertical="center"/>
    </xf>
    <xf numFmtId="3" fontId="26" fillId="0" borderId="0" xfId="10" applyNumberFormat="1" applyFont="1" applyAlignment="1">
      <alignment horizontal="center"/>
    </xf>
    <xf numFmtId="181" fontId="6" fillId="0" borderId="1" xfId="10" applyNumberFormat="1" applyFont="1" applyFill="1" applyBorder="1" applyAlignment="1">
      <alignment horizontal="center" vertical="center"/>
    </xf>
    <xf numFmtId="3" fontId="26" fillId="0" borderId="0" xfId="10" applyNumberFormat="1" applyFont="1" applyFill="1" applyAlignment="1">
      <alignment horizontal="center"/>
    </xf>
    <xf numFmtId="185" fontId="26" fillId="0" borderId="0" xfId="0" applyNumberFormat="1" applyFont="1" applyFill="1"/>
    <xf numFmtId="2" fontId="25" fillId="0" borderId="0" xfId="0" applyNumberFormat="1" applyFont="1" applyAlignment="1">
      <alignment horizontal="left"/>
    </xf>
    <xf numFmtId="2" fontId="26" fillId="0" borderId="0" xfId="0" applyNumberFormat="1" applyFont="1"/>
    <xf numFmtId="0" fontId="26" fillId="0" borderId="0" xfId="0" applyFont="1"/>
    <xf numFmtId="3" fontId="1" fillId="0" borderId="1" xfId="0" applyNumberFormat="1" applyFont="1" applyBorder="1" applyAlignment="1">
      <alignment horizontal="center" vertical="center"/>
    </xf>
    <xf numFmtId="4" fontId="1" fillId="0" borderId="0" xfId="2" applyNumberFormat="1" applyFont="1" applyAlignment="1">
      <alignment horizontal="center" vertical="center"/>
    </xf>
    <xf numFmtId="2" fontId="26" fillId="11" borderId="23" xfId="0" applyNumberFormat="1" applyFont="1" applyFill="1" applyBorder="1" applyAlignment="1">
      <alignment horizontal="center" vertical="center"/>
    </xf>
    <xf numFmtId="0" fontId="18" fillId="0" borderId="63" xfId="0" applyFont="1" applyBorder="1"/>
    <xf numFmtId="0" fontId="18" fillId="0" borderId="64" xfId="0" applyFont="1" applyBorder="1"/>
    <xf numFmtId="0" fontId="18" fillId="0" borderId="65" xfId="0" applyFont="1" applyBorder="1"/>
    <xf numFmtId="0" fontId="18" fillId="0" borderId="66" xfId="0" applyFont="1" applyBorder="1"/>
    <xf numFmtId="0" fontId="18" fillId="0" borderId="67" xfId="0" applyFont="1" applyBorder="1"/>
    <xf numFmtId="0" fontId="18" fillId="0" borderId="68" xfId="0" applyFont="1" applyBorder="1"/>
    <xf numFmtId="0" fontId="18" fillId="0" borderId="69" xfId="0" applyFont="1" applyBorder="1"/>
    <xf numFmtId="0" fontId="18" fillId="0" borderId="70" xfId="0" applyFont="1" applyBorder="1"/>
    <xf numFmtId="193" fontId="18" fillId="0" borderId="66" xfId="0" applyNumberFormat="1" applyFont="1" applyBorder="1"/>
    <xf numFmtId="192" fontId="26" fillId="11" borderId="37" xfId="29" applyNumberFormat="1" applyFont="1" applyFill="1" applyBorder="1" applyAlignment="1" applyProtection="1">
      <alignment horizontal="center" vertical="center"/>
      <protection locked="0"/>
    </xf>
    <xf numFmtId="192" fontId="26" fillId="11" borderId="51" xfId="29" applyNumberFormat="1" applyFont="1" applyFill="1" applyBorder="1" applyAlignment="1" applyProtection="1">
      <alignment vertical="center"/>
      <protection locked="0"/>
    </xf>
    <xf numFmtId="15" fontId="21" fillId="0" borderId="0" xfId="20" applyNumberFormat="1" applyFont="1" applyFill="1" applyBorder="1" applyAlignment="1">
      <alignment horizontal="left"/>
    </xf>
    <xf numFmtId="193" fontId="21" fillId="0" borderId="0" xfId="2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center" vertical="center"/>
    </xf>
    <xf numFmtId="180" fontId="67" fillId="0" borderId="23" xfId="0" applyNumberFormat="1" applyFont="1" applyFill="1" applyBorder="1" applyAlignment="1">
      <alignment horizontal="center" vertical="center"/>
    </xf>
    <xf numFmtId="185" fontId="67" fillId="0" borderId="13" xfId="0" applyNumberFormat="1" applyFont="1" applyFill="1" applyBorder="1" applyAlignment="1">
      <alignment horizontal="center" vertical="center"/>
    </xf>
    <xf numFmtId="2" fontId="67" fillId="0" borderId="0" xfId="10" applyNumberFormat="1" applyFont="1" applyFill="1" applyBorder="1" applyAlignment="1">
      <alignment horizontal="center" vertical="center"/>
    </xf>
    <xf numFmtId="0" fontId="26" fillId="0" borderId="23" xfId="10" quotePrefix="1" applyNumberFormat="1" applyFont="1" applyFill="1" applyBorder="1" applyAlignment="1">
      <alignment vertical="center"/>
    </xf>
    <xf numFmtId="193" fontId="26" fillId="0" borderId="0" xfId="0" applyNumberFormat="1" applyFont="1" applyFill="1" applyAlignment="1">
      <alignment horizontal="center"/>
    </xf>
    <xf numFmtId="193" fontId="53" fillId="11" borderId="0" xfId="0" applyNumberFormat="1" applyFont="1" applyFill="1" applyBorder="1" applyAlignment="1">
      <alignment vertical="center" wrapText="1"/>
    </xf>
    <xf numFmtId="193" fontId="26" fillId="0" borderId="0" xfId="0" applyNumberFormat="1" applyFont="1" applyFill="1" applyAlignment="1"/>
    <xf numFmtId="0" fontId="1" fillId="0" borderId="66" xfId="0" applyFont="1" applyBorder="1" applyAlignment="1">
      <alignment horizontal="left"/>
    </xf>
    <xf numFmtId="0" fontId="1" fillId="0" borderId="0" xfId="0" applyFont="1" applyBorder="1" applyAlignment="1"/>
    <xf numFmtId="0" fontId="18" fillId="0" borderId="67" xfId="0" applyFont="1" applyBorder="1" applyAlignment="1">
      <alignment horizontal="center"/>
    </xf>
    <xf numFmtId="0" fontId="18" fillId="0" borderId="67" xfId="0" applyFont="1" applyBorder="1" applyAlignment="1">
      <alignment horizontal="center" wrapText="1"/>
    </xf>
    <xf numFmtId="193" fontId="26" fillId="0" borderId="0" xfId="0" applyNumberFormat="1" applyFont="1" applyFill="1" applyBorder="1" applyAlignment="1">
      <alignment horizontal="center" vertical="center"/>
    </xf>
    <xf numFmtId="0" fontId="26" fillId="0" borderId="66" xfId="0" applyNumberFormat="1" applyFont="1" applyFill="1" applyBorder="1" applyAlignment="1">
      <alignment horizontal="center" vertical="center"/>
    </xf>
    <xf numFmtId="0" fontId="18" fillId="0" borderId="71" xfId="0" applyFont="1" applyBorder="1"/>
    <xf numFmtId="0" fontId="18" fillId="0" borderId="58" xfId="0" applyFont="1" applyBorder="1"/>
    <xf numFmtId="10" fontId="67" fillId="11" borderId="9" xfId="29" applyNumberFormat="1" applyFont="1" applyFill="1" applyBorder="1" applyAlignment="1" applyProtection="1">
      <alignment horizontal="center" vertical="center"/>
      <protection hidden="1"/>
    </xf>
    <xf numFmtId="4" fontId="26" fillId="0" borderId="0" xfId="31" applyNumberFormat="1" applyFont="1" applyFill="1" applyAlignment="1">
      <alignment horizontal="center"/>
    </xf>
    <xf numFmtId="200" fontId="25" fillId="0" borderId="0" xfId="31" applyNumberFormat="1" applyFont="1" applyFill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3" fontId="26" fillId="0" borderId="35" xfId="0" applyNumberFormat="1" applyFont="1" applyFill="1" applyBorder="1" applyAlignment="1">
      <alignment wrapText="1"/>
    </xf>
    <xf numFmtId="3" fontId="26" fillId="0" borderId="36" xfId="0" applyNumberFormat="1" applyFont="1" applyFill="1" applyBorder="1" applyAlignment="1">
      <alignment wrapText="1"/>
    </xf>
    <xf numFmtId="184" fontId="25" fillId="0" borderId="0" xfId="5" applyNumberFormat="1" applyFont="1" applyFill="1" applyAlignment="1">
      <alignment horizontal="right"/>
    </xf>
    <xf numFmtId="200" fontId="26" fillId="0" borderId="0" xfId="20" applyNumberFormat="1" applyFont="1"/>
    <xf numFmtId="3" fontId="26" fillId="0" borderId="55" xfId="10" applyNumberFormat="1" applyFont="1" applyFill="1" applyBorder="1" applyAlignment="1">
      <alignment horizontal="right"/>
    </xf>
    <xf numFmtId="1" fontId="26" fillId="0" borderId="72" xfId="31" applyNumberFormat="1" applyFont="1" applyFill="1" applyBorder="1" applyAlignment="1">
      <alignment horizontal="center"/>
    </xf>
    <xf numFmtId="166" fontId="26" fillId="0" borderId="72" xfId="10" applyFont="1" applyFill="1" applyBorder="1" applyAlignment="1">
      <alignment horizontal="left"/>
    </xf>
    <xf numFmtId="3" fontId="26" fillId="0" borderId="72" xfId="10" applyNumberFormat="1" applyFont="1" applyFill="1" applyBorder="1" applyAlignment="1">
      <alignment horizontal="right"/>
    </xf>
    <xf numFmtId="1" fontId="26" fillId="0" borderId="52" xfId="31" applyNumberFormat="1" applyFont="1" applyBorder="1" applyAlignment="1">
      <alignment horizontal="center"/>
    </xf>
    <xf numFmtId="3" fontId="25" fillId="0" borderId="0" xfId="10" applyNumberFormat="1" applyFont="1" applyFill="1" applyAlignment="1">
      <alignment horizontal="right"/>
    </xf>
    <xf numFmtId="4" fontId="18" fillId="0" borderId="0" xfId="0" applyNumberFormat="1" applyFont="1" applyFill="1" applyAlignment="1">
      <alignment horizontal="center" vertical="center" wrapText="1"/>
    </xf>
    <xf numFmtId="0" fontId="76" fillId="0" borderId="0" xfId="0" applyNumberFormat="1" applyFont="1" applyFill="1" applyAlignment="1"/>
    <xf numFmtId="0" fontId="75" fillId="0" borderId="0" xfId="20" applyNumberFormat="1" applyFont="1" applyFill="1" applyBorder="1" applyAlignment="1"/>
    <xf numFmtId="0" fontId="1" fillId="0" borderId="0" xfId="0" applyFont="1" applyFill="1" applyAlignment="1"/>
    <xf numFmtId="0" fontId="1" fillId="0" borderId="0" xfId="0" applyNumberFormat="1" applyFont="1" applyFill="1" applyAlignment="1"/>
    <xf numFmtId="194" fontId="110" fillId="0" borderId="0" xfId="20" applyNumberFormat="1" applyFont="1" applyFill="1" applyAlignment="1"/>
    <xf numFmtId="0" fontId="1" fillId="0" borderId="23" xfId="1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left" vertical="center" indent="1"/>
    </xf>
    <xf numFmtId="181" fontId="101" fillId="0" borderId="0" xfId="0" applyNumberFormat="1" applyFont="1" applyFill="1" applyAlignment="1">
      <alignment horizontal="center"/>
    </xf>
    <xf numFmtId="178" fontId="101" fillId="0" borderId="0" xfId="0" applyNumberFormat="1" applyFont="1" applyFill="1" applyAlignment="1">
      <alignment horizontal="center"/>
    </xf>
    <xf numFmtId="178" fontId="67" fillId="0" borderId="0" xfId="0" applyNumberFormat="1" applyFont="1" applyFill="1" applyAlignment="1">
      <alignment horizontal="center"/>
    </xf>
    <xf numFmtId="2" fontId="1" fillId="0" borderId="1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6" fillId="11" borderId="37" xfId="29" applyNumberFormat="1" applyFont="1" applyFill="1" applyBorder="1" applyAlignment="1" applyProtection="1">
      <alignment horizontal="center" vertical="center"/>
      <protection hidden="1"/>
    </xf>
    <xf numFmtId="0" fontId="62" fillId="0" borderId="0" xfId="0" applyFont="1" applyAlignment="1">
      <alignment horizontal="center" vertical="center"/>
    </xf>
    <xf numFmtId="192" fontId="26" fillId="11" borderId="37" xfId="29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>
      <alignment horizontal="right" vertical="center"/>
    </xf>
    <xf numFmtId="0" fontId="111" fillId="0" borderId="0" xfId="27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/>
    </xf>
    <xf numFmtId="0" fontId="32" fillId="0" borderId="0" xfId="0" applyFont="1" applyAlignment="1">
      <alignment horizontal="left" indent="3"/>
    </xf>
    <xf numFmtId="0" fontId="0" fillId="0" borderId="0" xfId="0" applyFont="1" applyFill="1" applyAlignment="1">
      <alignment vertical="center"/>
    </xf>
    <xf numFmtId="2" fontId="53" fillId="40" borderId="55" xfId="0" applyNumberFormat="1" applyFont="1" applyFill="1" applyBorder="1" applyAlignment="1">
      <alignment horizontal="left" vertical="center" wrapText="1" indent="1"/>
    </xf>
    <xf numFmtId="49" fontId="53" fillId="40" borderId="72" xfId="17" applyNumberFormat="1" applyFont="1" applyFill="1" applyBorder="1" applyAlignment="1" applyProtection="1">
      <alignment horizontal="center" vertical="center" wrapText="1"/>
      <protection hidden="1"/>
    </xf>
    <xf numFmtId="2" fontId="53" fillId="40" borderId="72" xfId="0" applyNumberFormat="1" applyFont="1" applyFill="1" applyBorder="1" applyAlignment="1">
      <alignment vertical="center" wrapText="1"/>
    </xf>
    <xf numFmtId="2" fontId="53" fillId="40" borderId="72" xfId="0" applyNumberFormat="1" applyFont="1" applyFill="1" applyBorder="1" applyAlignment="1">
      <alignment horizontal="center" vertical="center" wrapText="1"/>
    </xf>
    <xf numFmtId="49" fontId="53" fillId="40" borderId="73" xfId="17" applyNumberFormat="1" applyFont="1" applyFill="1" applyBorder="1" applyAlignment="1" applyProtection="1">
      <alignment horizontal="center" vertical="center" wrapText="1"/>
      <protection hidden="1"/>
    </xf>
    <xf numFmtId="2" fontId="53" fillId="40" borderId="55" xfId="0" applyNumberFormat="1" applyFont="1" applyFill="1" applyBorder="1" applyAlignment="1">
      <alignment horizontal="center" vertical="center" wrapText="1"/>
    </xf>
    <xf numFmtId="0" fontId="10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26" fillId="11" borderId="74" xfId="0" applyNumberFormat="1" applyFont="1" applyFill="1" applyBorder="1" applyAlignment="1">
      <alignment horizontal="center" vertical="center"/>
    </xf>
    <xf numFmtId="176" fontId="26" fillId="0" borderId="75" xfId="10" applyNumberFormat="1" applyFont="1" applyFill="1" applyBorder="1" applyAlignment="1">
      <alignment horizontal="center" vertical="center"/>
    </xf>
    <xf numFmtId="2" fontId="26" fillId="0" borderId="74" xfId="10" applyNumberFormat="1" applyFont="1" applyFill="1" applyBorder="1" applyAlignment="1">
      <alignment horizontal="center" vertical="center"/>
    </xf>
    <xf numFmtId="185" fontId="26" fillId="0" borderId="76" xfId="0" applyNumberFormat="1" applyFont="1" applyFill="1" applyBorder="1" applyAlignment="1">
      <alignment horizontal="center" vertical="center"/>
    </xf>
    <xf numFmtId="0" fontId="53" fillId="40" borderId="55" xfId="0" applyNumberFormat="1" applyFont="1" applyFill="1" applyBorder="1" applyAlignment="1">
      <alignment horizontal="center" vertical="center" wrapText="1"/>
    </xf>
    <xf numFmtId="201" fontId="53" fillId="40" borderId="72" xfId="0" applyNumberFormat="1" applyFont="1" applyFill="1" applyBorder="1" applyAlignment="1">
      <alignment horizontal="center" vertical="center" wrapText="1"/>
    </xf>
    <xf numFmtId="0" fontId="76" fillId="40" borderId="72" xfId="0" applyNumberFormat="1" applyFont="1" applyFill="1" applyBorder="1" applyAlignment="1">
      <alignment vertical="center" wrapText="1"/>
    </xf>
    <xf numFmtId="0" fontId="53" fillId="40" borderId="72" xfId="0" applyFont="1" applyFill="1" applyBorder="1" applyAlignment="1">
      <alignment horizontal="center" vertical="center" wrapText="1"/>
    </xf>
    <xf numFmtId="178" fontId="53" fillId="40" borderId="72" xfId="0" applyNumberFormat="1" applyFont="1" applyFill="1" applyBorder="1" applyAlignment="1">
      <alignment horizontal="center" vertical="center" wrapText="1"/>
    </xf>
    <xf numFmtId="166" fontId="53" fillId="40" borderId="72" xfId="10" applyFont="1" applyFill="1" applyBorder="1" applyAlignment="1">
      <alignment horizontal="center" vertical="center" wrapText="1"/>
    </xf>
    <xf numFmtId="2" fontId="53" fillId="40" borderId="72" xfId="10" applyNumberFormat="1" applyFont="1" applyFill="1" applyBorder="1" applyAlignment="1">
      <alignment horizontal="center" vertical="center" wrapText="1"/>
    </xf>
    <xf numFmtId="182" fontId="53" fillId="40" borderId="72" xfId="10" applyNumberFormat="1" applyFont="1" applyFill="1" applyBorder="1" applyAlignment="1">
      <alignment horizontal="center" vertical="center" wrapText="1"/>
    </xf>
    <xf numFmtId="0" fontId="53" fillId="40" borderId="73" xfId="0" applyFont="1" applyFill="1" applyBorder="1" applyAlignment="1">
      <alignment horizontal="center" vertical="center" wrapText="1"/>
    </xf>
    <xf numFmtId="0" fontId="25" fillId="40" borderId="72" xfId="20" applyFont="1" applyFill="1" applyBorder="1" applyAlignment="1">
      <alignment horizontal="center" vertical="center" wrapText="1"/>
    </xf>
    <xf numFmtId="0" fontId="25" fillId="40" borderId="72" xfId="17" applyFont="1" applyFill="1" applyBorder="1" applyAlignment="1" applyProtection="1">
      <alignment horizontal="center" vertical="center" wrapText="1"/>
      <protection hidden="1"/>
    </xf>
    <xf numFmtId="0" fontId="25" fillId="40" borderId="73" xfId="17" applyFont="1" applyFill="1" applyBorder="1" applyAlignment="1" applyProtection="1">
      <alignment horizontal="center" vertical="center" wrapText="1"/>
      <protection hidden="1"/>
    </xf>
    <xf numFmtId="49" fontId="25" fillId="40" borderId="55" xfId="17" applyNumberFormat="1" applyFont="1" applyFill="1" applyBorder="1" applyAlignment="1" applyProtection="1">
      <alignment horizontal="center" vertical="center" wrapText="1"/>
      <protection hidden="1"/>
    </xf>
    <xf numFmtId="173" fontId="53" fillId="40" borderId="77" xfId="0" applyNumberFormat="1" applyFont="1" applyFill="1" applyBorder="1" applyAlignment="1" applyProtection="1">
      <alignment horizontal="left" vertical="center" wrapText="1"/>
    </xf>
    <xf numFmtId="173" fontId="53" fillId="40" borderId="78" xfId="0" applyNumberFormat="1" applyFont="1" applyFill="1" applyBorder="1" applyAlignment="1" applyProtection="1">
      <alignment horizontal="center" vertical="center" wrapText="1"/>
    </xf>
    <xf numFmtId="2" fontId="53" fillId="40" borderId="78" xfId="0" applyNumberFormat="1" applyFont="1" applyFill="1" applyBorder="1" applyAlignment="1">
      <alignment vertical="center" wrapText="1"/>
    </xf>
    <xf numFmtId="2" fontId="53" fillId="40" borderId="78" xfId="10" applyNumberFormat="1" applyFont="1" applyFill="1" applyBorder="1" applyAlignment="1" applyProtection="1">
      <alignment horizontal="left" vertical="center" wrapText="1"/>
    </xf>
    <xf numFmtId="2" fontId="53" fillId="40" borderId="78" xfId="0" applyNumberFormat="1" applyFont="1" applyFill="1" applyBorder="1" applyAlignment="1" applyProtection="1">
      <alignment horizontal="center" vertical="center" wrapText="1"/>
    </xf>
    <xf numFmtId="176" fontId="53" fillId="40" borderId="78" xfId="0" applyNumberFormat="1" applyFont="1" applyFill="1" applyBorder="1" applyAlignment="1" applyProtection="1">
      <alignment vertical="center" wrapText="1"/>
    </xf>
    <xf numFmtId="176" fontId="28" fillId="40" borderId="78" xfId="20" applyNumberFormat="1" applyFont="1" applyFill="1" applyBorder="1" applyAlignment="1"/>
    <xf numFmtId="176" fontId="53" fillId="40" borderId="78" xfId="0" applyNumberFormat="1" applyFont="1" applyFill="1" applyBorder="1" applyAlignment="1" applyProtection="1">
      <alignment horizontal="center" vertical="center" wrapText="1"/>
    </xf>
    <xf numFmtId="3" fontId="53" fillId="40" borderId="78" xfId="0" applyNumberFormat="1" applyFont="1" applyFill="1" applyBorder="1" applyAlignment="1" applyProtection="1">
      <alignment horizontal="center" vertical="center" wrapText="1"/>
    </xf>
    <xf numFmtId="181" fontId="53" fillId="40" borderId="78" xfId="0" applyNumberFormat="1" applyFont="1" applyFill="1" applyBorder="1" applyAlignment="1">
      <alignment horizontal="center" vertical="center" wrapText="1"/>
    </xf>
    <xf numFmtId="175" fontId="53" fillId="40" borderId="78" xfId="0" applyNumberFormat="1" applyFont="1" applyFill="1" applyBorder="1" applyAlignment="1" applyProtection="1">
      <alignment horizontal="center" vertical="center" wrapText="1"/>
    </xf>
    <xf numFmtId="175" fontId="53" fillId="40" borderId="79" xfId="0" applyNumberFormat="1" applyFont="1" applyFill="1" applyBorder="1" applyAlignment="1" applyProtection="1">
      <alignment horizontal="center" vertical="center" wrapText="1"/>
    </xf>
    <xf numFmtId="0" fontId="26" fillId="40" borderId="80" xfId="0" applyNumberFormat="1" applyFont="1" applyFill="1" applyBorder="1" applyAlignment="1">
      <alignment horizontal="center"/>
    </xf>
    <xf numFmtId="0" fontId="26" fillId="40" borderId="25" xfId="0" applyNumberFormat="1" applyFont="1" applyFill="1" applyBorder="1" applyAlignment="1">
      <alignment horizontal="center"/>
    </xf>
    <xf numFmtId="0" fontId="26" fillId="40" borderId="25" xfId="11" quotePrefix="1" applyNumberFormat="1" applyFont="1" applyFill="1" applyBorder="1" applyAlignment="1">
      <alignment horizontal="center"/>
    </xf>
    <xf numFmtId="0" fontId="26" fillId="40" borderId="25" xfId="0" applyNumberFormat="1" applyFont="1" applyFill="1" applyBorder="1" applyAlignment="1">
      <alignment horizontal="left"/>
    </xf>
    <xf numFmtId="3" fontId="25" fillId="40" borderId="25" xfId="0" applyNumberFormat="1" applyFont="1" applyFill="1" applyBorder="1" applyAlignment="1" applyProtection="1">
      <alignment horizontal="center"/>
    </xf>
    <xf numFmtId="176" fontId="28" fillId="40" borderId="0" xfId="20" applyNumberFormat="1" applyFont="1" applyFill="1" applyBorder="1" applyAlignment="1"/>
    <xf numFmtId="3" fontId="26" fillId="40" borderId="25" xfId="0" applyNumberFormat="1" applyFont="1" applyFill="1" applyBorder="1" applyAlignment="1" applyProtection="1">
      <alignment horizontal="right"/>
    </xf>
    <xf numFmtId="3" fontId="26" fillId="40" borderId="25" xfId="0" applyNumberFormat="1" applyFont="1" applyFill="1" applyBorder="1" applyAlignment="1">
      <alignment horizontal="center"/>
    </xf>
    <xf numFmtId="3" fontId="26" fillId="40" borderId="25" xfId="0" applyNumberFormat="1" applyFont="1" applyFill="1" applyBorder="1" applyAlignment="1" applyProtection="1">
      <alignment horizontal="center"/>
    </xf>
    <xf numFmtId="175" fontId="26" fillId="40" borderId="25" xfId="0" applyNumberFormat="1" applyFont="1" applyFill="1" applyBorder="1" applyAlignment="1" applyProtection="1">
      <alignment horizontal="center"/>
    </xf>
    <xf numFmtId="175" fontId="26" fillId="40" borderId="25" xfId="0" applyNumberFormat="1" applyFont="1" applyFill="1" applyBorder="1" applyAlignment="1" applyProtection="1">
      <alignment horizontal="left" indent="1"/>
    </xf>
    <xf numFmtId="175" fontId="26" fillId="40" borderId="81" xfId="0" applyNumberFormat="1" applyFont="1" applyFill="1" applyBorder="1" applyAlignment="1" applyProtection="1">
      <alignment horizontal="left" indent="1"/>
    </xf>
    <xf numFmtId="0" fontId="26" fillId="40" borderId="82" xfId="0" applyNumberFormat="1" applyFont="1" applyFill="1" applyBorder="1" applyAlignment="1">
      <alignment horizontal="center"/>
    </xf>
    <xf numFmtId="0" fontId="26" fillId="40" borderId="83" xfId="0" applyNumberFormat="1" applyFont="1" applyFill="1" applyBorder="1" applyAlignment="1">
      <alignment horizontal="center"/>
    </xf>
    <xf numFmtId="0" fontId="26" fillId="40" borderId="83" xfId="11" quotePrefix="1" applyNumberFormat="1" applyFont="1" applyFill="1" applyBorder="1" applyAlignment="1">
      <alignment horizontal="center"/>
    </xf>
    <xf numFmtId="0" fontId="26" fillId="40" borderId="83" xfId="0" applyNumberFormat="1" applyFont="1" applyFill="1" applyBorder="1" applyAlignment="1">
      <alignment horizontal="left"/>
    </xf>
    <xf numFmtId="3" fontId="25" fillId="40" borderId="83" xfId="0" applyNumberFormat="1" applyFont="1" applyFill="1" applyBorder="1" applyAlignment="1" applyProtection="1">
      <alignment horizontal="center"/>
    </xf>
    <xf numFmtId="176" fontId="28" fillId="40" borderId="84" xfId="20" applyNumberFormat="1" applyFont="1" applyFill="1" applyBorder="1" applyAlignment="1"/>
    <xf numFmtId="3" fontId="26" fillId="40" borderId="83" xfId="0" applyNumberFormat="1" applyFont="1" applyFill="1" applyBorder="1" applyAlignment="1" applyProtection="1">
      <alignment horizontal="right"/>
    </xf>
    <xf numFmtId="3" fontId="26" fillId="40" borderId="83" xfId="0" applyNumberFormat="1" applyFont="1" applyFill="1" applyBorder="1" applyAlignment="1">
      <alignment horizontal="center"/>
    </xf>
    <xf numFmtId="3" fontId="26" fillId="40" borderId="83" xfId="0" applyNumberFormat="1" applyFont="1" applyFill="1" applyBorder="1" applyAlignment="1" applyProtection="1">
      <alignment horizontal="center"/>
    </xf>
    <xf numFmtId="175" fontId="26" fillId="40" borderId="83" xfId="0" applyNumberFormat="1" applyFont="1" applyFill="1" applyBorder="1" applyAlignment="1" applyProtection="1">
      <alignment horizontal="center"/>
    </xf>
    <xf numFmtId="175" fontId="26" fillId="40" borderId="83" xfId="0" applyNumberFormat="1" applyFont="1" applyFill="1" applyBorder="1" applyAlignment="1" applyProtection="1">
      <alignment horizontal="left" indent="1"/>
    </xf>
    <xf numFmtId="175" fontId="26" fillId="40" borderId="85" xfId="0" applyNumberFormat="1" applyFont="1" applyFill="1" applyBorder="1" applyAlignment="1" applyProtection="1">
      <alignment horizontal="left" indent="1"/>
    </xf>
    <xf numFmtId="0" fontId="22" fillId="40" borderId="55" xfId="17" applyFont="1" applyFill="1" applyBorder="1" applyAlignment="1" applyProtection="1">
      <alignment horizontal="left" vertical="center"/>
      <protection hidden="1"/>
    </xf>
    <xf numFmtId="0" fontId="26" fillId="40" borderId="72" xfId="0" applyFont="1" applyFill="1" applyBorder="1" applyAlignment="1">
      <alignment vertical="center"/>
    </xf>
    <xf numFmtId="0" fontId="26" fillId="40" borderId="73" xfId="0" applyFont="1" applyFill="1" applyBorder="1" applyAlignment="1">
      <alignment vertical="center"/>
    </xf>
    <xf numFmtId="1" fontId="67" fillId="11" borderId="53" xfId="29" applyNumberFormat="1" applyFont="1" applyFill="1" applyBorder="1" applyAlignment="1" applyProtection="1">
      <alignment horizontal="center" vertical="center"/>
      <protection hidden="1"/>
    </xf>
    <xf numFmtId="1" fontId="67" fillId="11" borderId="89" xfId="29" applyNumberFormat="1" applyFont="1" applyFill="1" applyBorder="1" applyAlignment="1" applyProtection="1">
      <alignment horizontal="center" vertical="center"/>
      <protection hidden="1"/>
    </xf>
    <xf numFmtId="4" fontId="26" fillId="0" borderId="90" xfId="22" applyNumberFormat="1" applyFont="1" applyFill="1" applyBorder="1" applyAlignment="1">
      <alignment horizontal="center" vertical="center"/>
    </xf>
    <xf numFmtId="4" fontId="26" fillId="0" borderId="91" xfId="22" applyNumberFormat="1" applyFont="1" applyFill="1" applyBorder="1" applyAlignment="1">
      <alignment horizontal="center" vertical="center"/>
    </xf>
    <xf numFmtId="185" fontId="26" fillId="0" borderId="86" xfId="22" applyNumberFormat="1" applyFont="1" applyFill="1" applyBorder="1" applyAlignment="1">
      <alignment horizontal="center" vertical="center"/>
    </xf>
    <xf numFmtId="4" fontId="26" fillId="0" borderId="87" xfId="22" applyNumberFormat="1" applyFont="1" applyFill="1" applyBorder="1" applyAlignment="1">
      <alignment horizontal="center" vertical="center"/>
    </xf>
    <xf numFmtId="185" fontId="26" fillId="0" borderId="87" xfId="22" applyNumberFormat="1" applyFont="1" applyFill="1" applyBorder="1" applyAlignment="1">
      <alignment horizontal="center" vertical="center"/>
    </xf>
    <xf numFmtId="185" fontId="26" fillId="0" borderId="88" xfId="22" applyNumberFormat="1" applyFont="1" applyFill="1" applyBorder="1" applyAlignment="1">
      <alignment horizontal="center" vertical="center"/>
    </xf>
    <xf numFmtId="0" fontId="26" fillId="41" borderId="78" xfId="0" applyFont="1" applyFill="1" applyBorder="1" applyAlignment="1">
      <alignment vertical="center"/>
    </xf>
    <xf numFmtId="0" fontId="26" fillId="41" borderId="79" xfId="0" applyFont="1" applyFill="1" applyBorder="1" applyAlignment="1">
      <alignment vertical="center"/>
    </xf>
    <xf numFmtId="0" fontId="29" fillId="41" borderId="92" xfId="18" applyFont="1" applyFill="1" applyBorder="1" applyAlignment="1">
      <alignment vertical="center"/>
    </xf>
    <xf numFmtId="0" fontId="29" fillId="41" borderId="0" xfId="18" applyFont="1" applyFill="1" applyBorder="1" applyAlignment="1">
      <alignment vertical="center"/>
    </xf>
    <xf numFmtId="0" fontId="26" fillId="41" borderId="0" xfId="0" applyFont="1" applyFill="1" applyBorder="1" applyAlignment="1">
      <alignment horizontal="center" vertical="center"/>
    </xf>
    <xf numFmtId="0" fontId="25" fillId="41" borderId="0" xfId="18" applyFont="1" applyFill="1" applyBorder="1" applyAlignment="1">
      <alignment vertical="center"/>
    </xf>
    <xf numFmtId="0" fontId="49" fillId="41" borderId="0" xfId="18" applyFont="1" applyFill="1" applyBorder="1" applyAlignment="1">
      <alignment vertical="center"/>
    </xf>
    <xf numFmtId="0" fontId="49" fillId="41" borderId="0" xfId="18" applyFont="1" applyFill="1" applyBorder="1" applyAlignment="1">
      <alignment horizontal="center" vertical="center"/>
    </xf>
    <xf numFmtId="0" fontId="26" fillId="41" borderId="0" xfId="0" applyFont="1" applyFill="1" applyBorder="1" applyAlignment="1">
      <alignment vertical="center"/>
    </xf>
    <xf numFmtId="0" fontId="26" fillId="41" borderId="93" xfId="0" applyFont="1" applyFill="1" applyBorder="1" applyAlignment="1">
      <alignment vertical="center"/>
    </xf>
    <xf numFmtId="0" fontId="25" fillId="41" borderId="94" xfId="18" applyFont="1" applyFill="1" applyBorder="1" applyAlignment="1">
      <alignment vertical="center"/>
    </xf>
    <xf numFmtId="0" fontId="49" fillId="41" borderId="84" xfId="18" applyFont="1" applyFill="1" applyBorder="1" applyAlignment="1">
      <alignment horizontal="center" vertical="center" wrapText="1"/>
    </xf>
    <xf numFmtId="0" fontId="49" fillId="41" borderId="84" xfId="0" applyFont="1" applyFill="1" applyBorder="1" applyAlignment="1">
      <alignment horizontal="center" vertical="center" wrapText="1"/>
    </xf>
    <xf numFmtId="0" fontId="49" fillId="41" borderId="84" xfId="0" applyFont="1" applyFill="1" applyBorder="1" applyAlignment="1">
      <alignment vertical="center" wrapText="1"/>
    </xf>
    <xf numFmtId="0" fontId="29" fillId="41" borderId="84" xfId="0" applyFont="1" applyFill="1" applyBorder="1" applyAlignment="1">
      <alignment vertical="center" wrapText="1"/>
    </xf>
    <xf numFmtId="0" fontId="49" fillId="41" borderId="95" xfId="0" applyFont="1" applyFill="1" applyBorder="1" applyAlignment="1">
      <alignment vertical="center" wrapText="1"/>
    </xf>
    <xf numFmtId="0" fontId="18" fillId="0" borderId="97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1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19" fillId="0" borderId="66" xfId="0" applyFont="1" applyBorder="1"/>
    <xf numFmtId="0" fontId="53" fillId="40" borderId="72" xfId="0" applyNumberFormat="1" applyFont="1" applyFill="1" applyBorder="1" applyAlignment="1">
      <alignment horizontal="center" vertical="center" wrapText="1"/>
    </xf>
    <xf numFmtId="0" fontId="18" fillId="39" borderId="0" xfId="0" applyNumberFormat="1" applyFont="1" applyFill="1" applyBorder="1" applyAlignment="1">
      <alignment horizontal="center" vertical="center"/>
    </xf>
    <xf numFmtId="4" fontId="25" fillId="0" borderId="0" xfId="0" applyNumberFormat="1" applyFont="1" applyFill="1" applyAlignment="1">
      <alignment horizontal="center"/>
    </xf>
    <xf numFmtId="4" fontId="26" fillId="0" borderId="0" xfId="0" applyNumberFormat="1" applyFont="1" applyFill="1" applyAlignment="1">
      <alignment horizontal="center"/>
    </xf>
    <xf numFmtId="4" fontId="53" fillId="40" borderId="72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/>
    </xf>
    <xf numFmtId="2" fontId="26" fillId="11" borderId="9" xfId="29" applyNumberFormat="1" applyFont="1" applyFill="1" applyBorder="1" applyAlignment="1" applyProtection="1">
      <alignment horizontal="left"/>
      <protection hidden="1"/>
    </xf>
    <xf numFmtId="0" fontId="53" fillId="40" borderId="72" xfId="0" applyFont="1" applyFill="1" applyBorder="1" applyAlignment="1">
      <alignment horizontal="left" vertical="center" wrapText="1"/>
    </xf>
    <xf numFmtId="0" fontId="1" fillId="0" borderId="23" xfId="1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6" fillId="0" borderId="0" xfId="3330" applyFont="1" applyAlignment="1">
      <alignment vertical="center"/>
    </xf>
    <xf numFmtId="183" fontId="67" fillId="11" borderId="9" xfId="2520" applyNumberFormat="1" applyFont="1" applyFill="1" applyBorder="1" applyAlignment="1" applyProtection="1">
      <alignment horizontal="center" vertical="center"/>
      <protection hidden="1"/>
    </xf>
    <xf numFmtId="0" fontId="26" fillId="0" borderId="0" xfId="19" applyFont="1" applyAlignment="1" applyProtection="1">
      <alignment vertical="center"/>
      <protection hidden="1"/>
    </xf>
    <xf numFmtId="183" fontId="26" fillId="11" borderId="9" xfId="2520" applyNumberFormat="1" applyFont="1" applyFill="1" applyBorder="1" applyAlignment="1" applyProtection="1">
      <alignment horizontal="center" vertical="center"/>
      <protection hidden="1"/>
    </xf>
    <xf numFmtId="0" fontId="25" fillId="0" borderId="0" xfId="19" applyFont="1" applyAlignment="1" applyProtection="1">
      <alignment vertical="center"/>
      <protection hidden="1"/>
    </xf>
    <xf numFmtId="0" fontId="30" fillId="0" borderId="0" xfId="3330" applyFont="1" applyAlignment="1">
      <alignment vertical="center"/>
    </xf>
    <xf numFmtId="0" fontId="77" fillId="0" borderId="0" xfId="3330" applyFont="1" applyAlignment="1">
      <alignment horizontal="right" vertical="center"/>
    </xf>
    <xf numFmtId="0" fontId="77" fillId="0" borderId="0" xfId="3330" applyFont="1" applyAlignment="1">
      <alignment vertical="center"/>
    </xf>
    <xf numFmtId="49" fontId="22" fillId="0" borderId="0" xfId="20" applyNumberFormat="1" applyFont="1" applyAlignment="1">
      <alignment vertical="center"/>
    </xf>
    <xf numFmtId="0" fontId="26" fillId="0" borderId="0" xfId="26" applyFont="1" applyAlignment="1" applyProtection="1">
      <alignment vertical="center"/>
      <protection hidden="1"/>
    </xf>
    <xf numFmtId="202" fontId="47" fillId="0" borderId="0" xfId="20" applyNumberFormat="1" applyFont="1" applyAlignment="1">
      <alignment vertical="center" wrapText="1"/>
    </xf>
    <xf numFmtId="0" fontId="30" fillId="0" borderId="0" xfId="3330" applyFont="1" applyAlignment="1">
      <alignment vertical="center" wrapText="1"/>
    </xf>
    <xf numFmtId="0" fontId="30" fillId="0" borderId="0" xfId="3330" applyFont="1" applyAlignment="1">
      <alignment horizontal="center" vertical="center" wrapText="1"/>
    </xf>
    <xf numFmtId="49" fontId="22" fillId="0" borderId="0" xfId="20" applyNumberFormat="1" applyFont="1"/>
    <xf numFmtId="2" fontId="26" fillId="0" borderId="0" xfId="3330" applyNumberFormat="1" applyFont="1" applyAlignment="1">
      <alignment vertical="center"/>
    </xf>
    <xf numFmtId="2" fontId="26" fillId="0" borderId="0" xfId="26" applyNumberFormat="1" applyFont="1" applyAlignment="1" applyProtection="1">
      <alignment vertical="center"/>
      <protection hidden="1"/>
    </xf>
    <xf numFmtId="0" fontId="25" fillId="0" borderId="0" xfId="26" applyFont="1" applyAlignment="1" applyProtection="1">
      <alignment horizontal="center" vertical="center"/>
      <protection hidden="1"/>
    </xf>
    <xf numFmtId="0" fontId="25" fillId="0" borderId="0" xfId="26" applyFont="1" applyAlignment="1" applyProtection="1">
      <alignment horizontal="right" vertical="center"/>
      <protection hidden="1"/>
    </xf>
    <xf numFmtId="2" fontId="115" fillId="0" borderId="0" xfId="20" applyNumberFormat="1" applyFont="1" applyAlignment="1">
      <alignment horizontal="center" vertical="center"/>
    </xf>
    <xf numFmtId="2" fontId="25" fillId="0" borderId="0" xfId="3330" applyNumberFormat="1" applyFont="1" applyAlignment="1">
      <alignment horizontal="center" vertical="center"/>
    </xf>
    <xf numFmtId="2" fontId="26" fillId="11" borderId="9" xfId="2520" applyNumberFormat="1" applyFont="1" applyFill="1" applyBorder="1" applyAlignment="1" applyProtection="1">
      <alignment horizontal="center" vertical="center"/>
      <protection hidden="1"/>
    </xf>
    <xf numFmtId="202" fontId="21" fillId="0" borderId="0" xfId="20" applyNumberFormat="1" applyFont="1" applyAlignment="1">
      <alignment vertical="center"/>
    </xf>
    <xf numFmtId="4" fontId="25" fillId="0" borderId="0" xfId="3" applyNumberFormat="1" applyFont="1" applyAlignment="1" applyProtection="1">
      <alignment horizontal="center" vertical="center"/>
      <protection hidden="1"/>
    </xf>
    <xf numFmtId="2" fontId="21" fillId="0" borderId="0" xfId="20" applyNumberFormat="1" applyFont="1" applyAlignment="1">
      <alignment vertical="center"/>
    </xf>
    <xf numFmtId="15" fontId="22" fillId="0" borderId="0" xfId="20" applyNumberFormat="1" applyFont="1" applyAlignment="1">
      <alignment horizontal="left" vertical="center"/>
    </xf>
    <xf numFmtId="15" fontId="21" fillId="0" borderId="0" xfId="20" applyNumberFormat="1" applyFont="1" applyAlignment="1">
      <alignment horizontal="left" vertical="center"/>
    </xf>
    <xf numFmtId="2" fontId="54" fillId="0" borderId="0" xfId="19" applyNumberFormat="1" applyFont="1" applyAlignment="1" applyProtection="1">
      <alignment vertical="center"/>
      <protection hidden="1"/>
    </xf>
    <xf numFmtId="2" fontId="54" fillId="0" borderId="0" xfId="19" applyNumberFormat="1" applyFont="1" applyAlignment="1" applyProtection="1">
      <alignment vertical="center" wrapText="1"/>
      <protection hidden="1"/>
    </xf>
    <xf numFmtId="0" fontId="25" fillId="0" borderId="0" xfId="26" applyFont="1" applyAlignment="1" applyProtection="1">
      <alignment horizontal="center" vertical="center" wrapText="1"/>
      <protection hidden="1"/>
    </xf>
    <xf numFmtId="0" fontId="47" fillId="0" borderId="0" xfId="0" applyFont="1" applyAlignment="1">
      <alignment horizontal="center" vertical="center" wrapText="1"/>
    </xf>
    <xf numFmtId="0" fontId="26" fillId="11" borderId="9" xfId="2520" applyNumberFormat="1" applyFont="1" applyFill="1" applyBorder="1" applyAlignment="1" applyProtection="1">
      <alignment horizontal="center" vertical="center" wrapText="1"/>
      <protection hidden="1"/>
    </xf>
    <xf numFmtId="0" fontId="116" fillId="0" borderId="0" xfId="3330" applyFont="1" applyAlignment="1">
      <alignment vertical="center" wrapText="1"/>
    </xf>
    <xf numFmtId="0" fontId="97" fillId="0" borderId="0" xfId="26" applyFont="1" applyAlignment="1" applyProtection="1">
      <alignment vertical="center"/>
      <protection hidden="1"/>
    </xf>
    <xf numFmtId="0" fontId="98" fillId="0" borderId="0" xfId="0" applyFont="1" applyAlignment="1">
      <alignment horizontal="center" vertical="center"/>
    </xf>
    <xf numFmtId="0" fontId="99" fillId="0" borderId="0" xfId="333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100" fillId="35" borderId="0" xfId="0" applyFont="1" applyFill="1" applyAlignment="1">
      <alignment horizontal="center" vertical="center"/>
    </xf>
    <xf numFmtId="0" fontId="116" fillId="0" borderId="0" xfId="3330" applyFont="1" applyAlignment="1">
      <alignment vertical="center"/>
    </xf>
    <xf numFmtId="2" fontId="26" fillId="0" borderId="0" xfId="19" applyNumberFormat="1" applyFont="1" applyAlignment="1" applyProtection="1">
      <alignment vertical="center"/>
      <protection hidden="1"/>
    </xf>
    <xf numFmtId="2" fontId="19" fillId="0" borderId="0" xfId="26" applyNumberFormat="1" applyFont="1" applyAlignment="1" applyProtection="1">
      <alignment horizontal="right" vertical="center"/>
      <protection hidden="1"/>
    </xf>
    <xf numFmtId="2" fontId="18" fillId="0" borderId="0" xfId="26" applyNumberFormat="1" applyFont="1" applyAlignment="1" applyProtection="1">
      <alignment horizontal="right" vertical="center"/>
      <protection hidden="1"/>
    </xf>
    <xf numFmtId="2" fontId="51" fillId="0" borderId="0" xfId="26" applyNumberFormat="1" applyFont="1" applyAlignment="1" applyProtection="1">
      <alignment horizontal="left" vertical="center"/>
      <protection hidden="1"/>
    </xf>
    <xf numFmtId="2" fontId="25" fillId="0" borderId="0" xfId="19" applyNumberFormat="1" applyFont="1" applyAlignment="1" applyProtection="1">
      <alignment horizontal="center" vertical="center"/>
      <protection hidden="1"/>
    </xf>
    <xf numFmtId="183" fontId="26" fillId="0" borderId="0" xfId="19" applyNumberFormat="1" applyFont="1" applyAlignment="1" applyProtection="1">
      <alignment vertical="center"/>
      <protection hidden="1"/>
    </xf>
    <xf numFmtId="2" fontId="26" fillId="0" borderId="9" xfId="2520" applyNumberFormat="1" applyFont="1" applyBorder="1" applyAlignment="1" applyProtection="1">
      <alignment horizontal="center" vertical="center"/>
      <protection hidden="1"/>
    </xf>
    <xf numFmtId="2" fontId="67" fillId="0" borderId="0" xfId="19" applyNumberFormat="1" applyFont="1" applyAlignment="1" applyProtection="1">
      <alignment vertical="center"/>
      <protection hidden="1"/>
    </xf>
    <xf numFmtId="4" fontId="26" fillId="0" borderId="0" xfId="3" applyNumberFormat="1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2" fontId="26" fillId="0" borderId="0" xfId="26" applyNumberFormat="1" applyFont="1" applyAlignment="1" applyProtection="1">
      <alignment horizontal="right" vertical="center"/>
      <protection hidden="1"/>
    </xf>
    <xf numFmtId="0" fontId="26" fillId="0" borderId="0" xfId="26" applyFont="1" applyAlignment="1" applyProtection="1">
      <alignment horizontal="right" vertical="center"/>
      <protection hidden="1"/>
    </xf>
    <xf numFmtId="0" fontId="32" fillId="0" borderId="0" xfId="19" applyFont="1" applyAlignment="1" applyProtection="1">
      <alignment horizontal="left" vertical="center"/>
      <protection hidden="1"/>
    </xf>
    <xf numFmtId="0" fontId="25" fillId="0" borderId="0" xfId="3330" applyFont="1" applyAlignment="1">
      <alignment vertical="center"/>
    </xf>
    <xf numFmtId="10" fontId="26" fillId="0" borderId="9" xfId="2520" applyNumberFormat="1" applyFont="1" applyBorder="1" applyAlignment="1" applyProtection="1">
      <alignment horizontal="center" vertical="center"/>
      <protection hidden="1"/>
    </xf>
    <xf numFmtId="4" fontId="67" fillId="0" borderId="0" xfId="3" applyNumberFormat="1" applyFont="1" applyAlignment="1" applyProtection="1">
      <alignment horizontal="center" vertical="center"/>
      <protection locked="0"/>
    </xf>
    <xf numFmtId="0" fontId="26" fillId="0" borderId="0" xfId="26" applyFont="1" applyAlignment="1" applyProtection="1">
      <alignment horizontal="center" vertical="center"/>
      <protection hidden="1"/>
    </xf>
    <xf numFmtId="183" fontId="26" fillId="0" borderId="0" xfId="19" applyNumberFormat="1" applyFont="1" applyAlignment="1" applyProtection="1">
      <alignment horizontal="center" vertical="center"/>
      <protection hidden="1"/>
    </xf>
    <xf numFmtId="183" fontId="25" fillId="0" borderId="0" xfId="2520" applyNumberFormat="1" applyFont="1" applyAlignment="1" applyProtection="1">
      <alignment horizontal="center" vertical="center"/>
      <protection hidden="1"/>
    </xf>
    <xf numFmtId="0" fontId="32" fillId="0" borderId="0" xfId="26" applyFont="1" applyAlignment="1" applyProtection="1">
      <alignment horizontal="right" vertical="center"/>
      <protection hidden="1"/>
    </xf>
    <xf numFmtId="4" fontId="32" fillId="0" borderId="0" xfId="3" applyNumberFormat="1" applyFont="1" applyAlignment="1" applyProtection="1">
      <alignment horizontal="center" vertical="center"/>
      <protection locked="0"/>
    </xf>
    <xf numFmtId="183" fontId="26" fillId="0" borderId="9" xfId="2520" applyNumberFormat="1" applyFont="1" applyBorder="1" applyAlignment="1" applyProtection="1">
      <alignment horizontal="center" vertical="center"/>
      <protection hidden="1"/>
    </xf>
    <xf numFmtId="2" fontId="54" fillId="0" borderId="0" xfId="19" applyNumberFormat="1" applyFont="1" applyAlignment="1" applyProtection="1">
      <alignment horizontal="center" vertical="center"/>
      <protection hidden="1"/>
    </xf>
    <xf numFmtId="2" fontId="26" fillId="0" borderId="0" xfId="19" applyNumberFormat="1" applyFont="1" applyAlignment="1" applyProtection="1">
      <alignment horizontal="center" vertical="center"/>
      <protection hidden="1"/>
    </xf>
    <xf numFmtId="185" fontId="26" fillId="0" borderId="0" xfId="26" applyNumberFormat="1" applyFont="1" applyAlignment="1" applyProtection="1">
      <alignment horizontal="center" vertical="center"/>
      <protection hidden="1"/>
    </xf>
    <xf numFmtId="0" fontId="66" fillId="0" borderId="0" xfId="3330" applyFont="1" applyAlignment="1">
      <alignment horizontal="right" vertical="center"/>
    </xf>
    <xf numFmtId="192" fontId="26" fillId="11" borderId="9" xfId="2520" applyNumberFormat="1" applyFont="1" applyFill="1" applyBorder="1" applyAlignment="1" applyProtection="1">
      <alignment horizontal="center" vertical="center"/>
      <protection hidden="1"/>
    </xf>
    <xf numFmtId="0" fontId="67" fillId="0" borderId="0" xfId="26" applyFont="1" applyAlignment="1" applyProtection="1">
      <alignment horizontal="left" vertical="center"/>
      <protection hidden="1"/>
    </xf>
    <xf numFmtId="10" fontId="25" fillId="0" borderId="0" xfId="2520" applyNumberFormat="1" applyFont="1" applyAlignment="1" applyProtection="1">
      <alignment horizontal="right" vertical="center"/>
      <protection hidden="1"/>
    </xf>
    <xf numFmtId="183" fontId="25" fillId="0" borderId="0" xfId="2520" applyNumberFormat="1" applyFont="1" applyAlignment="1">
      <alignment vertical="center"/>
    </xf>
    <xf numFmtId="0" fontId="25" fillId="0" borderId="0" xfId="26" applyFont="1" applyAlignment="1" applyProtection="1">
      <alignment vertical="center"/>
      <protection hidden="1"/>
    </xf>
    <xf numFmtId="10" fontId="25" fillId="0" borderId="0" xfId="2520" applyNumberFormat="1" applyFont="1" applyAlignment="1">
      <alignment vertical="center"/>
    </xf>
    <xf numFmtId="0" fontId="51" fillId="0" borderId="0" xfId="26" applyFont="1" applyAlignment="1" applyProtection="1">
      <alignment horizontal="center" vertical="center"/>
      <protection hidden="1"/>
    </xf>
    <xf numFmtId="9" fontId="54" fillId="0" borderId="0" xfId="26" applyNumberFormat="1" applyFont="1" applyAlignment="1" applyProtection="1">
      <alignment vertical="center"/>
      <protection hidden="1"/>
    </xf>
    <xf numFmtId="2" fontId="27" fillId="0" borderId="0" xfId="26" applyNumberFormat="1" applyFont="1" applyAlignment="1" applyProtection="1">
      <alignment horizontal="center" vertical="center"/>
      <protection hidden="1"/>
    </xf>
    <xf numFmtId="10" fontId="18" fillId="0" borderId="0" xfId="2520" applyNumberFormat="1" applyFont="1" applyAlignment="1">
      <alignment horizontal="center" vertical="center"/>
    </xf>
    <xf numFmtId="0" fontId="51" fillId="0" borderId="0" xfId="26" applyFont="1" applyAlignment="1" applyProtection="1">
      <alignment horizontal="left" vertical="center"/>
      <protection hidden="1"/>
    </xf>
    <xf numFmtId="0" fontId="25" fillId="0" borderId="0" xfId="26" applyFont="1" applyAlignment="1" applyProtection="1">
      <alignment horizontal="left" vertical="center"/>
      <protection hidden="1"/>
    </xf>
    <xf numFmtId="0" fontId="26" fillId="0" borderId="0" xfId="26" applyFont="1" applyAlignment="1" applyProtection="1">
      <alignment horizontal="left" vertical="center"/>
      <protection hidden="1"/>
    </xf>
    <xf numFmtId="1" fontId="25" fillId="0" borderId="0" xfId="26" applyNumberFormat="1" applyFont="1" applyAlignment="1" applyProtection="1">
      <alignment horizontal="left" vertical="center"/>
      <protection hidden="1"/>
    </xf>
    <xf numFmtId="1" fontId="26" fillId="0" borderId="0" xfId="26" applyNumberFormat="1" applyFont="1" applyAlignment="1" applyProtection="1">
      <alignment vertical="center"/>
      <protection hidden="1"/>
    </xf>
    <xf numFmtId="180" fontId="26" fillId="0" borderId="0" xfId="3330" applyNumberFormat="1" applyFont="1" applyAlignment="1">
      <alignment vertical="center"/>
    </xf>
    <xf numFmtId="180" fontId="26" fillId="0" borderId="0" xfId="26" applyNumberFormat="1" applyFont="1" applyAlignment="1" applyProtection="1">
      <alignment vertical="center"/>
      <protection hidden="1"/>
    </xf>
    <xf numFmtId="180" fontId="26" fillId="0" borderId="0" xfId="3330" applyNumberFormat="1" applyFont="1" applyAlignment="1">
      <alignment horizontal="center" vertical="center"/>
    </xf>
    <xf numFmtId="180" fontId="25" fillId="0" borderId="0" xfId="26" applyNumberFormat="1" applyFont="1" applyAlignment="1" applyProtection="1">
      <alignment horizontal="left" vertical="center"/>
      <protection hidden="1"/>
    </xf>
    <xf numFmtId="180" fontId="26" fillId="0" borderId="0" xfId="3330" applyNumberFormat="1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180" fontId="67" fillId="0" borderId="0" xfId="3330" applyNumberFormat="1" applyFont="1" applyAlignment="1">
      <alignment horizontal="left" vertical="center"/>
    </xf>
    <xf numFmtId="180" fontId="26" fillId="0" borderId="0" xfId="26" applyNumberFormat="1" applyFont="1" applyAlignment="1" applyProtection="1">
      <alignment horizontal="center" vertical="center"/>
      <protection hidden="1"/>
    </xf>
    <xf numFmtId="4" fontId="26" fillId="0" borderId="0" xfId="2520" applyNumberFormat="1" applyFont="1" applyAlignment="1" applyProtection="1">
      <alignment horizontal="center" vertical="center"/>
      <protection hidden="1"/>
    </xf>
    <xf numFmtId="0" fontId="26" fillId="0" borderId="0" xfId="3330" applyFont="1" applyAlignment="1">
      <alignment horizontal="center" vertical="center"/>
    </xf>
    <xf numFmtId="183" fontId="26" fillId="0" borderId="0" xfId="2520" applyNumberFormat="1" applyFont="1" applyAlignment="1" applyProtection="1">
      <alignment horizontal="center" vertical="center"/>
      <protection hidden="1"/>
    </xf>
    <xf numFmtId="0" fontId="26" fillId="0" borderId="0" xfId="3330" applyFont="1" applyAlignment="1">
      <alignment horizontal="left" vertical="center"/>
    </xf>
    <xf numFmtId="4" fontId="25" fillId="0" borderId="0" xfId="4" applyNumberFormat="1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right" vertical="center"/>
    </xf>
    <xf numFmtId="10" fontId="26" fillId="0" borderId="0" xfId="2520" applyNumberFormat="1" applyFont="1" applyAlignment="1" applyProtection="1">
      <alignment vertical="center"/>
      <protection hidden="1"/>
    </xf>
    <xf numFmtId="0" fontId="117" fillId="0" borderId="0" xfId="0" applyFont="1" applyAlignment="1">
      <alignment horizontal="left" vertical="center"/>
    </xf>
    <xf numFmtId="203" fontId="18" fillId="0" borderId="0" xfId="0" applyNumberFormat="1" applyFont="1" applyAlignment="1">
      <alignment horizontal="center" vertical="center"/>
    </xf>
    <xf numFmtId="2" fontId="26" fillId="0" borderId="0" xfId="3330" applyNumberFormat="1" applyFont="1" applyAlignment="1">
      <alignment horizontal="center" vertical="center"/>
    </xf>
    <xf numFmtId="204" fontId="26" fillId="0" borderId="0" xfId="3330" applyNumberFormat="1" applyFont="1" applyAlignment="1">
      <alignment horizontal="center" vertical="center"/>
    </xf>
    <xf numFmtId="0" fontId="26" fillId="0" borderId="0" xfId="3330" applyFont="1" applyAlignment="1">
      <alignment horizontal="right" vertical="center"/>
    </xf>
    <xf numFmtId="0" fontId="77" fillId="0" borderId="0" xfId="3330" applyFont="1" applyAlignment="1">
      <alignment horizontal="left" vertical="center"/>
    </xf>
    <xf numFmtId="0" fontId="30" fillId="0" borderId="0" xfId="3330" applyFont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201" fontId="1" fillId="0" borderId="23" xfId="0" applyNumberFormat="1" applyFont="1" applyFill="1" applyBorder="1" applyAlignment="1">
      <alignment horizontal="center" vertical="center"/>
    </xf>
    <xf numFmtId="4" fontId="1" fillId="0" borderId="23" xfId="0" applyNumberFormat="1" applyFont="1" applyFill="1" applyBorder="1" applyAlignment="1">
      <alignment horizontal="center" vertical="center"/>
    </xf>
    <xf numFmtId="0" fontId="26" fillId="0" borderId="20" xfId="10" applyNumberFormat="1" applyFont="1" applyFill="1" applyBorder="1" applyAlignment="1">
      <alignment horizontal="left" vertical="center" indent="1"/>
    </xf>
    <xf numFmtId="0" fontId="1" fillId="43" borderId="0" xfId="3331" applyFont="1" applyFill="1" applyAlignment="1">
      <alignment vertical="center"/>
    </xf>
    <xf numFmtId="0" fontId="72" fillId="43" borderId="0" xfId="3331" applyFont="1" applyFill="1" applyAlignment="1">
      <alignment vertical="center"/>
    </xf>
    <xf numFmtId="0" fontId="55" fillId="43" borderId="0" xfId="3331" applyFont="1" applyFill="1" applyAlignment="1">
      <alignment vertical="center"/>
    </xf>
    <xf numFmtId="0" fontId="1" fillId="44" borderId="0" xfId="3331" applyFont="1" applyFill="1" applyAlignment="1">
      <alignment vertical="center"/>
    </xf>
    <xf numFmtId="0" fontId="1" fillId="0" borderId="0" xfId="3331" applyFont="1" applyAlignment="1">
      <alignment vertical="center"/>
    </xf>
    <xf numFmtId="193" fontId="1" fillId="0" borderId="0" xfId="3331" applyNumberFormat="1" applyFont="1" applyAlignment="1">
      <alignment horizontal="left" vertical="center"/>
    </xf>
    <xf numFmtId="0" fontId="120" fillId="0" borderId="0" xfId="3331" applyFont="1" applyAlignment="1">
      <alignment horizontal="left" vertical="center"/>
    </xf>
    <xf numFmtId="0" fontId="120" fillId="0" borderId="0" xfId="3331" applyFont="1" applyAlignment="1">
      <alignment vertical="center"/>
    </xf>
    <xf numFmtId="0" fontId="76" fillId="0" borderId="0" xfId="3331" applyFont="1" applyAlignment="1">
      <alignment vertical="center"/>
    </xf>
    <xf numFmtId="0" fontId="121" fillId="0" borderId="0" xfId="3331" applyFont="1" applyAlignment="1">
      <alignment horizontal="center" vertical="center"/>
    </xf>
    <xf numFmtId="0" fontId="1" fillId="0" borderId="0" xfId="3331" applyFont="1" applyAlignment="1">
      <alignment horizontal="center" vertical="center"/>
    </xf>
    <xf numFmtId="49" fontId="122" fillId="0" borderId="0" xfId="3331" applyNumberFormat="1" applyFont="1" applyAlignment="1">
      <alignment horizontal="center" vertical="center"/>
    </xf>
    <xf numFmtId="205" fontId="1" fillId="0" borderId="0" xfId="3331" applyNumberFormat="1" applyFont="1" applyAlignment="1">
      <alignment horizontal="center" vertical="center"/>
    </xf>
    <xf numFmtId="0" fontId="57" fillId="0" borderId="0" xfId="3332" applyFont="1" applyAlignment="1">
      <alignment horizontal="center" vertical="center"/>
    </xf>
    <xf numFmtId="0" fontId="76" fillId="0" borderId="50" xfId="3331" applyFont="1" applyBorder="1" applyAlignment="1">
      <alignment horizontal="center" vertical="center"/>
    </xf>
    <xf numFmtId="1" fontId="76" fillId="0" borderId="0" xfId="3331" applyNumberFormat="1" applyFont="1" applyAlignment="1">
      <alignment horizontal="center" vertical="center"/>
    </xf>
    <xf numFmtId="205" fontId="1" fillId="0" borderId="0" xfId="3331" applyNumberFormat="1" applyFont="1" applyAlignment="1">
      <alignment vertical="center"/>
    </xf>
    <xf numFmtId="205" fontId="18" fillId="0" borderId="0" xfId="3331" applyNumberFormat="1" applyFont="1" applyAlignment="1">
      <alignment horizontal="center" vertical="center"/>
    </xf>
    <xf numFmtId="49" fontId="124" fillId="0" borderId="0" xfId="3331" applyNumberFormat="1" applyFont="1" applyAlignment="1">
      <alignment horizontal="center" vertical="center"/>
    </xf>
    <xf numFmtId="0" fontId="125" fillId="0" borderId="0" xfId="3332" applyFont="1" applyAlignment="1">
      <alignment horizontal="center" vertical="center"/>
    </xf>
    <xf numFmtId="205" fontId="125" fillId="0" borderId="0" xfId="3331" applyNumberFormat="1" applyFont="1" applyAlignment="1">
      <alignment vertical="center"/>
    </xf>
    <xf numFmtId="0" fontId="1" fillId="0" borderId="0" xfId="3331" applyFont="1" applyAlignment="1">
      <alignment horizontal="left" vertical="center"/>
    </xf>
    <xf numFmtId="206" fontId="1" fillId="0" borderId="0" xfId="3331" applyNumberFormat="1" applyFont="1" applyAlignment="1">
      <alignment horizontal="left" vertical="center"/>
    </xf>
    <xf numFmtId="2" fontId="1" fillId="0" borderId="0" xfId="3331" applyNumberFormat="1" applyFont="1" applyAlignment="1">
      <alignment vertical="center"/>
    </xf>
    <xf numFmtId="1" fontId="1" fillId="0" borderId="0" xfId="3331" applyNumberFormat="1" applyFont="1" applyAlignment="1">
      <alignment vertical="center"/>
    </xf>
    <xf numFmtId="205" fontId="125" fillId="0" borderId="0" xfId="3331" applyNumberFormat="1" applyFont="1" applyAlignment="1">
      <alignment horizontal="center" vertical="center"/>
    </xf>
    <xf numFmtId="49" fontId="126" fillId="0" borderId="0" xfId="3331" applyNumberFormat="1" applyFont="1" applyAlignment="1">
      <alignment horizontal="left" vertical="center"/>
    </xf>
    <xf numFmtId="49" fontId="1" fillId="0" borderId="0" xfId="3331" applyNumberFormat="1" applyFont="1" applyAlignment="1">
      <alignment horizontal="left" vertical="center"/>
    </xf>
    <xf numFmtId="49" fontId="124" fillId="0" borderId="0" xfId="3331" applyNumberFormat="1" applyFont="1" applyAlignment="1">
      <alignment horizontal="left" vertical="center"/>
    </xf>
    <xf numFmtId="0" fontId="127" fillId="0" borderId="0" xfId="3332" applyFont="1" applyAlignment="1">
      <alignment vertical="center"/>
    </xf>
    <xf numFmtId="0" fontId="125" fillId="0" borderId="0" xfId="3331" applyFont="1" applyAlignment="1">
      <alignment vertical="center"/>
    </xf>
    <xf numFmtId="0" fontId="128" fillId="0" borderId="0" xfId="3332" applyFont="1" applyAlignment="1">
      <alignment vertical="center"/>
    </xf>
    <xf numFmtId="49" fontId="1" fillId="0" borderId="0" xfId="3331" applyNumberFormat="1" applyFont="1" applyAlignment="1">
      <alignment vertical="center"/>
    </xf>
    <xf numFmtId="0" fontId="1" fillId="0" borderId="98" xfId="3331" applyFont="1" applyBorder="1" applyAlignment="1">
      <alignment horizontal="center" vertical="center"/>
    </xf>
    <xf numFmtId="14" fontId="1" fillId="0" borderId="0" xfId="3331" applyNumberFormat="1" applyFont="1" applyAlignment="1">
      <alignment vertical="center"/>
    </xf>
    <xf numFmtId="205" fontId="1" fillId="0" borderId="99" xfId="3331" applyNumberFormat="1" applyFont="1" applyBorder="1" applyAlignment="1">
      <alignment horizontal="center" vertical="center"/>
    </xf>
    <xf numFmtId="0" fontId="57" fillId="0" borderId="99" xfId="3332" applyFont="1" applyBorder="1" applyAlignment="1">
      <alignment horizontal="center" vertical="center"/>
    </xf>
    <xf numFmtId="205" fontId="1" fillId="0" borderId="100" xfId="3331" applyNumberFormat="1" applyFont="1" applyBorder="1" applyAlignment="1">
      <alignment horizontal="center" vertical="center"/>
    </xf>
    <xf numFmtId="0" fontId="119" fillId="43" borderId="0" xfId="3331" applyFont="1" applyFill="1" applyAlignment="1">
      <alignment vertical="center"/>
    </xf>
    <xf numFmtId="0" fontId="76" fillId="0" borderId="0" xfId="3331" applyFont="1" applyAlignment="1">
      <alignment horizontal="left" vertical="center"/>
    </xf>
    <xf numFmtId="49" fontId="129" fillId="0" borderId="0" xfId="3331" applyNumberFormat="1" applyFont="1" applyAlignment="1">
      <alignment horizontal="left" vertical="center"/>
    </xf>
    <xf numFmtId="175" fontId="1" fillId="0" borderId="1" xfId="0" applyNumberFormat="1" applyFont="1" applyFill="1" applyBorder="1" applyAlignment="1" applyProtection="1">
      <alignment horizontal="left" vertical="center" indent="1"/>
    </xf>
    <xf numFmtId="176" fontId="1" fillId="45" borderId="1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6" fillId="0" borderId="20" xfId="10" applyNumberFormat="1" applyFont="1" applyFill="1" applyBorder="1" applyAlignment="1">
      <alignment horizontal="left" vertical="center"/>
    </xf>
    <xf numFmtId="1" fontId="31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left"/>
    </xf>
    <xf numFmtId="1" fontId="53" fillId="40" borderId="72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Alignment="1">
      <alignment horizontal="left"/>
    </xf>
    <xf numFmtId="0" fontId="1" fillId="0" borderId="23" xfId="0" applyFont="1" applyFill="1" applyBorder="1" applyAlignment="1">
      <alignment horizontal="left" vertical="center"/>
    </xf>
    <xf numFmtId="0" fontId="26" fillId="0" borderId="23" xfId="10" applyNumberFormat="1" applyFont="1" applyFill="1" applyBorder="1" applyAlignment="1">
      <alignment horizontal="left" vertical="center"/>
    </xf>
    <xf numFmtId="0" fontId="26" fillId="0" borderId="23" xfId="0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 indent="1"/>
    </xf>
    <xf numFmtId="2" fontId="18" fillId="0" borderId="0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181" fontId="0" fillId="0" borderId="0" xfId="0" applyNumberFormat="1" applyAlignment="1">
      <alignment horizontal="center"/>
    </xf>
    <xf numFmtId="181" fontId="18" fillId="0" borderId="0" xfId="0" quotePrefix="1" applyNumberFormat="1" applyFont="1" applyAlignment="1">
      <alignment horizontal="center"/>
    </xf>
    <xf numFmtId="181" fontId="53" fillId="40" borderId="72" xfId="0" applyNumberFormat="1" applyFont="1" applyFill="1" applyBorder="1" applyAlignment="1">
      <alignment horizontal="center" vertical="center" wrapText="1"/>
    </xf>
    <xf numFmtId="181" fontId="1" fillId="0" borderId="23" xfId="10" applyNumberFormat="1" applyFont="1" applyFill="1" applyBorder="1" applyAlignment="1">
      <alignment horizontal="center" vertical="center"/>
    </xf>
    <xf numFmtId="0" fontId="26" fillId="0" borderId="96" xfId="0" applyFont="1" applyFill="1" applyBorder="1" applyAlignment="1">
      <alignment vertical="center"/>
    </xf>
    <xf numFmtId="181" fontId="1" fillId="0" borderId="23" xfId="0" applyNumberFormat="1" applyFont="1" applyFill="1" applyBorder="1" applyAlignment="1">
      <alignment horizontal="center" vertical="center"/>
    </xf>
    <xf numFmtId="1" fontId="1" fillId="0" borderId="74" xfId="0" applyNumberFormat="1" applyFont="1" applyFill="1" applyBorder="1" applyAlignment="1">
      <alignment horizontal="center" vertical="center"/>
    </xf>
    <xf numFmtId="178" fontId="1" fillId="0" borderId="23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1" fontId="1" fillId="0" borderId="23" xfId="0" applyNumberFormat="1" applyFont="1" applyFill="1" applyBorder="1" applyAlignment="1">
      <alignment horizontal="center" vertical="center"/>
    </xf>
    <xf numFmtId="180" fontId="1" fillId="0" borderId="23" xfId="0" applyNumberFormat="1" applyFont="1" applyFill="1" applyBorder="1" applyAlignment="1">
      <alignment horizontal="left" vertical="center"/>
    </xf>
    <xf numFmtId="201" fontId="1" fillId="0" borderId="23" xfId="0" applyNumberFormat="1" applyFont="1" applyFill="1" applyBorder="1" applyAlignment="1">
      <alignment horizontal="left" vertical="center"/>
    </xf>
    <xf numFmtId="0" fontId="130" fillId="41" borderId="84" xfId="18" applyFont="1" applyFill="1" applyBorder="1" applyAlignment="1">
      <alignment horizontal="center" vertical="center" wrapText="1"/>
    </xf>
    <xf numFmtId="0" fontId="130" fillId="41" borderId="84" xfId="0" applyFont="1" applyFill="1" applyBorder="1" applyAlignment="1">
      <alignment horizontal="center" vertical="center" wrapText="1"/>
    </xf>
    <xf numFmtId="191" fontId="1" fillId="0" borderId="87" xfId="22" applyNumberFormat="1" applyFont="1" applyFill="1" applyBorder="1" applyAlignment="1">
      <alignment horizontal="center" vertical="center"/>
    </xf>
    <xf numFmtId="180" fontId="1" fillId="0" borderId="87" xfId="0" applyNumberFormat="1" applyFont="1" applyFill="1" applyBorder="1" applyAlignment="1">
      <alignment horizontal="center" vertical="center"/>
    </xf>
    <xf numFmtId="180" fontId="1" fillId="0" borderId="88" xfId="0" applyNumberFormat="1" applyFont="1" applyFill="1" applyBorder="1" applyAlignment="1">
      <alignment horizontal="center" vertical="center"/>
    </xf>
    <xf numFmtId="191" fontId="1" fillId="0" borderId="35" xfId="22" applyNumberFormat="1" applyFont="1" applyFill="1" applyBorder="1" applyAlignment="1">
      <alignment horizontal="center" vertical="center"/>
    </xf>
    <xf numFmtId="180" fontId="1" fillId="0" borderId="35" xfId="0" applyNumberFormat="1" applyFont="1" applyFill="1" applyBorder="1" applyAlignment="1">
      <alignment horizontal="center" vertical="center"/>
    </xf>
    <xf numFmtId="180" fontId="1" fillId="0" borderId="36" xfId="0" applyNumberFormat="1" applyFont="1" applyFill="1" applyBorder="1" applyAlignment="1">
      <alignment horizontal="center" vertical="center"/>
    </xf>
    <xf numFmtId="49" fontId="131" fillId="11" borderId="0" xfId="2" applyNumberFormat="1" applyFont="1" applyFill="1" applyBorder="1" applyAlignment="1" applyProtection="1">
      <alignment horizontal="center" wrapText="1"/>
      <protection hidden="1"/>
    </xf>
    <xf numFmtId="49" fontId="131" fillId="11" borderId="0" xfId="2" applyNumberFormat="1" applyFont="1" applyFill="1" applyBorder="1" applyAlignment="1" applyProtection="1">
      <protection hidden="1"/>
    </xf>
    <xf numFmtId="192" fontId="1" fillId="11" borderId="37" xfId="29" applyNumberFormat="1" applyFont="1" applyFill="1" applyBorder="1" applyAlignment="1" applyProtection="1">
      <alignment horizontal="center"/>
      <protection hidden="1"/>
    </xf>
    <xf numFmtId="3" fontId="1" fillId="0" borderId="35" xfId="0" applyNumberFormat="1" applyFont="1" applyFill="1" applyBorder="1" applyAlignment="1"/>
    <xf numFmtId="3" fontId="1" fillId="0" borderId="0" xfId="2" applyNumberFormat="1" applyFont="1" applyAlignment="1">
      <alignment horizontal="center" vertical="center"/>
    </xf>
    <xf numFmtId="0" fontId="132" fillId="0" borderId="0" xfId="0" applyFont="1" applyFill="1" applyBorder="1" applyAlignment="1">
      <alignment horizontal="center" vertical="center"/>
    </xf>
    <xf numFmtId="15" fontId="21" fillId="0" borderId="0" xfId="0" applyNumberFormat="1" applyFont="1" applyAlignment="1">
      <alignment horizontal="left"/>
    </xf>
    <xf numFmtId="0" fontId="133" fillId="0" borderId="0" xfId="0" applyFont="1" applyFill="1" applyAlignment="1">
      <alignment vertical="center"/>
    </xf>
    <xf numFmtId="0" fontId="134" fillId="0" borderId="0" xfId="0" applyFont="1" applyFill="1" applyAlignment="1">
      <alignment horizontal="center" vertical="center"/>
    </xf>
    <xf numFmtId="0" fontId="133" fillId="0" borderId="0" xfId="0" applyFont="1" applyFill="1" applyBorder="1" applyAlignment="1">
      <alignment vertical="center"/>
    </xf>
    <xf numFmtId="0" fontId="135" fillId="0" borderId="0" xfId="0" applyFont="1" applyFill="1" applyBorder="1" applyAlignment="1">
      <alignment vertical="center"/>
    </xf>
    <xf numFmtId="0" fontId="135" fillId="0" borderId="0" xfId="0" applyFont="1" applyFill="1" applyBorder="1" applyAlignment="1">
      <alignment horizontal="center" vertical="center"/>
    </xf>
    <xf numFmtId="183" fontId="26" fillId="0" borderId="9" xfId="252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5" fontId="21" fillId="0" borderId="0" xfId="20" applyNumberFormat="1" applyFont="1" applyFill="1" applyBorder="1" applyAlignment="1">
      <alignment horizontal="left"/>
    </xf>
    <xf numFmtId="181" fontId="73" fillId="13" borderId="0" xfId="0" applyNumberFormat="1" applyFont="1" applyFill="1" applyAlignment="1">
      <alignment horizontal="center"/>
    </xf>
    <xf numFmtId="166" fontId="72" fillId="14" borderId="0" xfId="10" applyFont="1" applyFill="1" applyAlignment="1">
      <alignment horizontal="center" vertical="center" wrapText="1"/>
    </xf>
    <xf numFmtId="0" fontId="119" fillId="43" borderId="0" xfId="3331" applyFont="1" applyFill="1" applyAlignment="1">
      <alignment horizontal="left" vertical="center"/>
    </xf>
    <xf numFmtId="15" fontId="22" fillId="0" borderId="0" xfId="20" applyNumberFormat="1" applyFont="1" applyAlignment="1">
      <alignment horizontal="left" vertical="center"/>
    </xf>
    <xf numFmtId="0" fontId="50" fillId="42" borderId="0" xfId="0" applyFont="1" applyFill="1" applyAlignment="1">
      <alignment horizontal="center" vertical="center"/>
    </xf>
    <xf numFmtId="15" fontId="22" fillId="0" borderId="0" xfId="20" applyNumberFormat="1" applyFont="1" applyFill="1" applyBorder="1" applyAlignment="1">
      <alignment horizontal="left"/>
    </xf>
    <xf numFmtId="3" fontId="25" fillId="12" borderId="34" xfId="17" applyNumberFormat="1" applyFont="1" applyFill="1" applyBorder="1" applyAlignment="1" applyProtection="1">
      <alignment horizontal="left" vertical="top" wrapText="1"/>
      <protection hidden="1"/>
    </xf>
    <xf numFmtId="3" fontId="25" fillId="12" borderId="35" xfId="17" applyNumberFormat="1" applyFont="1" applyFill="1" applyBorder="1" applyAlignment="1" applyProtection="1">
      <alignment horizontal="left" vertical="top" wrapText="1"/>
      <protection hidden="1"/>
    </xf>
    <xf numFmtId="3" fontId="25" fillId="12" borderId="36" xfId="17" applyNumberFormat="1" applyFont="1" applyFill="1" applyBorder="1" applyAlignment="1" applyProtection="1">
      <alignment horizontal="left" vertical="top" wrapText="1"/>
      <protection hidden="1"/>
    </xf>
    <xf numFmtId="0" fontId="25" fillId="0" borderId="0" xfId="0" applyFont="1" applyFill="1" applyBorder="1" applyAlignment="1">
      <alignment horizontal="center" vertical="center" wrapText="1"/>
    </xf>
    <xf numFmtId="192" fontId="26" fillId="11" borderId="51" xfId="29" applyNumberFormat="1" applyFont="1" applyFill="1" applyBorder="1" applyAlignment="1" applyProtection="1">
      <alignment horizontal="center" vertical="center"/>
      <protection locked="0"/>
    </xf>
    <xf numFmtId="192" fontId="26" fillId="11" borderId="53" xfId="29" applyNumberFormat="1" applyFont="1" applyFill="1" applyBorder="1" applyAlignment="1" applyProtection="1">
      <alignment horizontal="center" vertical="center"/>
      <protection locked="0"/>
    </xf>
    <xf numFmtId="0" fontId="53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51" fillId="11" borderId="0" xfId="0" applyFont="1" applyFill="1" applyBorder="1" applyAlignment="1">
      <alignment horizontal="left" vertical="center" wrapText="1"/>
    </xf>
    <xf numFmtId="0" fontId="53" fillId="11" borderId="0" xfId="17" applyNumberFormat="1" applyFont="1" applyFill="1" applyBorder="1" applyAlignment="1" applyProtection="1">
      <alignment horizontal="left" vertical="center"/>
      <protection hidden="1"/>
    </xf>
    <xf numFmtId="0" fontId="53" fillId="0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51" fillId="41" borderId="77" xfId="17" applyNumberFormat="1" applyFont="1" applyFill="1" applyBorder="1" applyAlignment="1" applyProtection="1">
      <alignment horizontal="left" vertical="center"/>
      <protection hidden="1"/>
    </xf>
    <xf numFmtId="0" fontId="51" fillId="41" borderId="78" xfId="17" applyNumberFormat="1" applyFont="1" applyFill="1" applyBorder="1" applyAlignment="1" applyProtection="1">
      <alignment horizontal="left" vertical="center"/>
      <protection hidden="1"/>
    </xf>
    <xf numFmtId="0" fontId="25" fillId="41" borderId="0" xfId="18" applyFont="1" applyFill="1" applyBorder="1" applyAlignment="1">
      <alignment horizontal="center" vertical="center"/>
    </xf>
  </cellXfs>
  <cellStyles count="3333">
    <cellStyle name="20% - Accent1 2" xfId="2521" xr:uid="{00000000-0005-0000-0000-000000000000}"/>
    <cellStyle name="20% - Accent2 2" xfId="2522" xr:uid="{00000000-0005-0000-0000-000001000000}"/>
    <cellStyle name="20% - Accent3 2" xfId="2523" xr:uid="{00000000-0005-0000-0000-000002000000}"/>
    <cellStyle name="20% - Accent4 2" xfId="2524" xr:uid="{00000000-0005-0000-0000-000003000000}"/>
    <cellStyle name="20% - Accent5 2" xfId="2525" xr:uid="{00000000-0005-0000-0000-000004000000}"/>
    <cellStyle name="20% - Accent6 2" xfId="2526" xr:uid="{00000000-0005-0000-0000-000005000000}"/>
    <cellStyle name="40% - Accent1 2" xfId="2527" xr:uid="{00000000-0005-0000-0000-000006000000}"/>
    <cellStyle name="40% - Accent2 2" xfId="2528" xr:uid="{00000000-0005-0000-0000-000007000000}"/>
    <cellStyle name="40% - Accent3 2" xfId="2529" xr:uid="{00000000-0005-0000-0000-000008000000}"/>
    <cellStyle name="40% - Accent4 2" xfId="2530" xr:uid="{00000000-0005-0000-0000-000009000000}"/>
    <cellStyle name="40% - Accent5 2" xfId="2531" xr:uid="{00000000-0005-0000-0000-00000A000000}"/>
    <cellStyle name="40% - Accent6 2" xfId="2532" xr:uid="{00000000-0005-0000-0000-00000B000000}"/>
    <cellStyle name="60% - Accent1 2" xfId="2533" xr:uid="{00000000-0005-0000-0000-00000C000000}"/>
    <cellStyle name="60% - Accent2 2" xfId="2534" xr:uid="{00000000-0005-0000-0000-00000D000000}"/>
    <cellStyle name="60% - Accent3 2" xfId="2535" xr:uid="{00000000-0005-0000-0000-00000E000000}"/>
    <cellStyle name="60% - Accent4 2" xfId="2536" xr:uid="{00000000-0005-0000-0000-00000F000000}"/>
    <cellStyle name="60% - Accent5 2" xfId="2537" xr:uid="{00000000-0005-0000-0000-000010000000}"/>
    <cellStyle name="60% - Accent6 2" xfId="2538" xr:uid="{00000000-0005-0000-0000-000011000000}"/>
    <cellStyle name="Accent1 2" xfId="2539" xr:uid="{00000000-0005-0000-0000-000012000000}"/>
    <cellStyle name="Accent2 2" xfId="2540" xr:uid="{00000000-0005-0000-0000-000013000000}"/>
    <cellStyle name="Accent3 2" xfId="2541" xr:uid="{00000000-0005-0000-0000-000014000000}"/>
    <cellStyle name="Accent4 2" xfId="2542" xr:uid="{00000000-0005-0000-0000-000015000000}"/>
    <cellStyle name="Accent5 2" xfId="2543" xr:uid="{00000000-0005-0000-0000-000016000000}"/>
    <cellStyle name="Accent6 2" xfId="2544" xr:uid="{00000000-0005-0000-0000-000017000000}"/>
    <cellStyle name="Bad" xfId="2545" xr:uid="{00000000-0005-0000-0000-000018000000}"/>
    <cellStyle name="Berekening" xfId="1" xr:uid="{00000000-0005-0000-0000-000019000000}"/>
    <cellStyle name="Berekening 2" xfId="2546" xr:uid="{00000000-0005-0000-0000-00001A000000}"/>
    <cellStyle name="Calculation" xfId="2547" xr:uid="{00000000-0005-0000-0000-00001B000000}"/>
    <cellStyle name="Check Cell" xfId="2548" xr:uid="{00000000-0005-0000-0000-00001C000000}"/>
    <cellStyle name="Comma [0]" xfId="2549" xr:uid="{00000000-0005-0000-0000-00001D000000}"/>
    <cellStyle name="Comma_AA BCR/ Basis ruimtestaat 13.0" xfId="2550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51" xr:uid="{00000000-0005-0000-0000-000021000000}"/>
    <cellStyle name="Currency [0]" xfId="2552" xr:uid="{00000000-0005-0000-0000-000022000000}"/>
    <cellStyle name="Currency_2.objekten aanbestedi#B9BC8.xls" xfId="2553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Currency_MACHINEKST.xls" xfId="6" xr:uid="{00000000-0005-0000-0000-000026000000}"/>
    <cellStyle name="euro" xfId="7" xr:uid="{00000000-0005-0000-0000-000027000000}"/>
    <cellStyle name="Euro 2" xfId="2554" xr:uid="{00000000-0005-0000-0000-000028000000}"/>
    <cellStyle name="Euro 3" xfId="2555" xr:uid="{00000000-0005-0000-0000-000029000000}"/>
    <cellStyle name="Euro 4" xfId="2556" xr:uid="{00000000-0005-0000-0000-00002A000000}"/>
    <cellStyle name="Euro_Calculatie Lenger Seafoods Yerseke 090106-1" xfId="2557" xr:uid="{00000000-0005-0000-0000-00002B000000}"/>
    <cellStyle name="Explanatory Text" xfId="2558" xr:uid="{00000000-0005-0000-0000-00002C000000}"/>
    <cellStyle name="Followed Hyperlink_Aantal groepen per school.xls" xfId="2559" xr:uid="{00000000-0005-0000-0000-00002D000000}"/>
    <cellStyle name="Gekoppelde cel" xfId="8" xr:uid="{00000000-0005-0000-0000-00002E000000}"/>
    <cellStyle name="Gekoppelde cel 2" xfId="2560" xr:uid="{00000000-0005-0000-0000-00002F000000}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Gevolgde hyperlink" xfId="339" builtinId="9" hidden="1"/>
    <cellStyle name="Gevolgde hyperlink" xfId="341" builtinId="9" hidden="1"/>
    <cellStyle name="Gevolgde hyperlink" xfId="343" builtinId="9" hidden="1"/>
    <cellStyle name="Gevolgde hyperlink" xfId="345" builtinId="9" hidden="1"/>
    <cellStyle name="Gevolgde hyperlink" xfId="347" builtinId="9" hidden="1"/>
    <cellStyle name="Gevolgde hyperlink" xfId="349" builtinId="9" hidden="1"/>
    <cellStyle name="Gevolgde hyperlink" xfId="351" builtinId="9" hidden="1"/>
    <cellStyle name="Gevolgde hyperlink" xfId="353" builtinId="9" hidden="1"/>
    <cellStyle name="Gevolgde hyperlink" xfId="355" builtinId="9" hidden="1"/>
    <cellStyle name="Gevolgde hyperlink" xfId="357" builtinId="9" hidden="1"/>
    <cellStyle name="Gevolgde hyperlink" xfId="359" builtinId="9" hidden="1"/>
    <cellStyle name="Gevolgde hyperlink" xfId="361" builtinId="9" hidden="1"/>
    <cellStyle name="Gevolgde hyperlink" xfId="363" builtinId="9" hidden="1"/>
    <cellStyle name="Gevolgde hyperlink" xfId="365" builtinId="9" hidden="1"/>
    <cellStyle name="Gevolgde hyperlink" xfId="367" builtinId="9" hidden="1"/>
    <cellStyle name="Gevolgde hyperlink" xfId="369" builtinId="9" hidden="1"/>
    <cellStyle name="Gevolgde hyperlink" xfId="371" builtinId="9" hidden="1"/>
    <cellStyle name="Gevolgde hyperlink" xfId="373" builtinId="9" hidden="1"/>
    <cellStyle name="Gevolgde hyperlink" xfId="375" builtinId="9" hidden="1"/>
    <cellStyle name="Gevolgde hyperlink" xfId="377" builtinId="9" hidden="1"/>
    <cellStyle name="Gevolgde hyperlink" xfId="379" builtinId="9" hidden="1"/>
    <cellStyle name="Gevolgde hyperlink" xfId="381" builtinId="9" hidden="1"/>
    <cellStyle name="Gevolgde hyperlink" xfId="383" builtinId="9" hidden="1"/>
    <cellStyle name="Gevolgde hyperlink" xfId="385" builtinId="9" hidden="1"/>
    <cellStyle name="Gevolgde hyperlink" xfId="387" builtinId="9" hidden="1"/>
    <cellStyle name="Gevolgde hyperlink" xfId="389" builtinId="9" hidden="1"/>
    <cellStyle name="Gevolgde hyperlink" xfId="391" builtinId="9" hidden="1"/>
    <cellStyle name="Gevolgde hyperlink" xfId="393" builtinId="9" hidden="1"/>
    <cellStyle name="Gevolgde hyperlink" xfId="395" builtinId="9" hidden="1"/>
    <cellStyle name="Gevolgde hyperlink" xfId="397" builtinId="9" hidden="1"/>
    <cellStyle name="Gevolgde hyperlink" xfId="399" builtinId="9" hidden="1"/>
    <cellStyle name="Gevolgde hyperlink" xfId="401" builtinId="9" hidden="1"/>
    <cellStyle name="Gevolgde hyperlink" xfId="403" builtinId="9" hidden="1"/>
    <cellStyle name="Gevolgde hyperlink" xfId="405" builtinId="9" hidden="1"/>
    <cellStyle name="Gevolgde hyperlink" xfId="407" builtinId="9" hidden="1"/>
    <cellStyle name="Gevolgde hyperlink" xfId="409" builtinId="9" hidden="1"/>
    <cellStyle name="Gevolgde hyperlink" xfId="411" builtinId="9" hidden="1"/>
    <cellStyle name="Gevolgde hyperlink" xfId="413" builtinId="9" hidden="1"/>
    <cellStyle name="Gevolgde hyperlink" xfId="415" builtinId="9" hidden="1"/>
    <cellStyle name="Gevolgde hyperlink" xfId="417" builtinId="9" hidden="1"/>
    <cellStyle name="Gevolgde hyperlink" xfId="419" builtinId="9" hidden="1"/>
    <cellStyle name="Gevolgde hyperlink" xfId="421" builtinId="9" hidden="1"/>
    <cellStyle name="Gevolgde hyperlink" xfId="423" builtinId="9" hidden="1"/>
    <cellStyle name="Gevolgde hyperlink" xfId="425" builtinId="9" hidden="1"/>
    <cellStyle name="Gevolgde hyperlink" xfId="427" builtinId="9" hidden="1"/>
    <cellStyle name="Gevolgde hyperlink" xfId="429" builtinId="9" hidden="1"/>
    <cellStyle name="Gevolgde hyperlink" xfId="431" builtinId="9" hidden="1"/>
    <cellStyle name="Gevolgde hyperlink" xfId="433" builtinId="9" hidden="1"/>
    <cellStyle name="Gevolgde hyperlink" xfId="435" builtinId="9" hidden="1"/>
    <cellStyle name="Gevolgde hyperlink" xfId="437" builtinId="9" hidden="1"/>
    <cellStyle name="Gevolgde hyperlink" xfId="439" builtinId="9" hidden="1"/>
    <cellStyle name="Gevolgde hyperlink" xfId="441" builtinId="9" hidden="1"/>
    <cellStyle name="Gevolgde hyperlink" xfId="443" builtinId="9" hidden="1"/>
    <cellStyle name="Gevolgde hyperlink" xfId="445" builtinId="9" hidden="1"/>
    <cellStyle name="Gevolgde hyperlink" xfId="447" builtinId="9" hidden="1"/>
    <cellStyle name="Gevolgde hyperlink" xfId="449" builtinId="9" hidden="1"/>
    <cellStyle name="Gevolgde hyperlink" xfId="451" builtinId="9" hidden="1"/>
    <cellStyle name="Gevolgde hyperlink" xfId="453" builtinId="9" hidden="1"/>
    <cellStyle name="Gevolgde hyperlink" xfId="455" builtinId="9" hidden="1"/>
    <cellStyle name="Gevolgde hyperlink" xfId="457" builtinId="9" hidden="1"/>
    <cellStyle name="Gevolgde hyperlink" xfId="459" builtinId="9" hidden="1"/>
    <cellStyle name="Gevolgde hyperlink" xfId="461" builtinId="9" hidden="1"/>
    <cellStyle name="Gevolgde hyperlink" xfId="463" builtinId="9" hidden="1"/>
    <cellStyle name="Gevolgde hyperlink" xfId="465" builtinId="9" hidden="1"/>
    <cellStyle name="Gevolgde hyperlink" xfId="467" builtinId="9" hidden="1"/>
    <cellStyle name="Gevolgde hyperlink" xfId="469" builtinId="9" hidden="1"/>
    <cellStyle name="Gevolgde hyperlink" xfId="471" builtinId="9" hidden="1"/>
    <cellStyle name="Gevolgde hyperlink" xfId="473" builtinId="9" hidden="1"/>
    <cellStyle name="Gevolgde hyperlink" xfId="475" builtinId="9" hidden="1"/>
    <cellStyle name="Gevolgde hyperlink" xfId="477" builtinId="9" hidden="1"/>
    <cellStyle name="Gevolgde hyperlink" xfId="479" builtinId="9" hidden="1"/>
    <cellStyle name="Gevolgde hyperlink" xfId="481" builtinId="9" hidden="1"/>
    <cellStyle name="Gevolgde hyperlink" xfId="483" builtinId="9" hidden="1"/>
    <cellStyle name="Gevolgde hyperlink" xfId="485" builtinId="9" hidden="1"/>
    <cellStyle name="Gevolgde hyperlink" xfId="487" builtinId="9" hidden="1"/>
    <cellStyle name="Gevolgde hyperlink" xfId="489" builtinId="9" hidden="1"/>
    <cellStyle name="Gevolgde hyperlink" xfId="491" builtinId="9" hidden="1"/>
    <cellStyle name="Gevolgde hyperlink" xfId="493" builtinId="9" hidden="1"/>
    <cellStyle name="Gevolgde hyperlink" xfId="495" builtinId="9" hidden="1"/>
    <cellStyle name="Gevolgde hyperlink" xfId="497" builtinId="9" hidden="1"/>
    <cellStyle name="Gevolgde hyperlink" xfId="499" builtinId="9" hidden="1"/>
    <cellStyle name="Gevolgde hyperlink" xfId="501" builtinId="9" hidden="1"/>
    <cellStyle name="Gevolgde hyperlink" xfId="503" builtinId="9" hidden="1"/>
    <cellStyle name="Gevolgde hyperlink" xfId="505" builtinId="9" hidden="1"/>
    <cellStyle name="Gevolgde hyperlink" xfId="507" builtinId="9" hidden="1"/>
    <cellStyle name="Gevolgde hyperlink" xfId="509" builtinId="9" hidden="1"/>
    <cellStyle name="Gevolgde hyperlink" xfId="511" builtinId="9" hidden="1"/>
    <cellStyle name="Gevolgde hyperlink" xfId="513" builtinId="9" hidden="1"/>
    <cellStyle name="Gevolgde hyperlink" xfId="515" builtinId="9" hidden="1"/>
    <cellStyle name="Gevolgde hyperlink" xfId="517" builtinId="9" hidden="1"/>
    <cellStyle name="Gevolgde hyperlink" xfId="519" builtinId="9" hidden="1"/>
    <cellStyle name="Gevolgde hyperlink" xfId="521" builtinId="9" hidden="1"/>
    <cellStyle name="Gevolgde hyperlink" xfId="523" builtinId="9" hidden="1"/>
    <cellStyle name="Gevolgde hyperlink" xfId="525" builtinId="9" hidden="1"/>
    <cellStyle name="Gevolgde hyperlink" xfId="527" builtinId="9" hidden="1"/>
    <cellStyle name="Gevolgde hyperlink" xfId="529" builtinId="9" hidden="1"/>
    <cellStyle name="Gevolgde hyperlink" xfId="531" builtinId="9" hidden="1"/>
    <cellStyle name="Gevolgde hyperlink" xfId="533" builtinId="9" hidden="1"/>
    <cellStyle name="Gevolgde hyperlink" xfId="535" builtinId="9" hidden="1"/>
    <cellStyle name="Gevolgde hyperlink" xfId="537" builtinId="9" hidden="1"/>
    <cellStyle name="Gevolgde hyperlink" xfId="539" builtinId="9" hidden="1"/>
    <cellStyle name="Gevolgde hyperlink" xfId="541" builtinId="9" hidden="1"/>
    <cellStyle name="Gevolgde hyperlink" xfId="543" builtinId="9" hidden="1"/>
    <cellStyle name="Gevolgde hyperlink" xfId="545" builtinId="9" hidden="1"/>
    <cellStyle name="Gevolgde hyperlink" xfId="547" builtinId="9" hidden="1"/>
    <cellStyle name="Gevolgde hyperlink" xfId="549" builtinId="9" hidden="1"/>
    <cellStyle name="Gevolgde hyperlink" xfId="551" builtinId="9" hidden="1"/>
    <cellStyle name="Gevolgde hyperlink" xfId="553" builtinId="9" hidden="1"/>
    <cellStyle name="Gevolgde hyperlink" xfId="555" builtinId="9" hidden="1"/>
    <cellStyle name="Gevolgde hyperlink" xfId="557" builtinId="9" hidden="1"/>
    <cellStyle name="Gevolgde hyperlink" xfId="559" builtinId="9" hidden="1"/>
    <cellStyle name="Gevolgde hyperlink" xfId="561" builtinId="9" hidden="1"/>
    <cellStyle name="Gevolgde hyperlink" xfId="563" builtinId="9" hidden="1"/>
    <cellStyle name="Gevolgde hyperlink" xfId="565" builtinId="9" hidden="1"/>
    <cellStyle name="Gevolgde hyperlink" xfId="567" builtinId="9" hidden="1"/>
    <cellStyle name="Gevolgde hyperlink" xfId="569" builtinId="9" hidden="1"/>
    <cellStyle name="Gevolgde hyperlink" xfId="571" builtinId="9" hidden="1"/>
    <cellStyle name="Gevolgde hyperlink" xfId="573" builtinId="9" hidden="1"/>
    <cellStyle name="Gevolgde hyperlink" xfId="575" builtinId="9" hidden="1"/>
    <cellStyle name="Gevolgde hyperlink" xfId="577" builtinId="9" hidden="1"/>
    <cellStyle name="Gevolgde hyperlink" xfId="579" builtinId="9" hidden="1"/>
    <cellStyle name="Gevolgde hyperlink" xfId="581" builtinId="9" hidden="1"/>
    <cellStyle name="Gevolgde hyperlink" xfId="583" builtinId="9" hidden="1"/>
    <cellStyle name="Gevolgde hyperlink" xfId="585" builtinId="9" hidden="1"/>
    <cellStyle name="Gevolgde hyperlink" xfId="587" builtinId="9" hidden="1"/>
    <cellStyle name="Gevolgde hyperlink" xfId="589" builtinId="9" hidden="1"/>
    <cellStyle name="Gevolgde hyperlink" xfId="591" builtinId="9" hidden="1"/>
    <cellStyle name="Gevolgde hyperlink" xfId="593" builtinId="9" hidden="1"/>
    <cellStyle name="Gevolgde hyperlink" xfId="595" builtinId="9" hidden="1"/>
    <cellStyle name="Gevolgde hyperlink" xfId="597" builtinId="9" hidden="1"/>
    <cellStyle name="Gevolgde hyperlink" xfId="599" builtinId="9" hidden="1"/>
    <cellStyle name="Gevolgde hyperlink" xfId="601" builtinId="9" hidden="1"/>
    <cellStyle name="Gevolgde hyperlink" xfId="603" builtinId="9" hidden="1"/>
    <cellStyle name="Gevolgde hyperlink" xfId="605" builtinId="9" hidden="1"/>
    <cellStyle name="Gevolgde hyperlink" xfId="607" builtinId="9" hidden="1"/>
    <cellStyle name="Gevolgde hyperlink" xfId="609" builtinId="9" hidden="1"/>
    <cellStyle name="Gevolgde hyperlink" xfId="611" builtinId="9" hidden="1"/>
    <cellStyle name="Gevolgde hyperlink" xfId="613" builtinId="9" hidden="1"/>
    <cellStyle name="Gevolgde hyperlink" xfId="615" builtinId="9" hidden="1"/>
    <cellStyle name="Gevolgde hyperlink" xfId="617" builtinId="9" hidden="1"/>
    <cellStyle name="Gevolgde hyperlink" xfId="619" builtinId="9" hidden="1"/>
    <cellStyle name="Gevolgde hyperlink" xfId="621" builtinId="9" hidden="1"/>
    <cellStyle name="Gevolgde hyperlink" xfId="623" builtinId="9" hidden="1"/>
    <cellStyle name="Gevolgde hyperlink" xfId="625" builtinId="9" hidden="1"/>
    <cellStyle name="Gevolgde hyperlink" xfId="627" builtinId="9" hidden="1"/>
    <cellStyle name="Gevolgde hyperlink" xfId="629" builtinId="9" hidden="1"/>
    <cellStyle name="Gevolgde hyperlink" xfId="631" builtinId="9" hidden="1"/>
    <cellStyle name="Gevolgde hyperlink" xfId="633" builtinId="9" hidden="1"/>
    <cellStyle name="Gevolgde hyperlink" xfId="635" builtinId="9" hidden="1"/>
    <cellStyle name="Gevolgde hyperlink" xfId="637" builtinId="9" hidden="1"/>
    <cellStyle name="Gevolgde hyperlink" xfId="639" builtinId="9" hidden="1"/>
    <cellStyle name="Gevolgde hyperlink" xfId="641" builtinId="9" hidden="1"/>
    <cellStyle name="Gevolgde hyperlink" xfId="643" builtinId="9" hidden="1"/>
    <cellStyle name="Gevolgde hyperlink" xfId="645" builtinId="9" hidden="1"/>
    <cellStyle name="Gevolgde hyperlink" xfId="647" builtinId="9" hidden="1"/>
    <cellStyle name="Gevolgde hyperlink" xfId="649" builtinId="9" hidden="1"/>
    <cellStyle name="Gevolgde hyperlink" xfId="651" builtinId="9" hidden="1"/>
    <cellStyle name="Gevolgde hyperlink" xfId="653" builtinId="9" hidden="1"/>
    <cellStyle name="Gevolgde hyperlink" xfId="655" builtinId="9" hidden="1"/>
    <cellStyle name="Gevolgde hyperlink" xfId="657" builtinId="9" hidden="1"/>
    <cellStyle name="Gevolgde hyperlink" xfId="659" builtinId="9" hidden="1"/>
    <cellStyle name="Gevolgde hyperlink" xfId="661" builtinId="9" hidden="1"/>
    <cellStyle name="Gevolgde hyperlink" xfId="663" builtinId="9" hidden="1"/>
    <cellStyle name="Gevolgde hyperlink" xfId="665" builtinId="9" hidden="1"/>
    <cellStyle name="Gevolgde hyperlink" xfId="667" builtinId="9" hidden="1"/>
    <cellStyle name="Gevolgde hyperlink" xfId="669" builtinId="9" hidden="1"/>
    <cellStyle name="Gevolgde hyperlink" xfId="671" builtinId="9" hidden="1"/>
    <cellStyle name="Gevolgde hyperlink" xfId="673" builtinId="9" hidden="1"/>
    <cellStyle name="Gevolgde hyperlink" xfId="675" builtinId="9" hidden="1"/>
    <cellStyle name="Gevolgde hyperlink" xfId="677" builtinId="9" hidden="1"/>
    <cellStyle name="Gevolgde hyperlink" xfId="679" builtinId="9" hidden="1"/>
    <cellStyle name="Gevolgde hyperlink" xfId="681" builtinId="9" hidden="1"/>
    <cellStyle name="Gevolgde hyperlink" xfId="683" builtinId="9" hidden="1"/>
    <cellStyle name="Gevolgde hyperlink" xfId="685" builtinId="9" hidden="1"/>
    <cellStyle name="Gevolgde hyperlink" xfId="687" builtinId="9" hidden="1"/>
    <cellStyle name="Gevolgde hyperlink" xfId="689" builtinId="9" hidden="1"/>
    <cellStyle name="Gevolgde hyperlink" xfId="691" builtinId="9" hidden="1"/>
    <cellStyle name="Gevolgde hyperlink" xfId="693" builtinId="9" hidden="1"/>
    <cellStyle name="Gevolgde hyperlink" xfId="695" builtinId="9" hidden="1"/>
    <cellStyle name="Gevolgde hyperlink" xfId="697" builtinId="9" hidden="1"/>
    <cellStyle name="Gevolgde hyperlink" xfId="699" builtinId="9" hidden="1"/>
    <cellStyle name="Gevolgde hyperlink" xfId="701" builtinId="9" hidden="1"/>
    <cellStyle name="Gevolgde hyperlink" xfId="703" builtinId="9" hidden="1"/>
    <cellStyle name="Gevolgde hyperlink" xfId="705" builtinId="9" hidden="1"/>
    <cellStyle name="Gevolgde hyperlink" xfId="707" builtinId="9" hidden="1"/>
    <cellStyle name="Gevolgde hyperlink" xfId="709" builtinId="9" hidden="1"/>
    <cellStyle name="Gevolgde hyperlink" xfId="711" builtinId="9" hidden="1"/>
    <cellStyle name="Gevolgde hyperlink" xfId="713" builtinId="9" hidden="1"/>
    <cellStyle name="Gevolgde hyperlink" xfId="715" builtinId="9" hidden="1"/>
    <cellStyle name="Gevolgde hyperlink" xfId="717" builtinId="9" hidden="1"/>
    <cellStyle name="Gevolgde hyperlink" xfId="719" builtinId="9" hidden="1"/>
    <cellStyle name="Gevolgde hyperlink" xfId="721" builtinId="9" hidden="1"/>
    <cellStyle name="Gevolgde hyperlink" xfId="723" builtinId="9" hidden="1"/>
    <cellStyle name="Gevolgde hyperlink" xfId="725" builtinId="9" hidden="1"/>
    <cellStyle name="Gevolgde hyperlink" xfId="727" builtinId="9" hidden="1"/>
    <cellStyle name="Gevolgde hyperlink" xfId="729" builtinId="9" hidden="1"/>
    <cellStyle name="Gevolgde hyperlink" xfId="731" builtinId="9" hidden="1"/>
    <cellStyle name="Gevolgde hyperlink" xfId="733" builtinId="9" hidden="1"/>
    <cellStyle name="Gevolgde hyperlink" xfId="735" builtinId="9" hidden="1"/>
    <cellStyle name="Gevolgde hyperlink" xfId="737" builtinId="9" hidden="1"/>
    <cellStyle name="Gevolgde hyperlink" xfId="739" builtinId="9" hidden="1"/>
    <cellStyle name="Gevolgde hyperlink" xfId="741" builtinId="9" hidden="1"/>
    <cellStyle name="Gevolgde hyperlink" xfId="743" builtinId="9" hidden="1"/>
    <cellStyle name="Gevolgde hyperlink" xfId="745" builtinId="9" hidden="1"/>
    <cellStyle name="Gevolgde hyperlink" xfId="747" builtinId="9" hidden="1"/>
    <cellStyle name="Gevolgde hyperlink" xfId="749" builtinId="9" hidden="1"/>
    <cellStyle name="Gevolgde hyperlink" xfId="751" builtinId="9" hidden="1"/>
    <cellStyle name="Gevolgde hyperlink" xfId="753" builtinId="9" hidden="1"/>
    <cellStyle name="Gevolgde hyperlink" xfId="755" builtinId="9" hidden="1"/>
    <cellStyle name="Gevolgde hyperlink" xfId="757" builtinId="9" hidden="1"/>
    <cellStyle name="Gevolgde hyperlink" xfId="759" builtinId="9" hidden="1"/>
    <cellStyle name="Gevolgde hyperlink" xfId="761" builtinId="9" hidden="1"/>
    <cellStyle name="Gevolgde hyperlink" xfId="763" builtinId="9" hidden="1"/>
    <cellStyle name="Gevolgde hyperlink" xfId="765" builtinId="9" hidden="1"/>
    <cellStyle name="Gevolgde hyperlink" xfId="767" builtinId="9" hidden="1"/>
    <cellStyle name="Gevolgde hyperlink" xfId="769" builtinId="9" hidden="1"/>
    <cellStyle name="Gevolgde hyperlink" xfId="771" builtinId="9" hidden="1"/>
    <cellStyle name="Gevolgde hyperlink" xfId="773" builtinId="9" hidden="1"/>
    <cellStyle name="Gevolgde hyperlink" xfId="775" builtinId="9" hidden="1"/>
    <cellStyle name="Gevolgde hyperlink" xfId="777" builtinId="9" hidden="1"/>
    <cellStyle name="Gevolgde hyperlink" xfId="779" builtinId="9" hidden="1"/>
    <cellStyle name="Gevolgde hyperlink" xfId="781" builtinId="9" hidden="1"/>
    <cellStyle name="Gevolgde hyperlink" xfId="783" builtinId="9" hidden="1"/>
    <cellStyle name="Gevolgde hyperlink" xfId="785" builtinId="9" hidden="1"/>
    <cellStyle name="Gevolgde hyperlink" xfId="787" builtinId="9" hidden="1"/>
    <cellStyle name="Gevolgde hyperlink" xfId="789" builtinId="9" hidden="1"/>
    <cellStyle name="Gevolgde hyperlink" xfId="791" builtinId="9" hidden="1"/>
    <cellStyle name="Gevolgde hyperlink" xfId="793" builtinId="9" hidden="1"/>
    <cellStyle name="Gevolgde hyperlink" xfId="795" builtinId="9" hidden="1"/>
    <cellStyle name="Gevolgde hyperlink" xfId="797" builtinId="9" hidden="1"/>
    <cellStyle name="Gevolgde hyperlink" xfId="799" builtinId="9" hidden="1"/>
    <cellStyle name="Gevolgde hyperlink" xfId="801" builtinId="9" hidden="1"/>
    <cellStyle name="Gevolgde hyperlink" xfId="803" builtinId="9" hidden="1"/>
    <cellStyle name="Gevolgde hyperlink" xfId="805" builtinId="9" hidden="1"/>
    <cellStyle name="Gevolgde hyperlink" xfId="807" builtinId="9" hidden="1"/>
    <cellStyle name="Gevolgde hyperlink" xfId="809" builtinId="9" hidden="1"/>
    <cellStyle name="Gevolgde hyperlink" xfId="811" builtinId="9" hidden="1"/>
    <cellStyle name="Gevolgde hyperlink" xfId="813" builtinId="9" hidden="1"/>
    <cellStyle name="Gevolgde hyperlink" xfId="815" builtinId="9" hidden="1"/>
    <cellStyle name="Gevolgde hyperlink" xfId="817" builtinId="9" hidden="1"/>
    <cellStyle name="Gevolgde hyperlink" xfId="819" builtinId="9" hidden="1"/>
    <cellStyle name="Gevolgde hyperlink" xfId="821" builtinId="9" hidden="1"/>
    <cellStyle name="Gevolgde hyperlink" xfId="823" builtinId="9" hidden="1"/>
    <cellStyle name="Gevolgde hyperlink" xfId="825" builtinId="9" hidden="1"/>
    <cellStyle name="Gevolgde hyperlink" xfId="827" builtinId="9" hidden="1"/>
    <cellStyle name="Gevolgde hyperlink" xfId="829" builtinId="9" hidden="1"/>
    <cellStyle name="Gevolgde hyperlink" xfId="831" builtinId="9" hidden="1"/>
    <cellStyle name="Gevolgde hyperlink" xfId="833" builtinId="9" hidden="1"/>
    <cellStyle name="Gevolgde hyperlink" xfId="835" builtinId="9" hidden="1"/>
    <cellStyle name="Gevolgde hyperlink" xfId="837" builtinId="9" hidden="1"/>
    <cellStyle name="Gevolgde hyperlink" xfId="839" builtinId="9" hidden="1"/>
    <cellStyle name="Gevolgde hyperlink" xfId="841" builtinId="9" hidden="1"/>
    <cellStyle name="Gevolgde hyperlink" xfId="843" builtinId="9" hidden="1"/>
    <cellStyle name="Gevolgde hyperlink" xfId="845" builtinId="9" hidden="1"/>
    <cellStyle name="Gevolgde hyperlink" xfId="847" builtinId="9" hidden="1"/>
    <cellStyle name="Gevolgde hyperlink" xfId="849" builtinId="9" hidden="1"/>
    <cellStyle name="Gevolgde hyperlink" xfId="851" builtinId="9" hidden="1"/>
    <cellStyle name="Gevolgde hyperlink" xfId="853" builtinId="9" hidden="1"/>
    <cellStyle name="Gevolgde hyperlink" xfId="855" builtinId="9" hidden="1"/>
    <cellStyle name="Gevolgde hyperlink" xfId="857" builtinId="9" hidden="1"/>
    <cellStyle name="Gevolgde hyperlink" xfId="859" builtinId="9" hidden="1"/>
    <cellStyle name="Gevolgde hyperlink" xfId="861" builtinId="9" hidden="1"/>
    <cellStyle name="Gevolgde hyperlink" xfId="863" builtinId="9" hidden="1"/>
    <cellStyle name="Gevolgde hyperlink" xfId="865" builtinId="9" hidden="1"/>
    <cellStyle name="Gevolgde hyperlink" xfId="867" builtinId="9" hidden="1"/>
    <cellStyle name="Gevolgde hyperlink" xfId="869" builtinId="9" hidden="1"/>
    <cellStyle name="Gevolgde hyperlink" xfId="871" builtinId="9" hidden="1"/>
    <cellStyle name="Gevolgde hyperlink" xfId="873" builtinId="9" hidden="1"/>
    <cellStyle name="Gevolgde hyperlink" xfId="875" builtinId="9" hidden="1"/>
    <cellStyle name="Gevolgde hyperlink" xfId="877" builtinId="9" hidden="1"/>
    <cellStyle name="Gevolgde hyperlink" xfId="879" builtinId="9" hidden="1"/>
    <cellStyle name="Gevolgde hyperlink" xfId="881" builtinId="9" hidden="1"/>
    <cellStyle name="Gevolgde hyperlink" xfId="883" builtinId="9" hidden="1"/>
    <cellStyle name="Gevolgde hyperlink" xfId="885" builtinId="9" hidden="1"/>
    <cellStyle name="Gevolgde hyperlink" xfId="887" builtinId="9" hidden="1"/>
    <cellStyle name="Gevolgde hyperlink" xfId="889" builtinId="9" hidden="1"/>
    <cellStyle name="Gevolgde hyperlink" xfId="891" builtinId="9" hidden="1"/>
    <cellStyle name="Gevolgde hyperlink" xfId="893" builtinId="9" hidden="1"/>
    <cellStyle name="Gevolgde hyperlink" xfId="895" builtinId="9" hidden="1"/>
    <cellStyle name="Gevolgde hyperlink" xfId="897" builtinId="9" hidden="1"/>
    <cellStyle name="Gevolgde hyperlink" xfId="899" builtinId="9" hidden="1"/>
    <cellStyle name="Gevolgde hyperlink" xfId="901" builtinId="9" hidden="1"/>
    <cellStyle name="Gevolgde hyperlink" xfId="903" builtinId="9" hidden="1"/>
    <cellStyle name="Gevolgde hyperlink" xfId="905" builtinId="9" hidden="1"/>
    <cellStyle name="Gevolgde hyperlink" xfId="907" builtinId="9" hidden="1"/>
    <cellStyle name="Gevolgde hyperlink" xfId="909" builtinId="9" hidden="1"/>
    <cellStyle name="Gevolgde hyperlink" xfId="911" builtinId="9" hidden="1"/>
    <cellStyle name="Gevolgde hyperlink" xfId="913" builtinId="9" hidden="1"/>
    <cellStyle name="Gevolgde hyperlink" xfId="915" builtinId="9" hidden="1"/>
    <cellStyle name="Gevolgde hyperlink" xfId="917" builtinId="9" hidden="1"/>
    <cellStyle name="Gevolgde hyperlink" xfId="919" builtinId="9" hidden="1"/>
    <cellStyle name="Gevolgde hyperlink" xfId="921" builtinId="9" hidden="1"/>
    <cellStyle name="Gevolgde hyperlink" xfId="923" builtinId="9" hidden="1"/>
    <cellStyle name="Gevolgde hyperlink" xfId="925" builtinId="9" hidden="1"/>
    <cellStyle name="Gevolgde hyperlink" xfId="927" builtinId="9" hidden="1"/>
    <cellStyle name="Gevolgde hyperlink" xfId="929" builtinId="9" hidden="1"/>
    <cellStyle name="Gevolgde hyperlink" xfId="931" builtinId="9" hidden="1"/>
    <cellStyle name="Gevolgde hyperlink" xfId="933" builtinId="9" hidden="1"/>
    <cellStyle name="Gevolgde hyperlink" xfId="935" builtinId="9" hidden="1"/>
    <cellStyle name="Gevolgde hyperlink" xfId="937" builtinId="9" hidden="1"/>
    <cellStyle name="Gevolgde hyperlink" xfId="939" builtinId="9" hidden="1"/>
    <cellStyle name="Gevolgde hyperlink" xfId="941" builtinId="9" hidden="1"/>
    <cellStyle name="Gevolgde hyperlink" xfId="943" builtinId="9" hidden="1"/>
    <cellStyle name="Gevolgde hyperlink" xfId="945" builtinId="9" hidden="1"/>
    <cellStyle name="Gevolgde hyperlink" xfId="947" builtinId="9" hidden="1"/>
    <cellStyle name="Gevolgde hyperlink" xfId="949" builtinId="9" hidden="1"/>
    <cellStyle name="Gevolgde hyperlink" xfId="951" builtinId="9" hidden="1"/>
    <cellStyle name="Gevolgde hyperlink" xfId="953" builtinId="9" hidden="1"/>
    <cellStyle name="Gevolgde hyperlink" xfId="955" builtinId="9" hidden="1"/>
    <cellStyle name="Gevolgde hyperlink" xfId="957" builtinId="9" hidden="1"/>
    <cellStyle name="Gevolgde hyperlink" xfId="959" builtinId="9" hidden="1"/>
    <cellStyle name="Gevolgde hyperlink" xfId="961" builtinId="9" hidden="1"/>
    <cellStyle name="Gevolgde hyperlink" xfId="963" builtinId="9" hidden="1"/>
    <cellStyle name="Gevolgde hyperlink" xfId="965" builtinId="9" hidden="1"/>
    <cellStyle name="Gevolgde hyperlink" xfId="967" builtinId="9" hidden="1"/>
    <cellStyle name="Gevolgde hyperlink" xfId="969" builtinId="9" hidden="1"/>
    <cellStyle name="Gevolgde hyperlink" xfId="971" builtinId="9" hidden="1"/>
    <cellStyle name="Gevolgde hyperlink" xfId="973" builtinId="9" hidden="1"/>
    <cellStyle name="Gevolgde hyperlink" xfId="975" builtinId="9" hidden="1"/>
    <cellStyle name="Gevolgde hyperlink" xfId="977" builtinId="9" hidden="1"/>
    <cellStyle name="Gevolgde hyperlink" xfId="979" builtinId="9" hidden="1"/>
    <cellStyle name="Gevolgde hyperlink" xfId="981" builtinId="9" hidden="1"/>
    <cellStyle name="Gevolgde hyperlink" xfId="983" builtinId="9" hidden="1"/>
    <cellStyle name="Gevolgde hyperlink" xfId="985" builtinId="9" hidden="1"/>
    <cellStyle name="Gevolgde hyperlink" xfId="987" builtinId="9" hidden="1"/>
    <cellStyle name="Gevolgde hyperlink" xfId="989" builtinId="9" hidden="1"/>
    <cellStyle name="Gevolgde hyperlink" xfId="991" builtinId="9" hidden="1"/>
    <cellStyle name="Gevolgde hyperlink" xfId="993" builtinId="9" hidden="1"/>
    <cellStyle name="Gevolgde hyperlink" xfId="995" builtinId="9" hidden="1"/>
    <cellStyle name="Gevolgde hyperlink" xfId="997" builtinId="9" hidden="1"/>
    <cellStyle name="Gevolgde hyperlink" xfId="999" builtinId="9" hidden="1"/>
    <cellStyle name="Gevolgde hyperlink" xfId="1001" builtinId="9" hidden="1"/>
    <cellStyle name="Gevolgde hyperlink" xfId="1003" builtinId="9" hidden="1"/>
    <cellStyle name="Gevolgde hyperlink" xfId="1005" builtinId="9" hidden="1"/>
    <cellStyle name="Gevolgde hyperlink" xfId="1007" builtinId="9" hidden="1"/>
    <cellStyle name="Gevolgde hyperlink" xfId="1009" builtinId="9" hidden="1"/>
    <cellStyle name="Gevolgde hyperlink" xfId="1011" builtinId="9" hidden="1"/>
    <cellStyle name="Gevolgde hyperlink" xfId="1013" builtinId="9" hidden="1"/>
    <cellStyle name="Gevolgde hyperlink" xfId="1015" builtinId="9" hidden="1"/>
    <cellStyle name="Gevolgde hyperlink" xfId="1017" builtinId="9" hidden="1"/>
    <cellStyle name="Gevolgde hyperlink" xfId="1019" builtinId="9" hidden="1"/>
    <cellStyle name="Gevolgde hyperlink" xfId="1021" builtinId="9" hidden="1"/>
    <cellStyle name="Gevolgde hyperlink" xfId="1023" builtinId="9" hidden="1"/>
    <cellStyle name="Gevolgde hyperlink" xfId="1025" builtinId="9" hidden="1"/>
    <cellStyle name="Gevolgde hyperlink" xfId="1027" builtinId="9" hidden="1"/>
    <cellStyle name="Gevolgde hyperlink" xfId="1029" builtinId="9" hidden="1"/>
    <cellStyle name="Gevolgde hyperlink" xfId="1031" builtinId="9" hidden="1"/>
    <cellStyle name="Gevolgde hyperlink" xfId="1033" builtinId="9" hidden="1"/>
    <cellStyle name="Gevolgde hyperlink" xfId="1035" builtinId="9" hidden="1"/>
    <cellStyle name="Gevolgde hyperlink" xfId="1037" builtinId="9" hidden="1"/>
    <cellStyle name="Gevolgde hyperlink" xfId="1039" builtinId="9" hidden="1"/>
    <cellStyle name="Gevolgde hyperlink" xfId="1041" builtinId="9" hidden="1"/>
    <cellStyle name="Gevolgde hyperlink" xfId="1043" builtinId="9" hidden="1"/>
    <cellStyle name="Gevolgde hyperlink" xfId="1045" builtinId="9" hidden="1"/>
    <cellStyle name="Gevolgde hyperlink" xfId="1047" builtinId="9" hidden="1"/>
    <cellStyle name="Gevolgde hyperlink" xfId="1049" builtinId="9" hidden="1"/>
    <cellStyle name="Gevolgde hyperlink" xfId="1051" builtinId="9" hidden="1"/>
    <cellStyle name="Gevolgde hyperlink" xfId="1053" builtinId="9" hidden="1"/>
    <cellStyle name="Gevolgde hyperlink" xfId="1055" builtinId="9" hidden="1"/>
    <cellStyle name="Gevolgde hyperlink" xfId="1057" builtinId="9" hidden="1"/>
    <cellStyle name="Gevolgde hyperlink" xfId="1059" builtinId="9" hidden="1"/>
    <cellStyle name="Gevolgde hyperlink" xfId="1061" builtinId="9" hidden="1"/>
    <cellStyle name="Gevolgde hyperlink" xfId="1063" builtinId="9" hidden="1"/>
    <cellStyle name="Gevolgde hyperlink" xfId="1065" builtinId="9" hidden="1"/>
    <cellStyle name="Gevolgde hyperlink" xfId="1067" builtinId="9" hidden="1"/>
    <cellStyle name="Gevolgde hyperlink" xfId="1069" builtinId="9" hidden="1"/>
    <cellStyle name="Gevolgde hyperlink" xfId="1071" builtinId="9" hidden="1"/>
    <cellStyle name="Gevolgde hyperlink" xfId="1073" builtinId="9" hidden="1"/>
    <cellStyle name="Gevolgde hyperlink" xfId="1075" builtinId="9" hidden="1"/>
    <cellStyle name="Gevolgde hyperlink" xfId="1077" builtinId="9" hidden="1"/>
    <cellStyle name="Gevolgde hyperlink" xfId="1079" builtinId="9" hidden="1"/>
    <cellStyle name="Gevolgde hyperlink" xfId="1081" builtinId="9" hidden="1"/>
    <cellStyle name="Gevolgde hyperlink" xfId="1083" builtinId="9" hidden="1"/>
    <cellStyle name="Gevolgde hyperlink" xfId="1085" builtinId="9" hidden="1"/>
    <cellStyle name="Gevolgde hyperlink" xfId="1087" builtinId="9" hidden="1"/>
    <cellStyle name="Gevolgde hyperlink" xfId="1089" builtinId="9" hidden="1"/>
    <cellStyle name="Gevolgde hyperlink" xfId="1091" builtinId="9" hidden="1"/>
    <cellStyle name="Gevolgde hyperlink" xfId="1093" builtinId="9" hidden="1"/>
    <cellStyle name="Gevolgde hyperlink" xfId="1095" builtinId="9" hidden="1"/>
    <cellStyle name="Gevolgde hyperlink" xfId="1097" builtinId="9" hidden="1"/>
    <cellStyle name="Gevolgde hyperlink" xfId="1099" builtinId="9" hidden="1"/>
    <cellStyle name="Gevolgde hyperlink" xfId="1101" builtinId="9" hidden="1"/>
    <cellStyle name="Gevolgde hyperlink" xfId="1103" builtinId="9" hidden="1"/>
    <cellStyle name="Gevolgde hyperlink" xfId="1105" builtinId="9" hidden="1"/>
    <cellStyle name="Gevolgde hyperlink" xfId="1107" builtinId="9" hidden="1"/>
    <cellStyle name="Gevolgde hyperlink" xfId="1109" builtinId="9" hidden="1"/>
    <cellStyle name="Gevolgde hyperlink" xfId="1111" builtinId="9" hidden="1"/>
    <cellStyle name="Gevolgde hyperlink" xfId="1113" builtinId="9" hidden="1"/>
    <cellStyle name="Gevolgde hyperlink" xfId="1115" builtinId="9" hidden="1"/>
    <cellStyle name="Gevolgde hyperlink" xfId="1117" builtinId="9" hidden="1"/>
    <cellStyle name="Gevolgde hyperlink" xfId="1119" builtinId="9" hidden="1"/>
    <cellStyle name="Gevolgde hyperlink" xfId="1121" builtinId="9" hidden="1"/>
    <cellStyle name="Gevolgde hyperlink" xfId="1123" builtinId="9" hidden="1"/>
    <cellStyle name="Gevolgde hyperlink" xfId="1125" builtinId="9" hidden="1"/>
    <cellStyle name="Gevolgde hyperlink" xfId="1127" builtinId="9" hidden="1"/>
    <cellStyle name="Gevolgde hyperlink" xfId="1129" builtinId="9" hidden="1"/>
    <cellStyle name="Gevolgde hyperlink" xfId="1131" builtinId="9" hidden="1"/>
    <cellStyle name="Gevolgde hyperlink" xfId="1133" builtinId="9" hidden="1"/>
    <cellStyle name="Gevolgde hyperlink" xfId="1135" builtinId="9" hidden="1"/>
    <cellStyle name="Gevolgde hyperlink" xfId="1137" builtinId="9" hidden="1"/>
    <cellStyle name="Gevolgde hyperlink" xfId="1139" builtinId="9" hidden="1"/>
    <cellStyle name="Gevolgde hyperlink" xfId="1141" builtinId="9" hidden="1"/>
    <cellStyle name="Gevolgde hyperlink" xfId="1143" builtinId="9" hidden="1"/>
    <cellStyle name="Gevolgde hyperlink" xfId="1145" builtinId="9" hidden="1"/>
    <cellStyle name="Gevolgde hyperlink" xfId="1147" builtinId="9" hidden="1"/>
    <cellStyle name="Gevolgde hyperlink" xfId="1149" builtinId="9" hidden="1"/>
    <cellStyle name="Gevolgde hyperlink" xfId="1151" builtinId="9" hidden="1"/>
    <cellStyle name="Gevolgde hyperlink" xfId="1153" builtinId="9" hidden="1"/>
    <cellStyle name="Gevolgde hyperlink" xfId="1155" builtinId="9" hidden="1"/>
    <cellStyle name="Gevolgde hyperlink" xfId="1157" builtinId="9" hidden="1"/>
    <cellStyle name="Gevolgde hyperlink" xfId="1159" builtinId="9" hidden="1"/>
    <cellStyle name="Gevolgde hyperlink" xfId="1161" builtinId="9" hidden="1"/>
    <cellStyle name="Gevolgde hyperlink" xfId="1163" builtinId="9" hidden="1"/>
    <cellStyle name="Gevolgde hyperlink" xfId="1165" builtinId="9" hidden="1"/>
    <cellStyle name="Gevolgde hyperlink" xfId="1167" builtinId="9" hidden="1"/>
    <cellStyle name="Gevolgde hyperlink" xfId="1169" builtinId="9" hidden="1"/>
    <cellStyle name="Gevolgde hyperlink" xfId="1171" builtinId="9" hidden="1"/>
    <cellStyle name="Gevolgde hyperlink" xfId="1173" builtinId="9" hidden="1"/>
    <cellStyle name="Gevolgde hyperlink" xfId="1175" builtinId="9" hidden="1"/>
    <cellStyle name="Gevolgde hyperlink" xfId="1177" builtinId="9" hidden="1"/>
    <cellStyle name="Gevolgde hyperlink" xfId="1179" builtinId="9" hidden="1"/>
    <cellStyle name="Gevolgde hyperlink" xfId="1181" builtinId="9" hidden="1"/>
    <cellStyle name="Gevolgde hyperlink" xfId="1183" builtinId="9" hidden="1"/>
    <cellStyle name="Gevolgde hyperlink" xfId="1185" builtinId="9" hidden="1"/>
    <cellStyle name="Gevolgde hyperlink" xfId="1187" builtinId="9" hidden="1"/>
    <cellStyle name="Gevolgde hyperlink" xfId="1189" builtinId="9" hidden="1"/>
    <cellStyle name="Gevolgde hyperlink" xfId="1191" builtinId="9" hidden="1"/>
    <cellStyle name="Gevolgde hyperlink" xfId="1193" builtinId="9" hidden="1"/>
    <cellStyle name="Gevolgde hyperlink" xfId="1195" builtinId="9" hidden="1"/>
    <cellStyle name="Gevolgde hyperlink" xfId="1197" builtinId="9" hidden="1"/>
    <cellStyle name="Gevolgde hyperlink" xfId="1199" builtinId="9" hidden="1"/>
    <cellStyle name="Gevolgde hyperlink" xfId="1201" builtinId="9" hidden="1"/>
    <cellStyle name="Gevolgde hyperlink" xfId="1203" builtinId="9" hidden="1"/>
    <cellStyle name="Gevolgde hyperlink" xfId="1205" builtinId="9" hidden="1"/>
    <cellStyle name="Gevolgde hyperlink" xfId="1207" builtinId="9" hidden="1"/>
    <cellStyle name="Gevolgde hyperlink" xfId="1209" builtinId="9" hidden="1"/>
    <cellStyle name="Gevolgde hyperlink" xfId="1211" builtinId="9" hidden="1"/>
    <cellStyle name="Gevolgde hyperlink" xfId="1213" builtinId="9" hidden="1"/>
    <cellStyle name="Gevolgde hyperlink" xfId="1215" builtinId="9" hidden="1"/>
    <cellStyle name="Gevolgde hyperlink" xfId="1217" builtinId="9" hidden="1"/>
    <cellStyle name="Gevolgde hyperlink" xfId="1219" builtinId="9" hidden="1"/>
    <cellStyle name="Gevolgde hyperlink" xfId="1221" builtinId="9" hidden="1"/>
    <cellStyle name="Gevolgde hyperlink" xfId="1223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1" builtinId="9" hidden="1"/>
    <cellStyle name="Gevolgde hyperlink" xfId="1283" builtinId="9" hidden="1"/>
    <cellStyle name="Gevolgde hyperlink" xfId="1285" builtinId="9" hidden="1"/>
    <cellStyle name="Gevolgde hyperlink" xfId="1287" builtinId="9" hidden="1"/>
    <cellStyle name="Gevolgde hyperlink" xfId="1289" builtinId="9" hidden="1"/>
    <cellStyle name="Gevolgde hyperlink" xfId="1291" builtinId="9" hidden="1"/>
    <cellStyle name="Gevolgde hyperlink" xfId="1293" builtinId="9" hidden="1"/>
    <cellStyle name="Gevolgde hyperlink" xfId="1295" builtinId="9" hidden="1"/>
    <cellStyle name="Gevolgde hyperlink" xfId="1297" builtinId="9" hidden="1"/>
    <cellStyle name="Gevolgde hyperlink" xfId="1299" builtinId="9" hidden="1"/>
    <cellStyle name="Gevolgde hyperlink" xfId="1301" builtinId="9" hidden="1"/>
    <cellStyle name="Gevolgde hyperlink" xfId="1303" builtinId="9" hidden="1"/>
    <cellStyle name="Gevolgde hyperlink" xfId="1305" builtinId="9" hidden="1"/>
    <cellStyle name="Gevolgde hyperlink" xfId="1307" builtinId="9" hidden="1"/>
    <cellStyle name="Gevolgde hyperlink" xfId="1309" builtinId="9" hidden="1"/>
    <cellStyle name="Gevolgde hyperlink" xfId="1311" builtinId="9" hidden="1"/>
    <cellStyle name="Gevolgde hyperlink" xfId="1313" builtinId="9" hidden="1"/>
    <cellStyle name="Gevolgde hyperlink" xfId="1315" builtinId="9" hidden="1"/>
    <cellStyle name="Gevolgde hyperlink" xfId="1317" builtinId="9" hidden="1"/>
    <cellStyle name="Gevolgde hyperlink" xfId="1319" builtinId="9" hidden="1"/>
    <cellStyle name="Gevolgde hyperlink" xfId="1321" builtinId="9" hidden="1"/>
    <cellStyle name="Gevolgde hyperlink" xfId="1323" builtinId="9" hidden="1"/>
    <cellStyle name="Gevolgde hyperlink" xfId="1325" builtinId="9" hidden="1"/>
    <cellStyle name="Gevolgde hyperlink" xfId="1327" builtinId="9" hidden="1"/>
    <cellStyle name="Gevolgde hyperlink" xfId="1329" builtinId="9" hidden="1"/>
    <cellStyle name="Gevolgde hyperlink" xfId="1331" builtinId="9" hidden="1"/>
    <cellStyle name="Gevolgde hyperlink" xfId="1333" builtinId="9" hidden="1"/>
    <cellStyle name="Gevolgde hyperlink" xfId="1335" builtinId="9" hidden="1"/>
    <cellStyle name="Gevolgde hyperlink" xfId="1337" builtinId="9" hidden="1"/>
    <cellStyle name="Gevolgde hyperlink" xfId="1339" builtinId="9" hidden="1"/>
    <cellStyle name="Gevolgde hyperlink" xfId="1341" builtinId="9" hidden="1"/>
    <cellStyle name="Gevolgde hyperlink" xfId="1343" builtinId="9" hidden="1"/>
    <cellStyle name="Gevolgde hyperlink" xfId="1345" builtinId="9" hidden="1"/>
    <cellStyle name="Gevolgde hyperlink" xfId="1347" builtinId="9" hidden="1"/>
    <cellStyle name="Gevolgde hyperlink" xfId="1349" builtinId="9" hidden="1"/>
    <cellStyle name="Gevolgde hyperlink" xfId="1351" builtinId="9" hidden="1"/>
    <cellStyle name="Gevolgde hyperlink" xfId="1353" builtinId="9" hidden="1"/>
    <cellStyle name="Gevolgde hyperlink" xfId="1355" builtinId="9" hidden="1"/>
    <cellStyle name="Gevolgde hyperlink" xfId="1357" builtinId="9" hidden="1"/>
    <cellStyle name="Gevolgde hyperlink" xfId="1359" builtinId="9" hidden="1"/>
    <cellStyle name="Gevolgde hyperlink" xfId="1361" builtinId="9" hidden="1"/>
    <cellStyle name="Gevolgde hyperlink" xfId="1363" builtinId="9" hidden="1"/>
    <cellStyle name="Gevolgde hyperlink" xfId="1365" builtinId="9" hidden="1"/>
    <cellStyle name="Gevolgde hyperlink" xfId="1367" builtinId="9" hidden="1"/>
    <cellStyle name="Gevolgde hyperlink" xfId="1369" builtinId="9" hidden="1"/>
    <cellStyle name="Gevolgde hyperlink" xfId="1371" builtinId="9" hidden="1"/>
    <cellStyle name="Gevolgde hyperlink" xfId="1373" builtinId="9" hidden="1"/>
    <cellStyle name="Gevolgde hyperlink" xfId="1375" builtinId="9" hidden="1"/>
    <cellStyle name="Gevolgde hyperlink" xfId="1377" builtinId="9" hidden="1"/>
    <cellStyle name="Gevolgde hyperlink" xfId="1379" builtinId="9" hidden="1"/>
    <cellStyle name="Gevolgde hyperlink" xfId="1381" builtinId="9" hidden="1"/>
    <cellStyle name="Gevolgde hyperlink" xfId="1383" builtinId="9" hidden="1"/>
    <cellStyle name="Gevolgde hyperlink" xfId="1385" builtinId="9" hidden="1"/>
    <cellStyle name="Gevolgde hyperlink" xfId="1387" builtinId="9" hidden="1"/>
    <cellStyle name="Gevolgde hyperlink" xfId="1389" builtinId="9" hidden="1"/>
    <cellStyle name="Gevolgde hyperlink" xfId="1391" builtinId="9" hidden="1"/>
    <cellStyle name="Gevolgde hyperlink" xfId="1393" builtinId="9" hidden="1"/>
    <cellStyle name="Gevolgde hyperlink" xfId="1395" builtinId="9" hidden="1"/>
    <cellStyle name="Gevolgde hyperlink" xfId="1397" builtinId="9" hidden="1"/>
    <cellStyle name="Gevolgde hyperlink" xfId="1399" builtinId="9" hidden="1"/>
    <cellStyle name="Gevolgde hyperlink" xfId="1401" builtinId="9" hidden="1"/>
    <cellStyle name="Gevolgde hyperlink" xfId="1403" builtinId="9" hidden="1"/>
    <cellStyle name="Gevolgde hyperlink" xfId="1405" builtinId="9" hidden="1"/>
    <cellStyle name="Gevolgde hyperlink" xfId="1407" builtinId="9" hidden="1"/>
    <cellStyle name="Gevolgde hyperlink" xfId="1409" builtinId="9" hidden="1"/>
    <cellStyle name="Gevolgde hyperlink" xfId="1411" builtinId="9" hidden="1"/>
    <cellStyle name="Gevolgde hyperlink" xfId="1413" builtinId="9" hidden="1"/>
    <cellStyle name="Gevolgde hyperlink" xfId="1415" builtinId="9" hidden="1"/>
    <cellStyle name="Gevolgde hyperlink" xfId="1417" builtinId="9" hidden="1"/>
    <cellStyle name="Gevolgde hyperlink" xfId="1419" builtinId="9" hidden="1"/>
    <cellStyle name="Gevolgde hyperlink" xfId="1421" builtinId="9" hidden="1"/>
    <cellStyle name="Gevolgde hyperlink" xfId="1423" builtinId="9" hidden="1"/>
    <cellStyle name="Gevolgde hyperlink" xfId="1425" builtinId="9" hidden="1"/>
    <cellStyle name="Gevolgde hyperlink" xfId="1427" builtinId="9" hidden="1"/>
    <cellStyle name="Gevolgde hyperlink" xfId="1429" builtinId="9" hidden="1"/>
    <cellStyle name="Gevolgde hyperlink" xfId="1431" builtinId="9" hidden="1"/>
    <cellStyle name="Gevolgde hyperlink" xfId="1433" builtinId="9" hidden="1"/>
    <cellStyle name="Gevolgde hyperlink" xfId="1435" builtinId="9" hidden="1"/>
    <cellStyle name="Gevolgde hyperlink" xfId="1437" builtinId="9" hidden="1"/>
    <cellStyle name="Gevolgde hyperlink" xfId="1439" builtinId="9" hidden="1"/>
    <cellStyle name="Gevolgde hyperlink" xfId="1441" builtinId="9" hidden="1"/>
    <cellStyle name="Gevolgde hyperlink" xfId="1443" builtinId="9" hidden="1"/>
    <cellStyle name="Gevolgde hyperlink" xfId="1445" builtinId="9" hidden="1"/>
    <cellStyle name="Gevolgde hyperlink" xfId="1447" builtinId="9" hidden="1"/>
    <cellStyle name="Gevolgde hyperlink" xfId="1449" builtinId="9" hidden="1"/>
    <cellStyle name="Gevolgde hyperlink" xfId="1451" builtinId="9" hidden="1"/>
    <cellStyle name="Gevolgde hyperlink" xfId="1453" builtinId="9" hidden="1"/>
    <cellStyle name="Gevolgde hyperlink" xfId="1455" builtinId="9" hidden="1"/>
    <cellStyle name="Gevolgde hyperlink" xfId="1457" builtinId="9" hidden="1"/>
    <cellStyle name="Gevolgde hyperlink" xfId="1459" builtinId="9" hidden="1"/>
    <cellStyle name="Gevolgde hyperlink" xfId="1461" builtinId="9" hidden="1"/>
    <cellStyle name="Gevolgde hyperlink" xfId="1463" builtinId="9" hidden="1"/>
    <cellStyle name="Gevolgde hyperlink" xfId="1465" builtinId="9" hidden="1"/>
    <cellStyle name="Gevolgde hyperlink" xfId="1467" builtinId="9" hidden="1"/>
    <cellStyle name="Gevolgde hyperlink" xfId="1469" builtinId="9" hidden="1"/>
    <cellStyle name="Gevolgde hyperlink" xfId="1471" builtinId="9" hidden="1"/>
    <cellStyle name="Gevolgde hyperlink" xfId="1473" builtinId="9" hidden="1"/>
    <cellStyle name="Gevolgde hyperlink" xfId="1475" builtinId="9" hidden="1"/>
    <cellStyle name="Gevolgde hyperlink" xfId="1477" builtinId="9" hidden="1"/>
    <cellStyle name="Gevolgde hyperlink" xfId="1479" builtinId="9" hidden="1"/>
    <cellStyle name="Gevolgde hyperlink" xfId="1481" builtinId="9" hidden="1"/>
    <cellStyle name="Gevolgde hyperlink" xfId="1483" builtinId="9" hidden="1"/>
    <cellStyle name="Gevolgde hyperlink" xfId="1485" builtinId="9" hidden="1"/>
    <cellStyle name="Gevolgde hyperlink" xfId="1487" builtinId="9" hidden="1"/>
    <cellStyle name="Gevolgde hyperlink" xfId="1489" builtinId="9" hidden="1"/>
    <cellStyle name="Gevolgde hyperlink" xfId="1491" builtinId="9" hidden="1"/>
    <cellStyle name="Gevolgde hyperlink" xfId="1493" builtinId="9" hidden="1"/>
    <cellStyle name="Gevolgde hyperlink" xfId="1495" builtinId="9" hidden="1"/>
    <cellStyle name="Gevolgde hyperlink" xfId="1497" builtinId="9" hidden="1"/>
    <cellStyle name="Gevolgde hyperlink" xfId="1499" builtinId="9" hidden="1"/>
    <cellStyle name="Gevolgde hyperlink" xfId="1501" builtinId="9" hidden="1"/>
    <cellStyle name="Gevolgde hyperlink" xfId="1503" builtinId="9" hidden="1"/>
    <cellStyle name="Gevolgde hyperlink" xfId="1505" builtinId="9" hidden="1"/>
    <cellStyle name="Gevolgde hyperlink" xfId="1507" builtinId="9" hidden="1"/>
    <cellStyle name="Gevolgde hyperlink" xfId="1509" builtinId="9" hidden="1"/>
    <cellStyle name="Gevolgde hyperlink" xfId="1511" builtinId="9" hidden="1"/>
    <cellStyle name="Gevolgde hyperlink" xfId="1513" builtinId="9" hidden="1"/>
    <cellStyle name="Gevolgde hyperlink" xfId="1515" builtinId="9" hidden="1"/>
    <cellStyle name="Gevolgde hyperlink" xfId="1517" builtinId="9" hidden="1"/>
    <cellStyle name="Gevolgde hyperlink" xfId="1519" builtinId="9" hidden="1"/>
    <cellStyle name="Gevolgde hyperlink" xfId="1521" builtinId="9" hidden="1"/>
    <cellStyle name="Gevolgde hyperlink" xfId="1523" builtinId="9" hidden="1"/>
    <cellStyle name="Gevolgde hyperlink" xfId="1525" builtinId="9" hidden="1"/>
    <cellStyle name="Gevolgde hyperlink" xfId="1527" builtinId="9" hidden="1"/>
    <cellStyle name="Gevolgde hyperlink" xfId="1529" builtinId="9" hidden="1"/>
    <cellStyle name="Gevolgde hyperlink" xfId="1531" builtinId="9" hidden="1"/>
    <cellStyle name="Gevolgde hyperlink" xfId="1533" builtinId="9" hidden="1"/>
    <cellStyle name="Gevolgde hyperlink" xfId="1535" builtinId="9" hidden="1"/>
    <cellStyle name="Gevolgde hyperlink" xfId="1537" builtinId="9" hidden="1"/>
    <cellStyle name="Gevolgde hyperlink" xfId="1539" builtinId="9" hidden="1"/>
    <cellStyle name="Gevolgde hyperlink" xfId="1541" builtinId="9" hidden="1"/>
    <cellStyle name="Gevolgde hyperlink" xfId="1543" builtinId="9" hidden="1"/>
    <cellStyle name="Gevolgde hyperlink" xfId="1545" builtinId="9" hidden="1"/>
    <cellStyle name="Gevolgde hyperlink" xfId="1547" builtinId="9" hidden="1"/>
    <cellStyle name="Gevolgde hyperlink" xfId="1549" builtinId="9" hidden="1"/>
    <cellStyle name="Gevolgde hyperlink" xfId="1551" builtinId="9" hidden="1"/>
    <cellStyle name="Gevolgde hyperlink" xfId="1553" builtinId="9" hidden="1"/>
    <cellStyle name="Gevolgde hyperlink" xfId="1555" builtinId="9" hidden="1"/>
    <cellStyle name="Gevolgde hyperlink" xfId="1557" builtinId="9" hidden="1"/>
    <cellStyle name="Gevolgde hyperlink" xfId="1559" builtinId="9" hidden="1"/>
    <cellStyle name="Gevolgde hyperlink" xfId="1561" builtinId="9" hidden="1"/>
    <cellStyle name="Gevolgde hyperlink" xfId="1563" builtinId="9" hidden="1"/>
    <cellStyle name="Gevolgde hyperlink" xfId="1565" builtinId="9" hidden="1"/>
    <cellStyle name="Gevolgde hyperlink" xfId="1567" builtinId="9" hidden="1"/>
    <cellStyle name="Gevolgde hyperlink" xfId="1569" builtinId="9" hidden="1"/>
    <cellStyle name="Gevolgde hyperlink" xfId="1571" builtinId="9" hidden="1"/>
    <cellStyle name="Gevolgde hyperlink" xfId="1573" builtinId="9" hidden="1"/>
    <cellStyle name="Gevolgde hyperlink" xfId="1575" builtinId="9" hidden="1"/>
    <cellStyle name="Gevolgde hyperlink" xfId="1577" builtinId="9" hidden="1"/>
    <cellStyle name="Gevolgde hyperlink" xfId="1579" builtinId="9" hidden="1"/>
    <cellStyle name="Gevolgde hyperlink" xfId="1581" builtinId="9" hidden="1"/>
    <cellStyle name="Gevolgde hyperlink" xfId="1583" builtinId="9" hidden="1"/>
    <cellStyle name="Gevolgde hyperlink" xfId="1585" builtinId="9" hidden="1"/>
    <cellStyle name="Gevolgde hyperlink" xfId="1587" builtinId="9" hidden="1"/>
    <cellStyle name="Gevolgde hyperlink" xfId="1589" builtinId="9" hidden="1"/>
    <cellStyle name="Gevolgde hyperlink" xfId="1591" builtinId="9" hidden="1"/>
    <cellStyle name="Gevolgde hyperlink" xfId="1593" builtinId="9" hidden="1"/>
    <cellStyle name="Gevolgde hyperlink" xfId="1595" builtinId="9" hidden="1"/>
    <cellStyle name="Gevolgde hyperlink" xfId="1597" builtinId="9" hidden="1"/>
    <cellStyle name="Gevolgde hyperlink" xfId="1599" builtinId="9" hidden="1"/>
    <cellStyle name="Gevolgde hyperlink" xfId="1601" builtinId="9" hidden="1"/>
    <cellStyle name="Gevolgde hyperlink" xfId="1603" builtinId="9" hidden="1"/>
    <cellStyle name="Gevolgde hyperlink" xfId="1605" builtinId="9" hidden="1"/>
    <cellStyle name="Gevolgde hyperlink" xfId="1607" builtinId="9" hidden="1"/>
    <cellStyle name="Gevolgde hyperlink" xfId="1609" builtinId="9" hidden="1"/>
    <cellStyle name="Gevolgde hyperlink" xfId="1611" builtinId="9" hidden="1"/>
    <cellStyle name="Gevolgde hyperlink" xfId="1613" builtinId="9" hidden="1"/>
    <cellStyle name="Gevolgde hyperlink" xfId="1615" builtinId="9" hidden="1"/>
    <cellStyle name="Gevolgde hyperlink" xfId="1617" builtinId="9" hidden="1"/>
    <cellStyle name="Gevolgde hyperlink" xfId="1619" builtinId="9" hidden="1"/>
    <cellStyle name="Gevolgde hyperlink" xfId="1621" builtinId="9" hidden="1"/>
    <cellStyle name="Gevolgde hyperlink" xfId="1623" builtinId="9" hidden="1"/>
    <cellStyle name="Gevolgde hyperlink" xfId="1625" builtinId="9" hidden="1"/>
    <cellStyle name="Gevolgde hyperlink" xfId="1627" builtinId="9" hidden="1"/>
    <cellStyle name="Gevolgde hyperlink" xfId="1629" builtinId="9" hidden="1"/>
    <cellStyle name="Gevolgde hyperlink" xfId="1631" builtinId="9" hidden="1"/>
    <cellStyle name="Gevolgde hyperlink" xfId="1633" builtinId="9" hidden="1"/>
    <cellStyle name="Gevolgde hyperlink" xfId="1635" builtinId="9" hidden="1"/>
    <cellStyle name="Gevolgde hyperlink" xfId="1637" builtinId="9" hidden="1"/>
    <cellStyle name="Gevolgde hyperlink" xfId="1639" builtinId="9" hidden="1"/>
    <cellStyle name="Gevolgde hyperlink" xfId="1641" builtinId="9" hidden="1"/>
    <cellStyle name="Gevolgde hyperlink" xfId="1643" builtinId="9" hidden="1"/>
    <cellStyle name="Gevolgde hyperlink" xfId="1645" builtinId="9" hidden="1"/>
    <cellStyle name="Gevolgde hyperlink" xfId="1647" builtinId="9" hidden="1"/>
    <cellStyle name="Gevolgde hyperlink" xfId="1649" builtinId="9" hidden="1"/>
    <cellStyle name="Gevolgde hyperlink" xfId="1651" builtinId="9" hidden="1"/>
    <cellStyle name="Gevolgde hyperlink" xfId="1653" builtinId="9" hidden="1"/>
    <cellStyle name="Gevolgde hyperlink" xfId="1655" builtinId="9" hidden="1"/>
    <cellStyle name="Gevolgde hyperlink" xfId="1657" builtinId="9" hidden="1"/>
    <cellStyle name="Gevolgde hyperlink" xfId="1659" builtinId="9" hidden="1"/>
    <cellStyle name="Gevolgde hyperlink" xfId="1661" builtinId="9" hidden="1"/>
    <cellStyle name="Gevolgde hyperlink" xfId="1663" builtinId="9" hidden="1"/>
    <cellStyle name="Gevolgde hyperlink" xfId="1665" builtinId="9" hidden="1"/>
    <cellStyle name="Gevolgde hyperlink" xfId="1667" builtinId="9" hidden="1"/>
    <cellStyle name="Gevolgde hyperlink" xfId="1669" builtinId="9" hidden="1"/>
    <cellStyle name="Gevolgde hyperlink" xfId="1671" builtinId="9" hidden="1"/>
    <cellStyle name="Gevolgde hyperlink" xfId="1673" builtinId="9" hidden="1"/>
    <cellStyle name="Gevolgde hyperlink" xfId="1675" builtinId="9" hidden="1"/>
    <cellStyle name="Gevolgde hyperlink" xfId="1677" builtinId="9" hidden="1"/>
    <cellStyle name="Gevolgde hyperlink" xfId="1679" builtinId="9" hidden="1"/>
    <cellStyle name="Gevolgde hyperlink" xfId="1681" builtinId="9" hidden="1"/>
    <cellStyle name="Gevolgde hyperlink" xfId="1683" builtinId="9" hidden="1"/>
    <cellStyle name="Gevolgde hyperlink" xfId="1685" builtinId="9" hidden="1"/>
    <cellStyle name="Gevolgde hyperlink" xfId="1687" builtinId="9" hidden="1"/>
    <cellStyle name="Gevolgde hyperlink" xfId="1689" builtinId="9" hidden="1"/>
    <cellStyle name="Gevolgde hyperlink" xfId="1691" builtinId="9" hidden="1"/>
    <cellStyle name="Gevolgde hyperlink" xfId="1693" builtinId="9" hidden="1"/>
    <cellStyle name="Gevolgde hyperlink" xfId="1695" builtinId="9" hidden="1"/>
    <cellStyle name="Gevolgde hyperlink" xfId="1697" builtinId="9" hidden="1"/>
    <cellStyle name="Gevolgde hyperlink" xfId="1699" builtinId="9" hidden="1"/>
    <cellStyle name="Gevolgde hyperlink" xfId="1701" builtinId="9" hidden="1"/>
    <cellStyle name="Gevolgde hyperlink" xfId="1703" builtinId="9" hidden="1"/>
    <cellStyle name="Gevolgde hyperlink" xfId="1705" builtinId="9" hidden="1"/>
    <cellStyle name="Gevolgde hyperlink" xfId="1707" builtinId="9" hidden="1"/>
    <cellStyle name="Gevolgde hyperlink" xfId="1709" builtinId="9" hidden="1"/>
    <cellStyle name="Gevolgde hyperlink" xfId="1711" builtinId="9" hidden="1"/>
    <cellStyle name="Gevolgde hyperlink" xfId="1713" builtinId="9" hidden="1"/>
    <cellStyle name="Gevolgde hyperlink" xfId="1715" builtinId="9" hidden="1"/>
    <cellStyle name="Gevolgde hyperlink" xfId="1717" builtinId="9" hidden="1"/>
    <cellStyle name="Gevolgde hyperlink" xfId="1719" builtinId="9" hidden="1"/>
    <cellStyle name="Gevolgde hyperlink" xfId="1721" builtinId="9" hidden="1"/>
    <cellStyle name="Gevolgde hyperlink" xfId="1723" builtinId="9" hidden="1"/>
    <cellStyle name="Gevolgde hyperlink" xfId="1725" builtinId="9" hidden="1"/>
    <cellStyle name="Gevolgde hyperlink" xfId="1727" builtinId="9" hidden="1"/>
    <cellStyle name="Gevolgde hyperlink" xfId="1729" builtinId="9" hidden="1"/>
    <cellStyle name="Gevolgde hyperlink" xfId="1731" builtinId="9" hidden="1"/>
    <cellStyle name="Gevolgde hyperlink" xfId="1733" builtinId="9" hidden="1"/>
    <cellStyle name="Gevolgde hyperlink" xfId="1735" builtinId="9" hidden="1"/>
    <cellStyle name="Gevolgde hyperlink" xfId="1737" builtinId="9" hidden="1"/>
    <cellStyle name="Gevolgde hyperlink" xfId="1739" builtinId="9" hidden="1"/>
    <cellStyle name="Gevolgde hyperlink" xfId="1741" builtinId="9" hidden="1"/>
    <cellStyle name="Gevolgde hyperlink" xfId="1743" builtinId="9" hidden="1"/>
    <cellStyle name="Gevolgde hyperlink" xfId="1745" builtinId="9" hidden="1"/>
    <cellStyle name="Gevolgde hyperlink" xfId="1747" builtinId="9" hidden="1"/>
    <cellStyle name="Gevolgde hyperlink" xfId="1749" builtinId="9" hidden="1"/>
    <cellStyle name="Gevolgde hyperlink" xfId="1751" builtinId="9" hidden="1"/>
    <cellStyle name="Gevolgde hyperlink" xfId="1753" builtinId="9" hidden="1"/>
    <cellStyle name="Gevolgde hyperlink" xfId="1755" builtinId="9" hidden="1"/>
    <cellStyle name="Gevolgde hyperlink" xfId="1757" builtinId="9" hidden="1"/>
    <cellStyle name="Gevolgde hyperlink" xfId="1759" builtinId="9" hidden="1"/>
    <cellStyle name="Gevolgde hyperlink" xfId="1761" builtinId="9" hidden="1"/>
    <cellStyle name="Gevolgde hyperlink" xfId="1763" builtinId="9" hidden="1"/>
    <cellStyle name="Gevolgde hyperlink" xfId="1765" builtinId="9" hidden="1"/>
    <cellStyle name="Gevolgde hyperlink" xfId="1767" builtinId="9" hidden="1"/>
    <cellStyle name="Gevolgde hyperlink" xfId="1769" builtinId="9" hidden="1"/>
    <cellStyle name="Gevolgde hyperlink" xfId="1771" builtinId="9" hidden="1"/>
    <cellStyle name="Gevolgde hyperlink" xfId="1773" builtinId="9" hidden="1"/>
    <cellStyle name="Gevolgde hyperlink" xfId="1775" builtinId="9" hidden="1"/>
    <cellStyle name="Gevolgde hyperlink" xfId="1777" builtinId="9" hidden="1"/>
    <cellStyle name="Gevolgde hyperlink" xfId="1779" builtinId="9" hidden="1"/>
    <cellStyle name="Gevolgde hyperlink" xfId="1781" builtinId="9" hidden="1"/>
    <cellStyle name="Gevolgde hyperlink" xfId="1783" builtinId="9" hidden="1"/>
    <cellStyle name="Gevolgde hyperlink" xfId="1785" builtinId="9" hidden="1"/>
    <cellStyle name="Gevolgde hyperlink" xfId="1787" builtinId="9" hidden="1"/>
    <cellStyle name="Gevolgde hyperlink" xfId="1789" builtinId="9" hidden="1"/>
    <cellStyle name="Gevolgde hyperlink" xfId="1791" builtinId="9" hidden="1"/>
    <cellStyle name="Gevolgde hyperlink" xfId="1793" builtinId="9" hidden="1"/>
    <cellStyle name="Gevolgde hyperlink" xfId="1795" builtinId="9" hidden="1"/>
    <cellStyle name="Gevolgde hyperlink" xfId="1797" builtinId="9" hidden="1"/>
    <cellStyle name="Gevolgde hyperlink" xfId="1799" builtinId="9" hidden="1"/>
    <cellStyle name="Gevolgde hyperlink" xfId="1801" builtinId="9" hidden="1"/>
    <cellStyle name="Gevolgde hyperlink" xfId="1803" builtinId="9" hidden="1"/>
    <cellStyle name="Gevolgde hyperlink" xfId="1805" builtinId="9" hidden="1"/>
    <cellStyle name="Gevolgde hyperlink" xfId="1807" builtinId="9" hidden="1"/>
    <cellStyle name="Gevolgde hyperlink" xfId="1809" builtinId="9" hidden="1"/>
    <cellStyle name="Gevolgde hyperlink" xfId="1811" builtinId="9" hidden="1"/>
    <cellStyle name="Gevolgde hyperlink" xfId="1813" builtinId="9" hidden="1"/>
    <cellStyle name="Gevolgde hyperlink" xfId="1815" builtinId="9" hidden="1"/>
    <cellStyle name="Gevolgde hyperlink" xfId="1817" builtinId="9" hidden="1"/>
    <cellStyle name="Gevolgde hyperlink" xfId="1819" builtinId="9" hidden="1"/>
    <cellStyle name="Gevolgde hyperlink" xfId="1821" builtinId="9" hidden="1"/>
    <cellStyle name="Gevolgde hyperlink" xfId="1823" builtinId="9" hidden="1"/>
    <cellStyle name="Gevolgde hyperlink" xfId="1825" builtinId="9" hidden="1"/>
    <cellStyle name="Gevolgde hyperlink" xfId="1827" builtinId="9" hidden="1"/>
    <cellStyle name="Gevolgde hyperlink" xfId="1829" builtinId="9" hidden="1"/>
    <cellStyle name="Gevolgde hyperlink" xfId="1831" builtinId="9" hidden="1"/>
    <cellStyle name="Gevolgde hyperlink" xfId="1833" builtinId="9" hidden="1"/>
    <cellStyle name="Gevolgde hyperlink" xfId="1835" builtinId="9" hidden="1"/>
    <cellStyle name="Gevolgde hyperlink" xfId="1837" builtinId="9" hidden="1"/>
    <cellStyle name="Gevolgde hyperlink" xfId="1839" builtinId="9" hidden="1"/>
    <cellStyle name="Gevolgde hyperlink" xfId="1841" builtinId="9" hidden="1"/>
    <cellStyle name="Gevolgde hyperlink" xfId="1843" builtinId="9" hidden="1"/>
    <cellStyle name="Gevolgde hyperlink" xfId="1845" builtinId="9" hidden="1"/>
    <cellStyle name="Gevolgde hyperlink" xfId="1847" builtinId="9" hidden="1"/>
    <cellStyle name="Gevolgde hyperlink" xfId="1849" builtinId="9" hidden="1"/>
    <cellStyle name="Gevolgde hyperlink" xfId="1851" builtinId="9" hidden="1"/>
    <cellStyle name="Gevolgde hyperlink" xfId="1853" builtinId="9" hidden="1"/>
    <cellStyle name="Gevolgde hyperlink" xfId="1855" builtinId="9" hidden="1"/>
    <cellStyle name="Gevolgde hyperlink" xfId="1857" builtinId="9" hidden="1"/>
    <cellStyle name="Gevolgde hyperlink" xfId="1859" builtinId="9" hidden="1"/>
    <cellStyle name="Gevolgde hyperlink" xfId="1861" builtinId="9" hidden="1"/>
    <cellStyle name="Gevolgde hyperlink" xfId="1863" builtinId="9" hidden="1"/>
    <cellStyle name="Gevolgde hyperlink" xfId="1865" builtinId="9" hidden="1"/>
    <cellStyle name="Gevolgde hyperlink" xfId="1867" builtinId="9" hidden="1"/>
    <cellStyle name="Gevolgde hyperlink" xfId="1869" builtinId="9" hidden="1"/>
    <cellStyle name="Gevolgde hyperlink" xfId="1871" builtinId="9" hidden="1"/>
    <cellStyle name="Gevolgde hyperlink" xfId="1873" builtinId="9" hidden="1"/>
    <cellStyle name="Gevolgde hyperlink" xfId="1875" builtinId="9" hidden="1"/>
    <cellStyle name="Gevolgde hyperlink" xfId="1877" builtinId="9" hidden="1"/>
    <cellStyle name="Gevolgde hyperlink" xfId="1879" builtinId="9" hidden="1"/>
    <cellStyle name="Gevolgde hyperlink" xfId="1881" builtinId="9" hidden="1"/>
    <cellStyle name="Gevolgde hyperlink" xfId="1883" builtinId="9" hidden="1"/>
    <cellStyle name="Gevolgde hyperlink" xfId="1885" builtinId="9" hidden="1"/>
    <cellStyle name="Gevolgde hyperlink" xfId="1887" builtinId="9" hidden="1"/>
    <cellStyle name="Gevolgde hyperlink" xfId="1889" builtinId="9" hidden="1"/>
    <cellStyle name="Gevolgde hyperlink" xfId="1891" builtinId="9" hidden="1"/>
    <cellStyle name="Gevolgde hyperlink" xfId="1893" builtinId="9" hidden="1"/>
    <cellStyle name="Gevolgde hyperlink" xfId="1895" builtinId="9" hidden="1"/>
    <cellStyle name="Gevolgde hyperlink" xfId="1897" builtinId="9" hidden="1"/>
    <cellStyle name="Gevolgde hyperlink" xfId="1899" builtinId="9" hidden="1"/>
    <cellStyle name="Gevolgde hyperlink" xfId="1901" builtinId="9" hidden="1"/>
    <cellStyle name="Gevolgde hyperlink" xfId="1903" builtinId="9" hidden="1"/>
    <cellStyle name="Gevolgde hyperlink" xfId="1905" builtinId="9" hidden="1"/>
    <cellStyle name="Gevolgde hyperlink" xfId="1907" builtinId="9" hidden="1"/>
    <cellStyle name="Gevolgde hyperlink" xfId="1909" builtinId="9" hidden="1"/>
    <cellStyle name="Gevolgde hyperlink" xfId="1911" builtinId="9" hidden="1"/>
    <cellStyle name="Gevolgde hyperlink" xfId="1913" builtinId="9" hidden="1"/>
    <cellStyle name="Gevolgde hyperlink" xfId="1915" builtinId="9" hidden="1"/>
    <cellStyle name="Gevolgde hyperlink" xfId="1917" builtinId="9" hidden="1"/>
    <cellStyle name="Gevolgde hyperlink" xfId="1919" builtinId="9" hidden="1"/>
    <cellStyle name="Gevolgde hyperlink" xfId="1921" builtinId="9" hidden="1"/>
    <cellStyle name="Gevolgde hyperlink" xfId="1923" builtinId="9" hidden="1"/>
    <cellStyle name="Gevolgde hyperlink" xfId="1925" builtinId="9" hidden="1"/>
    <cellStyle name="Gevolgde hyperlink" xfId="1927" builtinId="9" hidden="1"/>
    <cellStyle name="Gevolgde hyperlink" xfId="1929" builtinId="9" hidden="1"/>
    <cellStyle name="Gevolgde hyperlink" xfId="1931" builtinId="9" hidden="1"/>
    <cellStyle name="Gevolgde hyperlink" xfId="1933" builtinId="9" hidden="1"/>
    <cellStyle name="Gevolgde hyperlink" xfId="1935" builtinId="9" hidden="1"/>
    <cellStyle name="Gevolgde hyperlink" xfId="1937" builtinId="9" hidden="1"/>
    <cellStyle name="Gevolgde hyperlink" xfId="1939" builtinId="9" hidden="1"/>
    <cellStyle name="Gevolgde hyperlink" xfId="1941" builtinId="9" hidden="1"/>
    <cellStyle name="Gevolgde hyperlink" xfId="1943" builtinId="9" hidden="1"/>
    <cellStyle name="Gevolgde hyperlink" xfId="1945" builtinId="9" hidden="1"/>
    <cellStyle name="Gevolgde hyperlink" xfId="1947" builtinId="9" hidden="1"/>
    <cellStyle name="Gevolgde hyperlink" xfId="1949" builtinId="9" hidden="1"/>
    <cellStyle name="Gevolgde hyperlink" xfId="1951" builtinId="9" hidden="1"/>
    <cellStyle name="Gevolgde hyperlink" xfId="1953" builtinId="9" hidden="1"/>
    <cellStyle name="Gevolgde hyperlink" xfId="1955" builtinId="9" hidden="1"/>
    <cellStyle name="Gevolgde hyperlink" xfId="1957" builtinId="9" hidden="1"/>
    <cellStyle name="Gevolgde hyperlink" xfId="1959" builtinId="9" hidden="1"/>
    <cellStyle name="Gevolgde hyperlink" xfId="1961" builtinId="9" hidden="1"/>
    <cellStyle name="Gevolgde hyperlink" xfId="1963" builtinId="9" hidden="1"/>
    <cellStyle name="Gevolgde hyperlink" xfId="1965" builtinId="9" hidden="1"/>
    <cellStyle name="Gevolgde hyperlink" xfId="1967" builtinId="9" hidden="1"/>
    <cellStyle name="Gevolgde hyperlink" xfId="1969" builtinId="9" hidden="1"/>
    <cellStyle name="Gevolgde hyperlink" xfId="1971" builtinId="9" hidden="1"/>
    <cellStyle name="Gevolgde hyperlink" xfId="1973" builtinId="9" hidden="1"/>
    <cellStyle name="Gevolgde hyperlink" xfId="1975" builtinId="9" hidden="1"/>
    <cellStyle name="Gevolgde hyperlink" xfId="1977" builtinId="9" hidden="1"/>
    <cellStyle name="Gevolgde hyperlink" xfId="1979" builtinId="9" hidden="1"/>
    <cellStyle name="Gevolgde hyperlink" xfId="1981" builtinId="9" hidden="1"/>
    <cellStyle name="Gevolgde hyperlink" xfId="1983" builtinId="9" hidden="1"/>
    <cellStyle name="Gevolgde hyperlink" xfId="1985" builtinId="9" hidden="1"/>
    <cellStyle name="Gevolgde hyperlink" xfId="1987" builtinId="9" hidden="1"/>
    <cellStyle name="Gevolgde hyperlink" xfId="1989" builtinId="9" hidden="1"/>
    <cellStyle name="Gevolgde hyperlink" xfId="1991" builtinId="9" hidden="1"/>
    <cellStyle name="Gevolgde hyperlink" xfId="1993" builtinId="9" hidden="1"/>
    <cellStyle name="Gevolgde hyperlink" xfId="1995" builtinId="9" hidden="1"/>
    <cellStyle name="Gevolgde hyperlink" xfId="1997" builtinId="9" hidden="1"/>
    <cellStyle name="Gevolgde hyperlink" xfId="1999" builtinId="9" hidden="1"/>
    <cellStyle name="Gevolgde hyperlink" xfId="2001" builtinId="9" hidden="1"/>
    <cellStyle name="Gevolgde hyperlink" xfId="2003" builtinId="9" hidden="1"/>
    <cellStyle name="Gevolgde hyperlink" xfId="2005" builtinId="9" hidden="1"/>
    <cellStyle name="Gevolgde hyperlink" xfId="2007" builtinId="9" hidden="1"/>
    <cellStyle name="Gevolgde hyperlink" xfId="2009" builtinId="9" hidden="1"/>
    <cellStyle name="Gevolgde hyperlink" xfId="2011" builtinId="9" hidden="1"/>
    <cellStyle name="Gevolgde hyperlink" xfId="2013" builtinId="9" hidden="1"/>
    <cellStyle name="Gevolgde hyperlink" xfId="2015" builtinId="9" hidden="1"/>
    <cellStyle name="Gevolgde hyperlink" xfId="2017" builtinId="9" hidden="1"/>
    <cellStyle name="Gevolgde hyperlink" xfId="2019" builtinId="9" hidden="1"/>
    <cellStyle name="Gevolgde hyperlink" xfId="2021" builtinId="9" hidden="1"/>
    <cellStyle name="Gevolgde hyperlink" xfId="2023" builtinId="9" hidden="1"/>
    <cellStyle name="Gevolgde hyperlink" xfId="2025" builtinId="9" hidden="1"/>
    <cellStyle name="Gevolgde hyperlink" xfId="2027" builtinId="9" hidden="1"/>
    <cellStyle name="Gevolgde hyperlink" xfId="2029" builtinId="9" hidden="1"/>
    <cellStyle name="Gevolgde hyperlink" xfId="2031" builtinId="9" hidden="1"/>
    <cellStyle name="Gevolgde hyperlink" xfId="2033" builtinId="9" hidden="1"/>
    <cellStyle name="Gevolgde hyperlink" xfId="2035" builtinId="9" hidden="1"/>
    <cellStyle name="Gevolgde hyperlink" xfId="2037" builtinId="9" hidden="1"/>
    <cellStyle name="Gevolgde hyperlink" xfId="2039" builtinId="9" hidden="1"/>
    <cellStyle name="Gevolgde hyperlink" xfId="2041" builtinId="9" hidden="1"/>
    <cellStyle name="Gevolgde hyperlink" xfId="2043" builtinId="9" hidden="1"/>
    <cellStyle name="Gevolgde hyperlink" xfId="2045" builtinId="9" hidden="1"/>
    <cellStyle name="Gevolgde hyperlink" xfId="2047" builtinId="9" hidden="1"/>
    <cellStyle name="Gevolgde hyperlink" xfId="2049" builtinId="9" hidden="1"/>
    <cellStyle name="Gevolgde hyperlink" xfId="2051" builtinId="9" hidden="1"/>
    <cellStyle name="Gevolgde hyperlink" xfId="2053" builtinId="9" hidden="1"/>
    <cellStyle name="Gevolgde hyperlink" xfId="2055" builtinId="9" hidden="1"/>
    <cellStyle name="Gevolgde hyperlink" xfId="2057" builtinId="9" hidden="1"/>
    <cellStyle name="Gevolgde hyperlink" xfId="2059" builtinId="9" hidden="1"/>
    <cellStyle name="Gevolgde hyperlink" xfId="2061" builtinId="9" hidden="1"/>
    <cellStyle name="Gevolgde hyperlink" xfId="2063" builtinId="9" hidden="1"/>
    <cellStyle name="Gevolgde hyperlink" xfId="2065" builtinId="9" hidden="1"/>
    <cellStyle name="Gevolgde hyperlink" xfId="2067" builtinId="9" hidden="1"/>
    <cellStyle name="Gevolgde hyperlink" xfId="2069" builtinId="9" hidden="1"/>
    <cellStyle name="Gevolgde hyperlink" xfId="2071" builtinId="9" hidden="1"/>
    <cellStyle name="Gevolgde hyperlink" xfId="2073" builtinId="9" hidden="1"/>
    <cellStyle name="Gevolgde hyperlink" xfId="2075" builtinId="9" hidden="1"/>
    <cellStyle name="Gevolgde hyperlink" xfId="2077" builtinId="9" hidden="1"/>
    <cellStyle name="Gevolgde hyperlink" xfId="2079" builtinId="9" hidden="1"/>
    <cellStyle name="Gevolgde hyperlink" xfId="2081" builtinId="9" hidden="1"/>
    <cellStyle name="Gevolgde hyperlink" xfId="2083" builtinId="9" hidden="1"/>
    <cellStyle name="Gevolgde hyperlink" xfId="2085" builtinId="9" hidden="1"/>
    <cellStyle name="Gevolgde hyperlink" xfId="2087" builtinId="9" hidden="1"/>
    <cellStyle name="Gevolgde hyperlink" xfId="2089" builtinId="9" hidden="1"/>
    <cellStyle name="Gevolgde hyperlink" xfId="2091" builtinId="9" hidden="1"/>
    <cellStyle name="Gevolgde hyperlink" xfId="2093" builtinId="9" hidden="1"/>
    <cellStyle name="Gevolgde hyperlink" xfId="2095" builtinId="9" hidden="1"/>
    <cellStyle name="Gevolgde hyperlink" xfId="2097" builtinId="9" hidden="1"/>
    <cellStyle name="Gevolgde hyperlink" xfId="2099" builtinId="9" hidden="1"/>
    <cellStyle name="Gevolgde hyperlink" xfId="2101" builtinId="9" hidden="1"/>
    <cellStyle name="Gevolgde hyperlink" xfId="2103" builtinId="9" hidden="1"/>
    <cellStyle name="Gevolgde hyperlink" xfId="2105" builtinId="9" hidden="1"/>
    <cellStyle name="Gevolgde hyperlink" xfId="2107" builtinId="9" hidden="1"/>
    <cellStyle name="Gevolgde hyperlink" xfId="2109" builtinId="9" hidden="1"/>
    <cellStyle name="Gevolgde hyperlink" xfId="2111" builtinId="9" hidden="1"/>
    <cellStyle name="Gevolgde hyperlink" xfId="2113" builtinId="9" hidden="1"/>
    <cellStyle name="Gevolgde hyperlink" xfId="2115" builtinId="9" hidden="1"/>
    <cellStyle name="Gevolgde hyperlink" xfId="2117" builtinId="9" hidden="1"/>
    <cellStyle name="Gevolgde hyperlink" xfId="2119" builtinId="9" hidden="1"/>
    <cellStyle name="Gevolgde hyperlink" xfId="2121" builtinId="9" hidden="1"/>
    <cellStyle name="Gevolgde hyperlink" xfId="2123" builtinId="9" hidden="1"/>
    <cellStyle name="Gevolgde hyperlink" xfId="2125" builtinId="9" hidden="1"/>
    <cellStyle name="Gevolgde hyperlink" xfId="2127" builtinId="9" hidden="1"/>
    <cellStyle name="Gevolgde hyperlink" xfId="2129" builtinId="9" hidden="1"/>
    <cellStyle name="Gevolgde hyperlink" xfId="2131" builtinId="9" hidden="1"/>
    <cellStyle name="Gevolgde hyperlink" xfId="2133" builtinId="9" hidden="1"/>
    <cellStyle name="Gevolgde hyperlink" xfId="2135" builtinId="9" hidden="1"/>
    <cellStyle name="Gevolgde hyperlink" xfId="2137" builtinId="9" hidden="1"/>
    <cellStyle name="Gevolgde hyperlink" xfId="2139" builtinId="9" hidden="1"/>
    <cellStyle name="Gevolgde hyperlink" xfId="2141" builtinId="9" hidden="1"/>
    <cellStyle name="Gevolgde hyperlink" xfId="2143" builtinId="9" hidden="1"/>
    <cellStyle name="Gevolgde hyperlink" xfId="2145" builtinId="9" hidden="1"/>
    <cellStyle name="Gevolgde hyperlink" xfId="2147" builtinId="9" hidden="1"/>
    <cellStyle name="Gevolgde hyperlink" xfId="2149" builtinId="9" hidden="1"/>
    <cellStyle name="Gevolgde hyperlink" xfId="2151" builtinId="9" hidden="1"/>
    <cellStyle name="Gevolgde hyperlink" xfId="2153" builtinId="9" hidden="1"/>
    <cellStyle name="Gevolgde hyperlink" xfId="2155" builtinId="9" hidden="1"/>
    <cellStyle name="Gevolgde hyperlink" xfId="2157" builtinId="9" hidden="1"/>
    <cellStyle name="Gevolgde hyperlink" xfId="2159" builtinId="9" hidden="1"/>
    <cellStyle name="Gevolgde hyperlink" xfId="2161" builtinId="9" hidden="1"/>
    <cellStyle name="Gevolgde hyperlink" xfId="2163" builtinId="9" hidden="1"/>
    <cellStyle name="Gevolgde hyperlink" xfId="2165" builtinId="9" hidden="1"/>
    <cellStyle name="Gevolgde hyperlink" xfId="2167" builtinId="9" hidden="1"/>
    <cellStyle name="Gevolgde hyperlink" xfId="2169" builtinId="9" hidden="1"/>
    <cellStyle name="Gevolgde hyperlink" xfId="2171" builtinId="9" hidden="1"/>
    <cellStyle name="Gevolgde hyperlink" xfId="2173" builtinId="9" hidden="1"/>
    <cellStyle name="Gevolgde hyperlink" xfId="2175" builtinId="9" hidden="1"/>
    <cellStyle name="Gevolgde hyperlink" xfId="2177" builtinId="9" hidden="1"/>
    <cellStyle name="Gevolgde hyperlink" xfId="2179" builtinId="9" hidden="1"/>
    <cellStyle name="Gevolgde hyperlink" xfId="2181" builtinId="9" hidden="1"/>
    <cellStyle name="Gevolgde hyperlink" xfId="2183" builtinId="9" hidden="1"/>
    <cellStyle name="Gevolgde hyperlink" xfId="2185" builtinId="9" hidden="1"/>
    <cellStyle name="Gevolgde hyperlink" xfId="2187" builtinId="9" hidden="1"/>
    <cellStyle name="Gevolgde hyperlink" xfId="2189" builtinId="9" hidden="1"/>
    <cellStyle name="Gevolgde hyperlink" xfId="2191" builtinId="9" hidden="1"/>
    <cellStyle name="Gevolgde hyperlink" xfId="2193" builtinId="9" hidden="1"/>
    <cellStyle name="Gevolgde hyperlink" xfId="2195" builtinId="9" hidden="1"/>
    <cellStyle name="Gevolgde hyperlink" xfId="2197" builtinId="9" hidden="1"/>
    <cellStyle name="Gevolgde hyperlink" xfId="2199" builtinId="9" hidden="1"/>
    <cellStyle name="Gevolgde hyperlink" xfId="2201" builtinId="9" hidden="1"/>
    <cellStyle name="Gevolgde hyperlink" xfId="2203" builtinId="9" hidden="1"/>
    <cellStyle name="Gevolgde hyperlink" xfId="2205" builtinId="9" hidden="1"/>
    <cellStyle name="Gevolgde hyperlink" xfId="2207" builtinId="9" hidden="1"/>
    <cellStyle name="Gevolgde hyperlink" xfId="2209" builtinId="9" hidden="1"/>
    <cellStyle name="Gevolgde hyperlink" xfId="2211" builtinId="9" hidden="1"/>
    <cellStyle name="Gevolgde hyperlink" xfId="2213" builtinId="9" hidden="1"/>
    <cellStyle name="Gevolgde hyperlink" xfId="2215" builtinId="9" hidden="1"/>
    <cellStyle name="Gevolgde hyperlink" xfId="2217" builtinId="9" hidden="1"/>
    <cellStyle name="Gevolgde hyperlink" xfId="2219" builtinId="9" hidden="1"/>
    <cellStyle name="Gevolgde hyperlink" xfId="2221" builtinId="9" hidden="1"/>
    <cellStyle name="Gevolgde hyperlink" xfId="2223" builtinId="9" hidden="1"/>
    <cellStyle name="Gevolgde hyperlink" xfId="2225" builtinId="9" hidden="1"/>
    <cellStyle name="Gevolgde hyperlink" xfId="2227" builtinId="9" hidden="1"/>
    <cellStyle name="Gevolgde hyperlink" xfId="2229" builtinId="9" hidden="1"/>
    <cellStyle name="Gevolgde hyperlink" xfId="2231" builtinId="9" hidden="1"/>
    <cellStyle name="Gevolgde hyperlink" xfId="2233" builtinId="9" hidden="1"/>
    <cellStyle name="Gevolgde hyperlink" xfId="2235" builtinId="9" hidden="1"/>
    <cellStyle name="Gevolgde hyperlink" xfId="2237" builtinId="9" hidden="1"/>
    <cellStyle name="Gevolgde hyperlink" xfId="2239" builtinId="9" hidden="1"/>
    <cellStyle name="Gevolgde hyperlink" xfId="2241" builtinId="9" hidden="1"/>
    <cellStyle name="Gevolgde hyperlink" xfId="2243" builtinId="9" hidden="1"/>
    <cellStyle name="Gevolgde hyperlink" xfId="2245" builtinId="9" hidden="1"/>
    <cellStyle name="Gevolgde hyperlink" xfId="2247" builtinId="9" hidden="1"/>
    <cellStyle name="Gevolgde hyperlink" xfId="2249" builtinId="9" hidden="1"/>
    <cellStyle name="Gevolgde hyperlink" xfId="2251" builtinId="9" hidden="1"/>
    <cellStyle name="Gevolgde hyperlink" xfId="2253" builtinId="9" hidden="1"/>
    <cellStyle name="Gevolgde hyperlink" xfId="2255" builtinId="9" hidden="1"/>
    <cellStyle name="Gevolgde hyperlink" xfId="2257" builtinId="9" hidden="1"/>
    <cellStyle name="Gevolgde hyperlink" xfId="2259" builtinId="9" hidden="1"/>
    <cellStyle name="Gevolgde hyperlink" xfId="2261" builtinId="9" hidden="1"/>
    <cellStyle name="Gevolgde hyperlink" xfId="2263" builtinId="9" hidden="1"/>
    <cellStyle name="Gevolgde hyperlink" xfId="2265" builtinId="9" hidden="1"/>
    <cellStyle name="Gevolgde hyperlink" xfId="2267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6" builtinId="9" hidden="1"/>
    <cellStyle name="Gevolgde hyperlink" xfId="2518" builtinId="9" hidden="1"/>
    <cellStyle name="Gevolgde hyperlink" xfId="2628" builtinId="9" hidden="1"/>
    <cellStyle name="Gevolgde hyperlink" xfId="2630" builtinId="9" hidden="1"/>
    <cellStyle name="Gevolgde hyperlink" xfId="2632" builtinId="9" hidden="1"/>
    <cellStyle name="Gevolgde hyperlink" xfId="2634" builtinId="9" hidden="1"/>
    <cellStyle name="Gevolgde hyperlink" xfId="2636" builtinId="9" hidden="1"/>
    <cellStyle name="Gevolgde hyperlink" xfId="2638" builtinId="9" hidden="1"/>
    <cellStyle name="Gevolgde hyperlink" xfId="2640" builtinId="9" hidden="1"/>
    <cellStyle name="Gevolgde hyperlink" xfId="2642" builtinId="9" hidden="1"/>
    <cellStyle name="Gevolgde hyperlink" xfId="2644" builtinId="9" hidden="1"/>
    <cellStyle name="Gevolgde hyperlink" xfId="2646" builtinId="9" hidden="1"/>
    <cellStyle name="Gevolgde hyperlink" xfId="2648" builtinId="9" hidden="1"/>
    <cellStyle name="Gevolgde hyperlink" xfId="2650" builtinId="9" hidden="1"/>
    <cellStyle name="Gevolgde hyperlink" xfId="2652" builtinId="9" hidden="1"/>
    <cellStyle name="Gevolgde hyperlink" xfId="2654" builtinId="9" hidden="1"/>
    <cellStyle name="Gevolgde hyperlink" xfId="2656" builtinId="9" hidden="1"/>
    <cellStyle name="Gevolgde hyperlink" xfId="2658" builtinId="9" hidden="1"/>
    <cellStyle name="Gevolgde hyperlink" xfId="2660" builtinId="9" hidden="1"/>
    <cellStyle name="Gevolgde hyperlink" xfId="2662" builtinId="9" hidden="1"/>
    <cellStyle name="Gevolgde hyperlink" xfId="2664" builtinId="9" hidden="1"/>
    <cellStyle name="Gevolgde hyperlink" xfId="2666" builtinId="9" hidden="1"/>
    <cellStyle name="Gevolgde hyperlink" xfId="2668" builtinId="9" hidden="1"/>
    <cellStyle name="Gevolgde hyperlink" xfId="2670" builtinId="9" hidden="1"/>
    <cellStyle name="Gevolgde hyperlink" xfId="2672" builtinId="9" hidden="1"/>
    <cellStyle name="Gevolgde hyperlink" xfId="2674" builtinId="9" hidden="1"/>
    <cellStyle name="Gevolgde hyperlink" xfId="2676" builtinId="9" hidden="1"/>
    <cellStyle name="Gevolgde hyperlink" xfId="2678" builtinId="9" hidden="1"/>
    <cellStyle name="Gevolgde hyperlink" xfId="2680" builtinId="9" hidden="1"/>
    <cellStyle name="Gevolgde hyperlink" xfId="2682" builtinId="9" hidden="1"/>
    <cellStyle name="Gevolgde hyperlink" xfId="2684" builtinId="9" hidden="1"/>
    <cellStyle name="Gevolgde hyperlink" xfId="2686" builtinId="9" hidden="1"/>
    <cellStyle name="Gevolgde hyperlink" xfId="2688" builtinId="9" hidden="1"/>
    <cellStyle name="Gevolgde hyperlink" xfId="2690" builtinId="9" hidden="1"/>
    <cellStyle name="Gevolgde hyperlink" xfId="2692" builtinId="9" hidden="1"/>
    <cellStyle name="Gevolgde hyperlink" xfId="2694" builtinId="9" hidden="1"/>
    <cellStyle name="Gevolgde hyperlink" xfId="2696" builtinId="9" hidden="1"/>
    <cellStyle name="Gevolgde hyperlink" xfId="2698" builtinId="9" hidden="1"/>
    <cellStyle name="Gevolgde hyperlink" xfId="2700" builtinId="9" hidden="1"/>
    <cellStyle name="Gevolgde hyperlink" xfId="2702" builtinId="9" hidden="1"/>
    <cellStyle name="Gevolgde hyperlink" xfId="2704" builtinId="9" hidden="1"/>
    <cellStyle name="Gevolgde hyperlink" xfId="2706" builtinId="9" hidden="1"/>
    <cellStyle name="Gevolgde hyperlink" xfId="2708" builtinId="9" hidden="1"/>
    <cellStyle name="Gevolgde hyperlink" xfId="2710" builtinId="9" hidden="1"/>
    <cellStyle name="Gevolgde hyperlink" xfId="2712" builtinId="9" hidden="1"/>
    <cellStyle name="Gevolgde hyperlink" xfId="2714" builtinId="9" hidden="1"/>
    <cellStyle name="Gevolgde hyperlink" xfId="2716" builtinId="9" hidden="1"/>
    <cellStyle name="Gevolgde hyperlink" xfId="2718" builtinId="9" hidden="1"/>
    <cellStyle name="Gevolgde hyperlink" xfId="2720" builtinId="9" hidden="1"/>
    <cellStyle name="Gevolgde hyperlink" xfId="2722" builtinId="9" hidden="1"/>
    <cellStyle name="Gevolgde hyperlink" xfId="2724" builtinId="9" hidden="1"/>
    <cellStyle name="Gevolgde hyperlink" xfId="2726" builtinId="9" hidden="1"/>
    <cellStyle name="Gevolgde hyperlink" xfId="2728" builtinId="9" hidden="1"/>
    <cellStyle name="Gevolgde hyperlink" xfId="2730" builtinId="9" hidden="1"/>
    <cellStyle name="Gevolgde hyperlink" xfId="2732" builtinId="9" hidden="1"/>
    <cellStyle name="Gevolgde hyperlink" xfId="2734" builtinId="9" hidden="1"/>
    <cellStyle name="Gevolgde hyperlink" xfId="2736" builtinId="9" hidden="1"/>
    <cellStyle name="Gevolgde hyperlink" xfId="2738" builtinId="9" hidden="1"/>
    <cellStyle name="Gevolgde hyperlink" xfId="2740" builtinId="9" hidden="1"/>
    <cellStyle name="Gevolgde hyperlink" xfId="2742" builtinId="9" hidden="1"/>
    <cellStyle name="Gevolgde hyperlink" xfId="2744" builtinId="9" hidden="1"/>
    <cellStyle name="Gevolgde hyperlink" xfId="2746" builtinId="9" hidden="1"/>
    <cellStyle name="Gevolgde hyperlink" xfId="2748" builtinId="9" hidden="1"/>
    <cellStyle name="Gevolgde hyperlink" xfId="2750" builtinId="9" hidden="1"/>
    <cellStyle name="Gevolgde hyperlink" xfId="2752" builtinId="9" hidden="1"/>
    <cellStyle name="Gevolgde hyperlink" xfId="2754" builtinId="9" hidden="1"/>
    <cellStyle name="Gevolgde hyperlink" xfId="2756" builtinId="9" hidden="1"/>
    <cellStyle name="Gevolgde hyperlink" xfId="2758" builtinId="9" hidden="1"/>
    <cellStyle name="Gevolgde hyperlink" xfId="2760" builtinId="9" hidden="1"/>
    <cellStyle name="Gevolgde hyperlink" xfId="2762" builtinId="9" hidden="1"/>
    <cellStyle name="Gevolgde hyperlink" xfId="2764" builtinId="9" hidden="1"/>
    <cellStyle name="Gevolgde hyperlink" xfId="2766" builtinId="9" hidden="1"/>
    <cellStyle name="Gevolgde hyperlink" xfId="2768" builtinId="9" hidden="1"/>
    <cellStyle name="Gevolgde hyperlink" xfId="2770" builtinId="9" hidden="1"/>
    <cellStyle name="Gevolgde hyperlink" xfId="2772" builtinId="9" hidden="1"/>
    <cellStyle name="Gevolgde hyperlink" xfId="2774" builtinId="9" hidden="1"/>
    <cellStyle name="Gevolgde hyperlink" xfId="2776" builtinId="9" hidden="1"/>
    <cellStyle name="Gevolgde hyperlink" xfId="2778" builtinId="9" hidden="1"/>
    <cellStyle name="Gevolgde hyperlink" xfId="2780" builtinId="9" hidden="1"/>
    <cellStyle name="Gevolgde hyperlink" xfId="2782" builtinId="9" hidden="1"/>
    <cellStyle name="Gevolgde hyperlink" xfId="2784" builtinId="9" hidden="1"/>
    <cellStyle name="Gevolgde hyperlink" xfId="2786" builtinId="9" hidden="1"/>
    <cellStyle name="Gevolgde hyperlink" xfId="2788" builtinId="9" hidden="1"/>
    <cellStyle name="Gevolgde hyperlink" xfId="2790" builtinId="9" hidden="1"/>
    <cellStyle name="Gevolgde hyperlink" xfId="2792" builtinId="9" hidden="1"/>
    <cellStyle name="Gevolgde hyperlink" xfId="2794" builtinId="9" hidden="1"/>
    <cellStyle name="Gevolgde hyperlink" xfId="2796" builtinId="9" hidden="1"/>
    <cellStyle name="Gevolgde hyperlink" xfId="2798" builtinId="9" hidden="1"/>
    <cellStyle name="Gevolgde hyperlink" xfId="2800" builtinId="9" hidden="1"/>
    <cellStyle name="Gevolgde hyperlink" xfId="2802" builtinId="9" hidden="1"/>
    <cellStyle name="Gevolgde hyperlink" xfId="2804" builtinId="9" hidden="1"/>
    <cellStyle name="Gevolgde hyperlink" xfId="2806" builtinId="9" hidden="1"/>
    <cellStyle name="Gevolgde hyperlink" xfId="2808" builtinId="9" hidden="1"/>
    <cellStyle name="Gevolgde hyperlink" xfId="2810" builtinId="9" hidden="1"/>
    <cellStyle name="Gevolgde hyperlink" xfId="2812" builtinId="9" hidden="1"/>
    <cellStyle name="Gevolgde hyperlink" xfId="2814" builtinId="9" hidden="1"/>
    <cellStyle name="Gevolgde hyperlink" xfId="2816" builtinId="9" hidden="1"/>
    <cellStyle name="Gevolgde hyperlink" xfId="2818" builtinId="9" hidden="1"/>
    <cellStyle name="Gevolgde hyperlink" xfId="2820" builtinId="9" hidden="1"/>
    <cellStyle name="Gevolgde hyperlink" xfId="2822" builtinId="9" hidden="1"/>
    <cellStyle name="Gevolgde hyperlink" xfId="2824" builtinId="9" hidden="1"/>
    <cellStyle name="Gevolgde hyperlink" xfId="2826" builtinId="9" hidden="1"/>
    <cellStyle name="Gevolgde hyperlink" xfId="2828" builtinId="9" hidden="1"/>
    <cellStyle name="Gevolgde hyperlink" xfId="2830" builtinId="9" hidden="1"/>
    <cellStyle name="Gevolgde hyperlink" xfId="2832" builtinId="9" hidden="1"/>
    <cellStyle name="Gevolgde hyperlink" xfId="2834" builtinId="9" hidden="1"/>
    <cellStyle name="Gevolgde hyperlink" xfId="2836" builtinId="9" hidden="1"/>
    <cellStyle name="Gevolgde hyperlink" xfId="2838" builtinId="9" hidden="1"/>
    <cellStyle name="Gevolgde hyperlink" xfId="2840" builtinId="9" hidden="1"/>
    <cellStyle name="Gevolgde hyperlink" xfId="2842" builtinId="9" hidden="1"/>
    <cellStyle name="Gevolgde hyperlink" xfId="2844" builtinId="9" hidden="1"/>
    <cellStyle name="Gevolgde hyperlink" xfId="2846" builtinId="9" hidden="1"/>
    <cellStyle name="Gevolgde hyperlink" xfId="2848" builtinId="9" hidden="1"/>
    <cellStyle name="Gevolgde hyperlink" xfId="2850" builtinId="9" hidden="1"/>
    <cellStyle name="Gevolgde hyperlink" xfId="2852" builtinId="9" hidden="1"/>
    <cellStyle name="Gevolgde hyperlink" xfId="2854" builtinId="9" hidden="1"/>
    <cellStyle name="Gevolgde hyperlink" xfId="2856" builtinId="9" hidden="1"/>
    <cellStyle name="Gevolgde hyperlink" xfId="2858" builtinId="9" hidden="1"/>
    <cellStyle name="Gevolgde hyperlink" xfId="2860" builtinId="9" hidden="1"/>
    <cellStyle name="Gevolgde hyperlink" xfId="2862" builtinId="9" hidden="1"/>
    <cellStyle name="Gevolgde hyperlink" xfId="2864" builtinId="9" hidden="1"/>
    <cellStyle name="Gevolgde hyperlink" xfId="2866" builtinId="9" hidden="1"/>
    <cellStyle name="Gevolgde hyperlink" xfId="2868" builtinId="9" hidden="1"/>
    <cellStyle name="Gevolgde hyperlink" xfId="2870" builtinId="9" hidden="1"/>
    <cellStyle name="Gevolgde hyperlink" xfId="2872" builtinId="9" hidden="1"/>
    <cellStyle name="Gevolgde hyperlink" xfId="2874" builtinId="9" hidden="1"/>
    <cellStyle name="Gevolgde hyperlink" xfId="2876" builtinId="9" hidden="1"/>
    <cellStyle name="Gevolgde hyperlink" xfId="2878" builtinId="9" hidden="1"/>
    <cellStyle name="Gevolgde hyperlink" xfId="2880" builtinId="9" hidden="1"/>
    <cellStyle name="Gevolgde hyperlink" xfId="2882" builtinId="9" hidden="1"/>
    <cellStyle name="Gevolgde hyperlink" xfId="2884" builtinId="9" hidden="1"/>
    <cellStyle name="Gevolgde hyperlink" xfId="2886" builtinId="9" hidden="1"/>
    <cellStyle name="Gevolgde hyperlink" xfId="2888" builtinId="9" hidden="1"/>
    <cellStyle name="Gevolgde hyperlink" xfId="2890" builtinId="9" hidden="1"/>
    <cellStyle name="Gevolgde hyperlink" xfId="2892" builtinId="9" hidden="1"/>
    <cellStyle name="Gevolgde hyperlink" xfId="2894" builtinId="9" hidden="1"/>
    <cellStyle name="Gevolgde hyperlink" xfId="2896" builtinId="9" hidden="1"/>
    <cellStyle name="Gevolgde hyperlink" xfId="2898" builtinId="9" hidden="1"/>
    <cellStyle name="Gevolgde hyperlink" xfId="2900" builtinId="9" hidden="1"/>
    <cellStyle name="Gevolgde hyperlink" xfId="2902" builtinId="9" hidden="1"/>
    <cellStyle name="Gevolgde hyperlink" xfId="2904" builtinId="9" hidden="1"/>
    <cellStyle name="Gevolgde hyperlink" xfId="2906" builtinId="9" hidden="1"/>
    <cellStyle name="Gevolgde hyperlink" xfId="2908" builtinId="9" hidden="1"/>
    <cellStyle name="Gevolgde hyperlink" xfId="2910" builtinId="9" hidden="1"/>
    <cellStyle name="Gevolgde hyperlink" xfId="2912" builtinId="9" hidden="1"/>
    <cellStyle name="Gevolgde hyperlink" xfId="2914" builtinId="9" hidden="1"/>
    <cellStyle name="Gevolgde hyperlink" xfId="2916" builtinId="9" hidden="1"/>
    <cellStyle name="Gevolgde hyperlink" xfId="2918" builtinId="9" hidden="1"/>
    <cellStyle name="Gevolgde hyperlink" xfId="2920" builtinId="9" hidden="1"/>
    <cellStyle name="Gevolgde hyperlink" xfId="2922" builtinId="9" hidden="1"/>
    <cellStyle name="Gevolgde hyperlink" xfId="2924" builtinId="9" hidden="1"/>
    <cellStyle name="Gevolgde hyperlink" xfId="2926" builtinId="9" hidden="1"/>
    <cellStyle name="Gevolgde hyperlink" xfId="2928" builtinId="9" hidden="1"/>
    <cellStyle name="Gevolgde hyperlink" xfId="2930" builtinId="9" hidden="1"/>
    <cellStyle name="Gevolgde hyperlink" xfId="2932" builtinId="9" hidden="1"/>
    <cellStyle name="Gevolgde hyperlink" xfId="2934" builtinId="9" hidden="1"/>
    <cellStyle name="Gevolgde hyperlink" xfId="2936" builtinId="9" hidden="1"/>
    <cellStyle name="Gevolgde hyperlink" xfId="2938" builtinId="9" hidden="1"/>
    <cellStyle name="Gevolgde hyperlink" xfId="2940" builtinId="9" hidden="1"/>
    <cellStyle name="Gevolgde hyperlink" xfId="2942" builtinId="9" hidden="1"/>
    <cellStyle name="Gevolgde hyperlink" xfId="2944" builtinId="9" hidden="1"/>
    <cellStyle name="Gevolgde hyperlink" xfId="2946" builtinId="9" hidden="1"/>
    <cellStyle name="Gevolgde hyperlink" xfId="2948" builtinId="9" hidden="1"/>
    <cellStyle name="Gevolgde hyperlink" xfId="2950" builtinId="9" hidden="1"/>
    <cellStyle name="Gevolgde hyperlink" xfId="2952" builtinId="9" hidden="1"/>
    <cellStyle name="Gevolgde hyperlink" xfId="2954" builtinId="9" hidden="1"/>
    <cellStyle name="Gevolgde hyperlink" xfId="2956" builtinId="9" hidden="1"/>
    <cellStyle name="Gevolgde hyperlink" xfId="2958" builtinId="9" hidden="1"/>
    <cellStyle name="Gevolgde hyperlink" xfId="2960" builtinId="9" hidden="1"/>
    <cellStyle name="Gevolgde hyperlink" xfId="2962" builtinId="9" hidden="1"/>
    <cellStyle name="Gevolgde hyperlink" xfId="2964" builtinId="9" hidden="1"/>
    <cellStyle name="Gevolgde hyperlink" xfId="2966" builtinId="9" hidden="1"/>
    <cellStyle name="Gevolgde hyperlink" xfId="2968" builtinId="9" hidden="1"/>
    <cellStyle name="Gevolgde hyperlink" xfId="2970" builtinId="9" hidden="1"/>
    <cellStyle name="Gevolgde hyperlink" xfId="2972" builtinId="9" hidden="1"/>
    <cellStyle name="Gevolgde hyperlink" xfId="2974" builtinId="9" hidden="1"/>
    <cellStyle name="Gevolgde hyperlink" xfId="2976" builtinId="9" hidden="1"/>
    <cellStyle name="Gevolgde hyperlink" xfId="2978" builtinId="9" hidden="1"/>
    <cellStyle name="Gevolgde hyperlink" xfId="2980" builtinId="9" hidden="1"/>
    <cellStyle name="Gevolgde hyperlink" xfId="2982" builtinId="9" hidden="1"/>
    <cellStyle name="Gevolgde hyperlink" xfId="2984" builtinId="9" hidden="1"/>
    <cellStyle name="Gevolgde hyperlink" xfId="2986" builtinId="9" hidden="1"/>
    <cellStyle name="Gevolgde hyperlink" xfId="2988" builtinId="9" hidden="1"/>
    <cellStyle name="Gevolgde hyperlink" xfId="2990" builtinId="9" hidden="1"/>
    <cellStyle name="Gevolgde hyperlink" xfId="2992" builtinId="9" hidden="1"/>
    <cellStyle name="Gevolgde hyperlink" xfId="2994" builtinId="9" hidden="1"/>
    <cellStyle name="Gevolgde hyperlink" xfId="2996" builtinId="9" hidden="1"/>
    <cellStyle name="Gevolgde hyperlink" xfId="2998" builtinId="9" hidden="1"/>
    <cellStyle name="Gevolgde hyperlink" xfId="3000" builtinId="9" hidden="1"/>
    <cellStyle name="Gevolgde hyperlink" xfId="3002" builtinId="9" hidden="1"/>
    <cellStyle name="Gevolgde hyperlink" xfId="3004" builtinId="9" hidden="1"/>
    <cellStyle name="Gevolgde hyperlink" xfId="3006" builtinId="9" hidden="1"/>
    <cellStyle name="Gevolgde hyperlink" xfId="3008" builtinId="9" hidden="1"/>
    <cellStyle name="Gevolgde hyperlink" xfId="3010" builtinId="9" hidden="1"/>
    <cellStyle name="Gevolgde hyperlink" xfId="3012" builtinId="9" hidden="1"/>
    <cellStyle name="Gevolgde hyperlink" xfId="3014" builtinId="9" hidden="1"/>
    <cellStyle name="Gevolgde hyperlink" xfId="3016" builtinId="9" hidden="1"/>
    <cellStyle name="Gevolgde hyperlink" xfId="3018" builtinId="9" hidden="1"/>
    <cellStyle name="Gevolgde hyperlink" xfId="3020" builtinId="9" hidden="1"/>
    <cellStyle name="Gevolgde hyperlink" xfId="3022" builtinId="9" hidden="1"/>
    <cellStyle name="Gevolgde hyperlink" xfId="3024" builtinId="9" hidden="1"/>
    <cellStyle name="Gevolgde hyperlink" xfId="3026" builtinId="9" hidden="1"/>
    <cellStyle name="Gevolgde hyperlink" xfId="3028" builtinId="9" hidden="1"/>
    <cellStyle name="Gevolgde hyperlink" xfId="3030" builtinId="9" hidden="1"/>
    <cellStyle name="Gevolgde hyperlink" xfId="3032" builtinId="9" hidden="1"/>
    <cellStyle name="Gevolgde hyperlink" xfId="3034" builtinId="9" hidden="1"/>
    <cellStyle name="Gevolgde hyperlink" xfId="3036" builtinId="9" hidden="1"/>
    <cellStyle name="Gevolgde hyperlink" xfId="3038" builtinId="9" hidden="1"/>
    <cellStyle name="Gevolgde hyperlink" xfId="3040" builtinId="9" hidden="1"/>
    <cellStyle name="Gevolgde hyperlink" xfId="3042" builtinId="9" hidden="1"/>
    <cellStyle name="Gevolgde hyperlink" xfId="3044" builtinId="9" hidden="1"/>
    <cellStyle name="Gevolgde hyperlink" xfId="3046" builtinId="9" hidden="1"/>
    <cellStyle name="Gevolgde hyperlink" xfId="3048" builtinId="9" hidden="1"/>
    <cellStyle name="Gevolgde hyperlink" xfId="3050" builtinId="9" hidden="1"/>
    <cellStyle name="Gevolgde hyperlink" xfId="3052" builtinId="9" hidden="1"/>
    <cellStyle name="Gevolgde hyperlink" xfId="3054" builtinId="9" hidden="1"/>
    <cellStyle name="Gevolgde hyperlink" xfId="3056" builtinId="9" hidden="1"/>
    <cellStyle name="Gevolgde hyperlink" xfId="3058" builtinId="9" hidden="1"/>
    <cellStyle name="Gevolgde hyperlink" xfId="3060" builtinId="9" hidden="1"/>
    <cellStyle name="Gevolgde hyperlink" xfId="3062" builtinId="9" hidden="1"/>
    <cellStyle name="Gevolgde hyperlink" xfId="3064" builtinId="9" hidden="1"/>
    <cellStyle name="Gevolgde hyperlink" xfId="3066" builtinId="9" hidden="1"/>
    <cellStyle name="Gevolgde hyperlink" xfId="3068" builtinId="9" hidden="1"/>
    <cellStyle name="Gevolgde hyperlink" xfId="3070" builtinId="9" hidden="1"/>
    <cellStyle name="Gevolgde hyperlink" xfId="3072" builtinId="9" hidden="1"/>
    <cellStyle name="Gevolgde hyperlink" xfId="3074" builtinId="9" hidden="1"/>
    <cellStyle name="Gevolgde hyperlink" xfId="3076" builtinId="9" hidden="1"/>
    <cellStyle name="Gevolgde hyperlink" xfId="3078" builtinId="9" hidden="1"/>
    <cellStyle name="Gevolgde hyperlink" xfId="3080" builtinId="9" hidden="1"/>
    <cellStyle name="Gevolgde hyperlink" xfId="3082" builtinId="9" hidden="1"/>
    <cellStyle name="Gevolgde hyperlink" xfId="3084" builtinId="9" hidden="1"/>
    <cellStyle name="Gevolgde hyperlink" xfId="3086" builtinId="9" hidden="1"/>
    <cellStyle name="Gevolgde hyperlink" xfId="3088" builtinId="9" hidden="1"/>
    <cellStyle name="Gevolgde hyperlink" xfId="3090" builtinId="9" hidden="1"/>
    <cellStyle name="Gevolgde hyperlink" xfId="3092" builtinId="9" hidden="1"/>
    <cellStyle name="Gevolgde hyperlink" xfId="3094" builtinId="9" hidden="1"/>
    <cellStyle name="Gevolgde hyperlink" xfId="3096" builtinId="9" hidden="1"/>
    <cellStyle name="Gevolgde hyperlink" xfId="3098" builtinId="9" hidden="1"/>
    <cellStyle name="Gevolgde hyperlink" xfId="3100" builtinId="9" hidden="1"/>
    <cellStyle name="Gevolgde hyperlink" xfId="3102" builtinId="9" hidden="1"/>
    <cellStyle name="Gevolgde hyperlink" xfId="3104" builtinId="9" hidden="1"/>
    <cellStyle name="Gevolgde hyperlink" xfId="3106" builtinId="9" hidden="1"/>
    <cellStyle name="Gevolgde hyperlink" xfId="3108" builtinId="9" hidden="1"/>
    <cellStyle name="Gevolgde hyperlink" xfId="3110" builtinId="9" hidden="1"/>
    <cellStyle name="Gevolgde hyperlink" xfId="3112" builtinId="9" hidden="1"/>
    <cellStyle name="Gevolgde hyperlink" xfId="3114" builtinId="9" hidden="1"/>
    <cellStyle name="Gevolgde hyperlink" xfId="3116" builtinId="9" hidden="1"/>
    <cellStyle name="Gevolgde hyperlink" xfId="3118" builtinId="9" hidden="1"/>
    <cellStyle name="Gevolgde hyperlink" xfId="3120" builtinId="9" hidden="1"/>
    <cellStyle name="Gevolgde hyperlink" xfId="3122" builtinId="9" hidden="1"/>
    <cellStyle name="Gevolgde hyperlink" xfId="3124" builtinId="9" hidden="1"/>
    <cellStyle name="Gevolgde hyperlink" xfId="3126" builtinId="9" hidden="1"/>
    <cellStyle name="Gevolgde hyperlink" xfId="3128" builtinId="9" hidden="1"/>
    <cellStyle name="Gevolgde hyperlink" xfId="3130" builtinId="9" hidden="1"/>
    <cellStyle name="Gevolgde hyperlink" xfId="3132" builtinId="9" hidden="1"/>
    <cellStyle name="Gevolgde hyperlink" xfId="3134" builtinId="9" hidden="1"/>
    <cellStyle name="Gevolgde hyperlink" xfId="3136" builtinId="9" hidden="1"/>
    <cellStyle name="Gevolgde hyperlink" xfId="3138" builtinId="9" hidden="1"/>
    <cellStyle name="Gevolgde hyperlink" xfId="3140" builtinId="9" hidden="1"/>
    <cellStyle name="Gevolgde hyperlink" xfId="3142" builtinId="9" hidden="1"/>
    <cellStyle name="Gevolgde hyperlink" xfId="3144" builtinId="9" hidden="1"/>
    <cellStyle name="Gevolgde hyperlink" xfId="3146" builtinId="9" hidden="1"/>
    <cellStyle name="Gevolgde hyperlink" xfId="3148" builtinId="9" hidden="1"/>
    <cellStyle name="Gevolgde hyperlink" xfId="3150" builtinId="9" hidden="1"/>
    <cellStyle name="Gevolgde hyperlink" xfId="3152" builtinId="9" hidden="1"/>
    <cellStyle name="Gevolgde hyperlink" xfId="3154" builtinId="9" hidden="1"/>
    <cellStyle name="Gevolgde hyperlink" xfId="3156" builtinId="9" hidden="1"/>
    <cellStyle name="Gevolgde hyperlink" xfId="3158" builtinId="9" hidden="1"/>
    <cellStyle name="Gevolgde hyperlink" xfId="3160" builtinId="9" hidden="1"/>
    <cellStyle name="Gevolgde hyperlink" xfId="3162" builtinId="9" hidden="1"/>
    <cellStyle name="Gevolgde hyperlink" xfId="3164" builtinId="9" hidden="1"/>
    <cellStyle name="Gevolgde hyperlink" xfId="3166" builtinId="9" hidden="1"/>
    <cellStyle name="Gevolgde hyperlink" xfId="3168" builtinId="9" hidden="1"/>
    <cellStyle name="Gevolgde hyperlink" xfId="3170" builtinId="9" hidden="1"/>
    <cellStyle name="Gevolgde hyperlink" xfId="3172" builtinId="9" hidden="1"/>
    <cellStyle name="Gevolgde hyperlink" xfId="3174" builtinId="9" hidden="1"/>
    <cellStyle name="Gevolgde hyperlink" xfId="3176" builtinId="9" hidden="1"/>
    <cellStyle name="Gevolgde hyperlink" xfId="3178" builtinId="9" hidden="1"/>
    <cellStyle name="Gevolgde hyperlink" xfId="3180" builtinId="9" hidden="1"/>
    <cellStyle name="Gevolgde hyperlink" xfId="3182" builtinId="9" hidden="1"/>
    <cellStyle name="Gevolgde hyperlink" xfId="3184" builtinId="9" hidden="1"/>
    <cellStyle name="Gevolgde hyperlink" xfId="3186" builtinId="9" hidden="1"/>
    <cellStyle name="Gevolgde hyperlink" xfId="3188" builtinId="9" hidden="1"/>
    <cellStyle name="Gevolgde hyperlink" xfId="3190" builtinId="9" hidden="1"/>
    <cellStyle name="Gevolgde hyperlink" xfId="3192" builtinId="9" hidden="1"/>
    <cellStyle name="Gevolgde hyperlink" xfId="3194" builtinId="9" hidden="1"/>
    <cellStyle name="Gevolgde hyperlink" xfId="3196" builtinId="9" hidden="1"/>
    <cellStyle name="Gevolgde hyperlink" xfId="3198" builtinId="9" hidden="1"/>
    <cellStyle name="Gevolgde hyperlink" xfId="3200" builtinId="9" hidden="1"/>
    <cellStyle name="Gevolgde hyperlink" xfId="3202" builtinId="9" hidden="1"/>
    <cellStyle name="Gevolgde hyperlink" xfId="3204" builtinId="9" hidden="1"/>
    <cellStyle name="Gevolgde hyperlink" xfId="3206" builtinId="9" hidden="1"/>
    <cellStyle name="Gevolgde hyperlink" xfId="3208" builtinId="9" hidden="1"/>
    <cellStyle name="Gevolgde hyperlink" xfId="3210" builtinId="9" hidden="1"/>
    <cellStyle name="Gevolgde hyperlink" xfId="3212" builtinId="9" hidden="1"/>
    <cellStyle name="Gevolgde hyperlink" xfId="3214" builtinId="9" hidden="1"/>
    <cellStyle name="Gevolgde hyperlink" xfId="3216" builtinId="9" hidden="1"/>
    <cellStyle name="Gevolgde hyperlink" xfId="3218" builtinId="9" hidden="1"/>
    <cellStyle name="Gevolgde hyperlink" xfId="3220" builtinId="9" hidden="1"/>
    <cellStyle name="Gevolgde hyperlink" xfId="3222" builtinId="9" hidden="1"/>
    <cellStyle name="Gevolgde hyperlink" xfId="3224" builtinId="9" hidden="1"/>
    <cellStyle name="Gevolgde hyperlink" xfId="3226" builtinId="9" hidden="1"/>
    <cellStyle name="Gevolgde hyperlink" xfId="3228" builtinId="9" hidden="1"/>
    <cellStyle name="Gevolgde hyperlink" xfId="3230" builtinId="9" hidden="1"/>
    <cellStyle name="Gevolgde hyperlink" xfId="3232" builtinId="9" hidden="1"/>
    <cellStyle name="Gevolgde hyperlink" xfId="3234" builtinId="9" hidden="1"/>
    <cellStyle name="Gevolgde hyperlink" xfId="3236" builtinId="9" hidden="1"/>
    <cellStyle name="Gevolgde hyperlink" xfId="3238" builtinId="9" hidden="1"/>
    <cellStyle name="Gevolgde hyperlink" xfId="3240" builtinId="9" hidden="1"/>
    <cellStyle name="Gevolgde hyperlink" xfId="3242" builtinId="9" hidden="1"/>
    <cellStyle name="Gevolgde hyperlink" xfId="3244" builtinId="9" hidden="1"/>
    <cellStyle name="Gevolgde hyperlink" xfId="3246" builtinId="9" hidden="1"/>
    <cellStyle name="Gevolgde hyperlink" xfId="3248" builtinId="9" hidden="1"/>
    <cellStyle name="Gevolgde hyperlink" xfId="3250" builtinId="9" hidden="1"/>
    <cellStyle name="Gevolgde hyperlink" xfId="3252" builtinId="9" hidden="1"/>
    <cellStyle name="Gevolgde hyperlink" xfId="3254" builtinId="9" hidden="1"/>
    <cellStyle name="Gevolgde hyperlink" xfId="3256" builtinId="9" hidden="1"/>
    <cellStyle name="Gevolgde hyperlink" xfId="3258" builtinId="9" hidden="1"/>
    <cellStyle name="Gevolgde hyperlink" xfId="3260" builtinId="9" hidden="1"/>
    <cellStyle name="Gevolgde hyperlink" xfId="3262" builtinId="9" hidden="1"/>
    <cellStyle name="Gevolgde hyperlink" xfId="3264" builtinId="9" hidden="1"/>
    <cellStyle name="Gevolgde hyperlink" xfId="3266" builtinId="9" hidden="1"/>
    <cellStyle name="Gevolgde hyperlink" xfId="3268" builtinId="9" hidden="1"/>
    <cellStyle name="Gevolgde hyperlink" xfId="3270" builtinId="9" hidden="1"/>
    <cellStyle name="Gevolgde hyperlink" xfId="3272" builtinId="9" hidden="1"/>
    <cellStyle name="Gevolgde hyperlink" xfId="3274" builtinId="9" hidden="1"/>
    <cellStyle name="Gevolgde hyperlink" xfId="3276" builtinId="9" hidden="1"/>
    <cellStyle name="Gevolgde hyperlink" xfId="3278" builtinId="9" hidden="1"/>
    <cellStyle name="Gevolgde hyperlink" xfId="3280" builtinId="9" hidden="1"/>
    <cellStyle name="Gevolgde hyperlink" xfId="3282" builtinId="9" hidden="1"/>
    <cellStyle name="Gevolgde hyperlink" xfId="3284" builtinId="9" hidden="1"/>
    <cellStyle name="Gevolgde hyperlink" xfId="3286" builtinId="9" hidden="1"/>
    <cellStyle name="Gevolgde hyperlink" xfId="3288" builtinId="9" hidden="1"/>
    <cellStyle name="Gevolgde hyperlink" xfId="3290" builtinId="9" hidden="1"/>
    <cellStyle name="Gevolgde hyperlink" xfId="3292" builtinId="9" hidden="1"/>
    <cellStyle name="Gevolgde hyperlink" xfId="3294" builtinId="9" hidden="1"/>
    <cellStyle name="Gevolgde hyperlink" xfId="3296" builtinId="9" hidden="1"/>
    <cellStyle name="Gevolgde hyperlink" xfId="3298" builtinId="9" hidden="1"/>
    <cellStyle name="Gevolgde hyperlink" xfId="3300" builtinId="9" hidden="1"/>
    <cellStyle name="Gevolgde hyperlink" xfId="3302" builtinId="9" hidden="1"/>
    <cellStyle name="Gevolgde hyperlink" xfId="3304" builtinId="9" hidden="1"/>
    <cellStyle name="Gevolgde hyperlink" xfId="3306" builtinId="9" hidden="1"/>
    <cellStyle name="Gevolgde hyperlink" xfId="3308" builtinId="9" hidden="1"/>
    <cellStyle name="Gevolgde hyperlink" xfId="3310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oed" xfId="9" xr:uid="{00000000-0005-0000-0000-000068060000}"/>
    <cellStyle name="Goed 2" xfId="2561" xr:uid="{00000000-0005-0000-0000-000069060000}"/>
    <cellStyle name="Good" xfId="2562" xr:uid="{00000000-0005-0000-0000-00006A060000}"/>
    <cellStyle name="Heading 1" xfId="2563" xr:uid="{00000000-0005-0000-0000-00006B060000}"/>
    <cellStyle name="Heading 2" xfId="2564" xr:uid="{00000000-0005-0000-0000-00006C060000}"/>
    <cellStyle name="Heading 3" xfId="2565" xr:uid="{00000000-0005-0000-0000-00006D060000}"/>
    <cellStyle name="Heading 4" xfId="2566" xr:uid="{00000000-0005-0000-0000-00006E060000}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5" builtinId="8" hidden="1"/>
    <cellStyle name="Hyperlink" xfId="2517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 2" xfId="2567" xr:uid="{00000000-0005-0000-0000-0000A70C0000}"/>
    <cellStyle name="Input" xfId="2568" xr:uid="{00000000-0005-0000-0000-0000A80C0000}"/>
    <cellStyle name="Invoer 2" xfId="2569" xr:uid="{00000000-0005-0000-0000-0000A90C0000}"/>
    <cellStyle name="Komma" xfId="10" builtinId="3"/>
    <cellStyle name="Komma [0]" xfId="11" builtinId="6"/>
    <cellStyle name="Komma 2" xfId="2570" xr:uid="{00000000-0005-0000-0000-0000AC0C0000}"/>
    <cellStyle name="Komma0" xfId="2571" xr:uid="{00000000-0005-0000-0000-0000AD0C0000}"/>
    <cellStyle name="kop" xfId="12" xr:uid="{00000000-0005-0000-0000-0000AE0C0000}"/>
    <cellStyle name="Kop 1 2" xfId="2572" xr:uid="{00000000-0005-0000-0000-0000AF0C0000}"/>
    <cellStyle name="Kop 2 2" xfId="2573" xr:uid="{00000000-0005-0000-0000-0000B00C0000}"/>
    <cellStyle name="Kop 3 2" xfId="2574" xr:uid="{00000000-0005-0000-0000-0000B10C0000}"/>
    <cellStyle name="Kop 4 2" xfId="2575" xr:uid="{00000000-0005-0000-0000-0000B20C0000}"/>
    <cellStyle name="Koppen_rekenblad" xfId="13" xr:uid="{00000000-0005-0000-0000-0000B30C0000}"/>
    <cellStyle name="koppenrekenblad2" xfId="14" xr:uid="{00000000-0005-0000-0000-0000B40C0000}"/>
    <cellStyle name="Linked Cell" xfId="2576" xr:uid="{00000000-0005-0000-0000-0000B50C0000}"/>
    <cellStyle name="m2" xfId="15" xr:uid="{00000000-0005-0000-0000-0000B60C0000}"/>
    <cellStyle name="Neutraal" xfId="16" xr:uid="{00000000-0005-0000-0000-0000B70C0000}"/>
    <cellStyle name="Neutraal 2" xfId="2577" xr:uid="{00000000-0005-0000-0000-0000B80C0000}"/>
    <cellStyle name="Neutral" xfId="2578" xr:uid="{00000000-0005-0000-0000-0000B90C0000}"/>
    <cellStyle name="Normaal 2" xfId="2514" xr:uid="{00000000-0005-0000-0000-0000BB0C0000}"/>
    <cellStyle name="Normaal 3" xfId="2519" xr:uid="{00000000-0005-0000-0000-0000BC0C0000}"/>
    <cellStyle name="Normaal 4" xfId="2579" xr:uid="{00000000-0005-0000-0000-0000BD0C0000}"/>
    <cellStyle name="Normal_ KLM-CTR(STA)-Recap.xls" xfId="17" xr:uid="{00000000-0005-0000-0000-0000BE0C0000}"/>
    <cellStyle name="Normal_AFRPPRIJS.xls" xfId="18" xr:uid="{00000000-0005-0000-0000-0000C00C0000}"/>
    <cellStyle name="Normal_ATIR-Calc-Uurtarief 2001" xfId="19" xr:uid="{00000000-0005-0000-0000-0000C10C0000}"/>
    <cellStyle name="Normal_CALCULATIEBLAD.XLS" xfId="20" xr:uid="{00000000-0005-0000-0000-0000C20C0000}"/>
    <cellStyle name="Normal_GH-Calc_perceel_1_en_2.xls" xfId="21" xr:uid="{00000000-0005-0000-0000-0000C30C0000}"/>
    <cellStyle name="Normal_GH-Calc_perceel_1_en_2.xls 2" xfId="3330" xr:uid="{506EE6C4-0FEC-3745-8C8B-2EE313FB7477}"/>
    <cellStyle name="Normal_glas locaties.xls" xfId="22" xr:uid="{00000000-0005-0000-0000-0000C40C0000}"/>
    <cellStyle name="Normal_MACHINEKST.xls" xfId="23" xr:uid="{00000000-0005-0000-0000-0000C50C0000}"/>
    <cellStyle name="Normal_SCH Purmerend-Calc-04.xls" xfId="24" xr:uid="{00000000-0005-0000-0000-0000C60C0000}"/>
    <cellStyle name="Normal_schoonmaaktot.xls" xfId="25" xr:uid="{00000000-0005-0000-0000-0000C70C0000}"/>
    <cellStyle name="Normal_Uurtarieven 2000 LEVERANCIER" xfId="26" xr:uid="{00000000-0005-0000-0000-0000C80C0000}"/>
    <cellStyle name="Normal_Workbook1_AFRPPRIJS.xls" xfId="27" xr:uid="{00000000-0005-0000-0000-0000C90C0000}"/>
    <cellStyle name="Note" xfId="2580" xr:uid="{00000000-0005-0000-0000-0000CA0C0000}"/>
    <cellStyle name="Note 2" xfId="2581" xr:uid="{00000000-0005-0000-0000-0000CB0C0000}"/>
    <cellStyle name="Note_1.3-Basis ruimtestaat" xfId="2582" xr:uid="{00000000-0005-0000-0000-0000CC0C0000}"/>
    <cellStyle name="Notitie 2" xfId="2583" xr:uid="{00000000-0005-0000-0000-0000CD0C0000}"/>
    <cellStyle name="Ongedefinieerd" xfId="28" xr:uid="{00000000-0005-0000-0000-0000CE0C0000}"/>
    <cellStyle name="Ongeldig 2" xfId="2584" xr:uid="{00000000-0005-0000-0000-0000CF0C0000}"/>
    <cellStyle name="Output" xfId="2585" xr:uid="{00000000-0005-0000-0000-0000D00C0000}"/>
    <cellStyle name="Procent" xfId="29" builtinId="5"/>
    <cellStyle name="Procent 2" xfId="2520" xr:uid="{00000000-0005-0000-0000-0000D20C0000}"/>
    <cellStyle name="Procent 2 2" xfId="2586" xr:uid="{00000000-0005-0000-0000-0000D30C0000}"/>
    <cellStyle name="Procent 2 3" xfId="2587" xr:uid="{00000000-0005-0000-0000-0000D40C0000}"/>
    <cellStyle name="Procent 3" xfId="2588" xr:uid="{00000000-0005-0000-0000-0000D50C0000}"/>
    <cellStyle name="Procent 3 2" xfId="2589" xr:uid="{00000000-0005-0000-0000-0000D60C0000}"/>
    <cellStyle name="Procent 4" xfId="2590" xr:uid="{00000000-0005-0000-0000-0000D70C0000}"/>
    <cellStyle name="Procent 4 2" xfId="2591" xr:uid="{00000000-0005-0000-0000-0000D80C0000}"/>
    <cellStyle name="Procent 5" xfId="2592" xr:uid="{00000000-0005-0000-0000-0000D90C0000}"/>
    <cellStyle name="Ruimtestaat_Koppen" xfId="30" xr:uid="{00000000-0005-0000-0000-0000DA0C0000}"/>
    <cellStyle name="Standaard" xfId="0" builtinId="0"/>
    <cellStyle name="Standaard 10" xfId="2593" xr:uid="{00000000-0005-0000-0000-0000DB0C0000}"/>
    <cellStyle name="Standaard 11" xfId="2594" xr:uid="{00000000-0005-0000-0000-0000DC0C0000}"/>
    <cellStyle name="Standaard 11 2" xfId="2595" xr:uid="{00000000-0005-0000-0000-0000DD0C0000}"/>
    <cellStyle name="Standaard 12" xfId="2596" xr:uid="{00000000-0005-0000-0000-0000DE0C0000}"/>
    <cellStyle name="Standaard 13" xfId="2597" xr:uid="{00000000-0005-0000-0000-0000DF0C0000}"/>
    <cellStyle name="Standaard 14" xfId="3329" xr:uid="{657A85D1-B4A8-5E43-BBDF-81C8D89D9809}"/>
    <cellStyle name="Standaard 15" xfId="3332" xr:uid="{FB2D81FC-2D8A-B644-89CF-9584FF7B0086}"/>
    <cellStyle name="Standaard 16" xfId="3331" xr:uid="{1931E60C-0645-ED49-8B48-1FF66EF630D2}"/>
    <cellStyle name="Standaard 2" xfId="2598" xr:uid="{00000000-0005-0000-0000-0000E00C0000}"/>
    <cellStyle name="Standaard 2 2" xfId="2599" xr:uid="{00000000-0005-0000-0000-0000E10C0000}"/>
    <cellStyle name="Standaard 2_1.3a-Voorbewerking" xfId="2600" xr:uid="{00000000-0005-0000-0000-0000E20C0000}"/>
    <cellStyle name="Standaard 3" xfId="2601" xr:uid="{00000000-0005-0000-0000-0000E30C0000}"/>
    <cellStyle name="Standaard 3 2" xfId="2602" xr:uid="{00000000-0005-0000-0000-0000E40C0000}"/>
    <cellStyle name="Standaard 4" xfId="2603" xr:uid="{00000000-0005-0000-0000-0000E50C0000}"/>
    <cellStyle name="Standaard 4 2" xfId="2604" xr:uid="{00000000-0005-0000-0000-0000E60C0000}"/>
    <cellStyle name="Standaard 5" xfId="2605" xr:uid="{00000000-0005-0000-0000-0000E70C0000}"/>
    <cellStyle name="Standaard 5 2" xfId="2606" xr:uid="{00000000-0005-0000-0000-0000E80C0000}"/>
    <cellStyle name="Standaard 6" xfId="2607" xr:uid="{00000000-0005-0000-0000-0000E90C0000}"/>
    <cellStyle name="Standaard 6 2" xfId="2608" xr:uid="{00000000-0005-0000-0000-0000EA0C0000}"/>
    <cellStyle name="Standaard 7" xfId="2609" xr:uid="{00000000-0005-0000-0000-0000EB0C0000}"/>
    <cellStyle name="Standaard 7 2" xfId="2610" xr:uid="{00000000-0005-0000-0000-0000EC0C0000}"/>
    <cellStyle name="Standaard 8" xfId="2611" xr:uid="{00000000-0005-0000-0000-0000ED0C0000}"/>
    <cellStyle name="Standaard 9" xfId="2612" xr:uid="{00000000-0005-0000-0000-0000EE0C0000}"/>
    <cellStyle name="Standaard 9 2" xfId="2613" xr:uid="{00000000-0005-0000-0000-0000EF0C0000}"/>
    <cellStyle name="Standaard_Blad1" xfId="31" xr:uid="{00000000-0005-0000-0000-0000F00C0000}"/>
    <cellStyle name="Titel" xfId="32" xr:uid="{00000000-0005-0000-0000-0000F10C0000}"/>
    <cellStyle name="Titel 2" xfId="2614" xr:uid="{00000000-0005-0000-0000-0000F20C0000}"/>
    <cellStyle name="Title" xfId="2615" xr:uid="{00000000-0005-0000-0000-0000F30C0000}"/>
    <cellStyle name="Totaal" xfId="33" xr:uid="{00000000-0005-0000-0000-0000F40C0000}"/>
    <cellStyle name="Totaal 2" xfId="2616" xr:uid="{00000000-0005-0000-0000-0000F50C0000}"/>
    <cellStyle name="Total" xfId="2617" xr:uid="{00000000-0005-0000-0000-0000F60C0000}"/>
    <cellStyle name="Uitvoer 2" xfId="2618" xr:uid="{00000000-0005-0000-0000-0000F70C0000}"/>
    <cellStyle name="Valuta" xfId="34" builtinId="4"/>
    <cellStyle name="Valuta 2" xfId="2619" xr:uid="{00000000-0005-0000-0000-0000F90C0000}"/>
    <cellStyle name="Valuta 2 2" xfId="2620" xr:uid="{00000000-0005-0000-0000-0000FA0C0000}"/>
    <cellStyle name="Valuta 2 3" xfId="2621" xr:uid="{00000000-0005-0000-0000-0000FB0C0000}"/>
    <cellStyle name="Valuta 3" xfId="2622" xr:uid="{00000000-0005-0000-0000-0000FC0C0000}"/>
    <cellStyle name="Valuta0" xfId="2623" xr:uid="{00000000-0005-0000-0000-0000FD0C0000}"/>
    <cellStyle name="Verklarende tekst 2" xfId="2624" xr:uid="{00000000-0005-0000-0000-0000FE0C0000}"/>
    <cellStyle name="Waarschuwingstekst" xfId="35" xr:uid="{00000000-0005-0000-0000-0000FF0C0000}"/>
    <cellStyle name="Waarschuwingstekst 2" xfId="2625" xr:uid="{00000000-0005-0000-0000-0000000D0000}"/>
    <cellStyle name="Warning Text" xfId="2626" xr:uid="{00000000-0005-0000-0000-0000010D0000}"/>
  </cellStyles>
  <dxfs count="588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rgb="FFDFDCB5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color theme="0"/>
      </font>
      <fill>
        <patternFill>
          <bgColor theme="8" tint="-0.499984740745262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/>
        <horizontal/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76200</xdr:colOff>
      <xdr:row>24</xdr:row>
      <xdr:rowOff>0</xdr:rowOff>
    </xdr:from>
    <xdr:to>
      <xdr:col>13</xdr:col>
      <xdr:colOff>0</xdr:colOff>
      <xdr:row>25</xdr:row>
      <xdr:rowOff>76200</xdr:rowOff>
    </xdr:to>
    <xdr:sp macro="" textlink="">
      <xdr:nvSpPr>
        <xdr:cNvPr id="5" name="Pijl lin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6205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3632290" cy="2997200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768306" cy="830997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60500" y="1193800"/>
          <a:ext cx="2768306" cy="83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Verdana"/>
              <a:cs typeface="Verdana"/>
            </a:rPr>
            <a:t>Handleiding </a:t>
          </a:r>
        </a:p>
        <a:p>
          <a:r>
            <a:rPr lang="nl-NL" sz="2400">
              <a:latin typeface="Verdana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256</xdr:row>
      <xdr:rowOff>0</xdr:rowOff>
    </xdr:from>
    <xdr:to>
      <xdr:col>11</xdr:col>
      <xdr:colOff>0</xdr:colOff>
      <xdr:row>257</xdr:row>
      <xdr:rowOff>0</xdr:rowOff>
    </xdr:to>
    <xdr:sp macro="" textlink="">
      <xdr:nvSpPr>
        <xdr:cNvPr id="31042" name="Rounded Rectangle 4">
          <a:extLst>
            <a:ext uri="{FF2B5EF4-FFF2-40B4-BE49-F238E27FC236}">
              <a16:creationId xmlns:a16="http://schemas.microsoft.com/office/drawing/2014/main" id="{00000000-0008-0000-0300-000042790000}"/>
            </a:ext>
          </a:extLst>
        </xdr:cNvPr>
        <xdr:cNvSpPr>
          <a:spLocks noChangeArrowheads="1"/>
        </xdr:cNvSpPr>
      </xdr:nvSpPr>
      <xdr:spPr bwMode="auto">
        <a:xfrm>
          <a:off x="10833100" y="8191500"/>
          <a:ext cx="3200400" cy="292100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  <xdr:twoCellAnchor>
    <xdr:from>
      <xdr:col>12</xdr:col>
      <xdr:colOff>0</xdr:colOff>
      <xdr:row>256</xdr:row>
      <xdr:rowOff>1</xdr:rowOff>
    </xdr:from>
    <xdr:to>
      <xdr:col>14</xdr:col>
      <xdr:colOff>0</xdr:colOff>
      <xdr:row>256</xdr:row>
      <xdr:rowOff>285103</xdr:rowOff>
    </xdr:to>
    <xdr:sp macro="" textlink="">
      <xdr:nvSpPr>
        <xdr:cNvPr id="31043" name="Rounded Rectangle 5">
          <a:extLst>
            <a:ext uri="{FF2B5EF4-FFF2-40B4-BE49-F238E27FC236}">
              <a16:creationId xmlns:a16="http://schemas.microsoft.com/office/drawing/2014/main" id="{00000000-0008-0000-0300-000043790000}"/>
            </a:ext>
          </a:extLst>
        </xdr:cNvPr>
        <xdr:cNvSpPr>
          <a:spLocks noChangeArrowheads="1"/>
        </xdr:cNvSpPr>
      </xdr:nvSpPr>
      <xdr:spPr bwMode="auto">
        <a:xfrm>
          <a:off x="14941939" y="7749593"/>
          <a:ext cx="2954694" cy="285102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AZR%20psychiatri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Calculatie%200602-34.20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/Documents/%20%20ICCA/Projecten%20actief/Vezet%202013/08.%20Vezet%202020/Incl.%20Ziekte/Calculatiemodule%20Vezet%2001-01-2020%20Low%20Care%20V3%2014-feb-20%20incl%20JvV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lmansgroep.net/bedrijven/Users/piet/Documents/%20%20ICCA/Projecten%20actief/Olam%20(Seiso)/naamloze%20map/03.%20calculatie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:/C:/C/Users/r.sakko/AppData/Local/Microsoft/Windows/INetCache/Content.Outlook/U4RJF6YL/AZR%20psychiatr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lmansgroep.net/bedrijven/Users/piet/Documents/%20%20ICCA/Projecten%20actief/Vezet%202013/16.%20Aanbesteding%202017/Versie%20aanbesteding%20%2016052017/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piet/Documents/%20%20ICCA/Dashboard/14.%20CPOW/01.%20Contracten/02.%20Victoria/01.%2001-mei-16/ati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K:/C:/Users/piet/Documents/%20%20ICCA/Dashboard/01.%20SPURD/02.%202018/01.%20SPURD%20gym/01.%20HSO/02.%20Contractmodule/ati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/Documents/%20%20ICCA/Projecten%20actief/Dolmans/Vreugedehil%202/Calculatiemodule%20VHil%20productie%20Pieter%20230819PBR%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Victoria%20Calculatiemodel%20P2%20V1%2001%20jul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/Library/Containers/com.microsoft.Excel/Data/Library/Application%20Support/Microsoft/Calculatiemodule%20Perceel%203%20Opspoor%20Ancora%2001-jan-20%20V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-Kengetal"/>
      <sheetName val="1.3-Basis ruimtestaat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Uitleg calculatiemodule"/>
      <sheetName val="1.0a-Contractblad Prodruimten"/>
      <sheetName val="1.0b-Contractblad Algemeen"/>
      <sheetName val="1.0c-Contractblasd Poetspunten"/>
      <sheetName val="1.0d-Contractblad bicarbonaat"/>
      <sheetName val="1.1-Jaarprijzen"/>
      <sheetName val="1.5 Opbouw uurtarieven"/>
      <sheetName val="Jaarkalender"/>
      <sheetName val="1.1a-Inzet uren per lijn"/>
      <sheetName val="1.1a-Overzicht uren-prijzen"/>
      <sheetName val="1.2-Tijdseenheid Productie"/>
      <sheetName val="Blad2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I13" t="str">
            <v>Lngr 1 : Vakvolwassen</v>
          </cell>
          <cell r="J13" t="str">
            <v>Lngr 2 : Vakvolwassen</v>
          </cell>
          <cell r="K13" t="str">
            <v>Lngr 3 : Vakvolwassen</v>
          </cell>
          <cell r="L13" t="str">
            <v>Lngr 6 : Vakvolwassen</v>
          </cell>
          <cell r="M13" t="str">
            <v>Selecteer categorie medewerker</v>
          </cell>
          <cell r="N13" t="str">
            <v>Selecteer categorie medewerker</v>
          </cell>
          <cell r="O13" t="str">
            <v>Selecteer categorie medewerker</v>
          </cell>
          <cell r="P13" t="str">
            <v>Selecteer categorie medewerker</v>
          </cell>
          <cell r="Q13"/>
          <cell r="R13" t="str">
            <v>Selecteer categorie medewerker</v>
          </cell>
          <cell r="S13" t="str">
            <v>Selecteer categorie medewerker</v>
          </cell>
          <cell r="T13" t="str">
            <v>Selecteer categorie medewerker</v>
          </cell>
        </row>
      </sheetData>
      <sheetData sheetId="8"/>
      <sheetData sheetId="9"/>
      <sheetData sheetId="10"/>
      <sheetData sheetId="11">
        <row r="19">
          <cell r="B19" t="str">
            <v>-</v>
          </cell>
          <cell r="C19"/>
          <cell r="D19"/>
          <cell r="E19"/>
          <cell r="F19"/>
          <cell r="G19"/>
          <cell r="H19">
            <v>0</v>
          </cell>
        </row>
        <row r="20">
          <cell r="B20" t="str">
            <v>Ananas schilmachine</v>
          </cell>
          <cell r="C20">
            <v>13.200000000000001</v>
          </cell>
          <cell r="D20">
            <v>13.200000000000001</v>
          </cell>
          <cell r="E20">
            <v>13.200000000000001</v>
          </cell>
          <cell r="F20"/>
          <cell r="G20"/>
          <cell r="H20"/>
        </row>
        <row r="21">
          <cell r="B21" t="str">
            <v>Aanvoerband</v>
          </cell>
          <cell r="C21">
            <v>11</v>
          </cell>
          <cell r="D21">
            <v>11</v>
          </cell>
          <cell r="E21">
            <v>11</v>
          </cell>
          <cell r="F21"/>
          <cell r="G21"/>
          <cell r="H21"/>
        </row>
        <row r="22">
          <cell r="B22" t="str">
            <v>Afvalband</v>
          </cell>
          <cell r="C22">
            <v>5.5</v>
          </cell>
          <cell r="D22">
            <v>5.5</v>
          </cell>
          <cell r="E22">
            <v>5.5</v>
          </cell>
          <cell r="F22"/>
          <cell r="G22"/>
          <cell r="H22"/>
        </row>
        <row r="23">
          <cell r="B23" t="str">
            <v>Afvalcontainers</v>
          </cell>
          <cell r="C23">
            <v>11</v>
          </cell>
          <cell r="D23"/>
          <cell r="E23">
            <v>0</v>
          </cell>
          <cell r="F23"/>
          <cell r="G23"/>
          <cell r="H23"/>
        </row>
        <row r="24">
          <cell r="B24" t="str">
            <v>Afvoerband</v>
          </cell>
          <cell r="C24">
            <v>5.5</v>
          </cell>
          <cell r="D24">
            <v>5.5</v>
          </cell>
          <cell r="E24">
            <v>5.5</v>
          </cell>
          <cell r="F24"/>
          <cell r="G24"/>
          <cell r="H24"/>
        </row>
        <row r="25">
          <cell r="B25" t="str">
            <v>Afvulstation</v>
          </cell>
          <cell r="C25">
            <v>5.5</v>
          </cell>
          <cell r="D25">
            <v>5.5</v>
          </cell>
          <cell r="E25">
            <v>5.5</v>
          </cell>
          <cell r="F25"/>
          <cell r="G25"/>
          <cell r="H25"/>
        </row>
        <row r="26">
          <cell r="B26" t="str">
            <v>Andijvie ontkonter</v>
          </cell>
          <cell r="C26">
            <v>8.8000000000000007</v>
          </cell>
          <cell r="D26">
            <v>8.8000000000000007</v>
          </cell>
          <cell r="E26">
            <v>8.8000000000000007</v>
          </cell>
          <cell r="F26"/>
          <cell r="G26"/>
          <cell r="H26"/>
        </row>
        <row r="27">
          <cell r="B27" t="str">
            <v>Appelwasser + waterbak</v>
          </cell>
          <cell r="C27">
            <v>14.3</v>
          </cell>
          <cell r="D27">
            <v>14.3</v>
          </cell>
          <cell r="E27">
            <v>14.3</v>
          </cell>
          <cell r="F27"/>
          <cell r="G27"/>
          <cell r="H27"/>
        </row>
        <row r="28">
          <cell r="B28" t="str">
            <v>Band</v>
          </cell>
          <cell r="C28">
            <v>5.5</v>
          </cell>
          <cell r="D28">
            <v>5.5</v>
          </cell>
          <cell r="E28">
            <v>5.5</v>
          </cell>
          <cell r="F28"/>
          <cell r="G28"/>
          <cell r="H28"/>
        </row>
        <row r="29">
          <cell r="B29" t="str">
            <v>Batchdroger</v>
          </cell>
          <cell r="C29">
            <v>16.5</v>
          </cell>
          <cell r="D29">
            <v>16.5</v>
          </cell>
          <cell r="E29">
            <v>16.5</v>
          </cell>
          <cell r="F29"/>
          <cell r="G29"/>
          <cell r="H29"/>
        </row>
        <row r="30">
          <cell r="B30" t="str">
            <v>Besturingskast</v>
          </cell>
          <cell r="C30">
            <v>1.1000000000000001</v>
          </cell>
          <cell r="D30">
            <v>1.1000000000000001</v>
          </cell>
          <cell r="E30">
            <v>1.1000000000000001</v>
          </cell>
          <cell r="F30"/>
          <cell r="G30"/>
          <cell r="H30"/>
        </row>
        <row r="31">
          <cell r="B31" t="str">
            <v>Blazer</v>
          </cell>
          <cell r="C31">
            <v>22</v>
          </cell>
          <cell r="D31">
            <v>22</v>
          </cell>
          <cell r="E31">
            <v>22</v>
          </cell>
          <cell r="F31"/>
          <cell r="G31"/>
          <cell r="H31"/>
        </row>
        <row r="32">
          <cell r="B32" t="str">
            <v>Blowerkast</v>
          </cell>
          <cell r="C32">
            <v>22</v>
          </cell>
          <cell r="D32">
            <v>22</v>
          </cell>
          <cell r="E32">
            <v>22</v>
          </cell>
          <cell r="F32"/>
          <cell r="G32"/>
          <cell r="H32"/>
        </row>
        <row r="33">
          <cell r="B33" t="str">
            <v>Bochttransport</v>
          </cell>
          <cell r="C33">
            <v>5.5</v>
          </cell>
          <cell r="D33">
            <v>5.5</v>
          </cell>
          <cell r="E33">
            <v>5.5</v>
          </cell>
          <cell r="F33"/>
          <cell r="G33"/>
          <cell r="H33"/>
        </row>
        <row r="34">
          <cell r="B34" t="str">
            <v>Buffer band</v>
          </cell>
          <cell r="C34">
            <v>5.5</v>
          </cell>
          <cell r="D34">
            <v>5.5</v>
          </cell>
          <cell r="E34">
            <v>5.5</v>
          </cell>
          <cell r="F34"/>
          <cell r="G34"/>
          <cell r="H34"/>
        </row>
        <row r="35">
          <cell r="B35" t="str">
            <v>Buffer schudder</v>
          </cell>
          <cell r="C35">
            <v>5.5</v>
          </cell>
          <cell r="D35">
            <v>5.5</v>
          </cell>
          <cell r="E35">
            <v>5.5</v>
          </cell>
          <cell r="F35"/>
          <cell r="G35"/>
          <cell r="H35"/>
        </row>
        <row r="36">
          <cell r="B36" t="str">
            <v>Bufferband</v>
          </cell>
          <cell r="C36">
            <v>5.5</v>
          </cell>
          <cell r="D36">
            <v>5.5</v>
          </cell>
          <cell r="E36">
            <v>5.5</v>
          </cell>
          <cell r="F36"/>
          <cell r="G36"/>
          <cell r="H36"/>
        </row>
        <row r="37">
          <cell r="B37" t="str">
            <v>Bunkerband</v>
          </cell>
          <cell r="C37">
            <v>5.5</v>
          </cell>
          <cell r="D37">
            <v>5.5</v>
          </cell>
          <cell r="E37">
            <v>5.5</v>
          </cell>
          <cell r="F37"/>
          <cell r="G37"/>
          <cell r="H37"/>
        </row>
        <row r="38">
          <cell r="B38" t="str">
            <v>Cabro kool/kern happer</v>
          </cell>
          <cell r="C38">
            <v>11</v>
          </cell>
          <cell r="D38">
            <v>11</v>
          </cell>
          <cell r="E38">
            <v>11</v>
          </cell>
          <cell r="F38"/>
          <cell r="G38"/>
          <cell r="H38"/>
        </row>
        <row r="39">
          <cell r="B39" t="str">
            <v>Cabro twin</v>
          </cell>
          <cell r="C39">
            <v>22</v>
          </cell>
          <cell r="D39">
            <v>22</v>
          </cell>
          <cell r="E39">
            <v>22</v>
          </cell>
          <cell r="F39"/>
          <cell r="G39"/>
          <cell r="H39"/>
        </row>
        <row r="40">
          <cell r="B40" t="str">
            <v>Centrale schakelkast</v>
          </cell>
          <cell r="C40">
            <v>1.1000000000000001</v>
          </cell>
          <cell r="D40">
            <v>1.1000000000000001</v>
          </cell>
          <cell r="E40">
            <v>1.1000000000000001</v>
          </cell>
          <cell r="F40"/>
          <cell r="G40"/>
          <cell r="H40"/>
        </row>
        <row r="41">
          <cell r="B41" t="str">
            <v>Centrifuge</v>
          </cell>
          <cell r="C41">
            <v>8.8000000000000007</v>
          </cell>
          <cell r="D41">
            <v>8.8000000000000007</v>
          </cell>
          <cell r="E41">
            <v>8.8000000000000007</v>
          </cell>
          <cell r="F41"/>
          <cell r="G41"/>
          <cell r="H41"/>
        </row>
        <row r="42">
          <cell r="B42" t="str">
            <v>Champignon snijder</v>
          </cell>
          <cell r="C42">
            <v>11</v>
          </cell>
          <cell r="D42">
            <v>11</v>
          </cell>
          <cell r="E42">
            <v>11</v>
          </cell>
          <cell r="F42"/>
          <cell r="G42"/>
          <cell r="H42"/>
        </row>
        <row r="43">
          <cell r="B43" t="str">
            <v>Chemisch spoelreiniging wasser</v>
          </cell>
          <cell r="C43">
            <v>22</v>
          </cell>
          <cell r="D43">
            <v>22</v>
          </cell>
          <cell r="E43">
            <v>22</v>
          </cell>
          <cell r="F43"/>
          <cell r="G43"/>
          <cell r="H43"/>
        </row>
        <row r="44">
          <cell r="B44" t="str">
            <v>Chinese hoed</v>
          </cell>
          <cell r="C44">
            <v>11</v>
          </cell>
          <cell r="D44">
            <v>11</v>
          </cell>
          <cell r="E44">
            <v>11</v>
          </cell>
          <cell r="F44"/>
          <cell r="G44"/>
          <cell r="H44"/>
        </row>
        <row r="45">
          <cell r="B45" t="str">
            <v>CSI Formeer/stapelaar 2x</v>
          </cell>
          <cell r="C45">
            <v>1056</v>
          </cell>
          <cell r="D45">
            <v>1056</v>
          </cell>
          <cell r="E45">
            <v>1056</v>
          </cell>
          <cell r="F45"/>
          <cell r="G45"/>
          <cell r="H45"/>
        </row>
        <row r="46">
          <cell r="B46" t="str">
            <v>CSI krattentrsp.en palletiseer trap en bordes</v>
          </cell>
          <cell r="C46">
            <v>11</v>
          </cell>
          <cell r="D46">
            <v>11</v>
          </cell>
          <cell r="E46">
            <v>11</v>
          </cell>
          <cell r="F46"/>
          <cell r="G46"/>
          <cell r="H46"/>
        </row>
        <row r="47">
          <cell r="B47" t="str">
            <v>CSI ontstapelaar/verenkelaar bakken  2x</v>
          </cell>
          <cell r="C47">
            <v>1056</v>
          </cell>
          <cell r="D47">
            <v>1056</v>
          </cell>
          <cell r="E47">
            <v>1056</v>
          </cell>
          <cell r="F47"/>
          <cell r="G47"/>
          <cell r="H47"/>
        </row>
        <row r="48">
          <cell r="B48" t="str">
            <v>Dipband</v>
          </cell>
          <cell r="C48">
            <v>16.5</v>
          </cell>
          <cell r="D48">
            <v>16.5</v>
          </cell>
          <cell r="E48">
            <v>16.5</v>
          </cell>
          <cell r="F48"/>
          <cell r="G48"/>
          <cell r="H48"/>
        </row>
        <row r="49">
          <cell r="B49" t="str">
            <v>Doceerschudder</v>
          </cell>
          <cell r="C49">
            <v>5.5</v>
          </cell>
          <cell r="D49">
            <v>5.5</v>
          </cell>
          <cell r="E49">
            <v>5.5</v>
          </cell>
          <cell r="F49"/>
          <cell r="G49"/>
          <cell r="H49"/>
        </row>
        <row r="50">
          <cell r="B50" t="str">
            <v>Dompelbak</v>
          </cell>
          <cell r="C50">
            <v>5.5</v>
          </cell>
          <cell r="D50">
            <v>5.5</v>
          </cell>
          <cell r="E50">
            <v>5.5</v>
          </cell>
          <cell r="F50"/>
          <cell r="G50"/>
          <cell r="H50"/>
        </row>
        <row r="51">
          <cell r="B51" t="str">
            <v>Droger</v>
          </cell>
          <cell r="C51">
            <v>5.5</v>
          </cell>
          <cell r="D51">
            <v>5.5</v>
          </cell>
          <cell r="E51">
            <v>5.5</v>
          </cell>
          <cell r="F51"/>
          <cell r="G51"/>
          <cell r="H51"/>
        </row>
        <row r="52">
          <cell r="B52" t="str">
            <v>Droogband</v>
          </cell>
          <cell r="C52">
            <v>7.7000000000000011</v>
          </cell>
          <cell r="D52">
            <v>7.7000000000000011</v>
          </cell>
          <cell r="E52">
            <v>7.7000000000000011</v>
          </cell>
          <cell r="F52"/>
          <cell r="G52"/>
          <cell r="H52"/>
        </row>
        <row r="53">
          <cell r="B53" t="str">
            <v>Droogband incl. ventilator</v>
          </cell>
          <cell r="C53">
            <v>8.6999999999999993</v>
          </cell>
          <cell r="D53">
            <v>8.6999999999999993</v>
          </cell>
          <cell r="E53">
            <v>8.6999999999999993</v>
          </cell>
          <cell r="F53"/>
          <cell r="G53"/>
          <cell r="H53"/>
        </row>
        <row r="54">
          <cell r="B54" t="str">
            <v>Droogband incl. ventilatoren en bak</v>
          </cell>
          <cell r="C54">
            <v>9.1999999999999993</v>
          </cell>
          <cell r="D54">
            <v>9.1999999999999993</v>
          </cell>
          <cell r="E54">
            <v>9.1999999999999993</v>
          </cell>
          <cell r="F54"/>
          <cell r="G54"/>
          <cell r="H54"/>
        </row>
        <row r="55">
          <cell r="B55" t="str">
            <v>Droogklopband incl. afzuigbuizen &amp; kast</v>
          </cell>
          <cell r="C55">
            <v>13.2</v>
          </cell>
          <cell r="D55">
            <v>13.2</v>
          </cell>
          <cell r="E55">
            <v>13.2</v>
          </cell>
          <cell r="F55"/>
          <cell r="G55"/>
          <cell r="H55"/>
        </row>
        <row r="56">
          <cell r="B56" t="str">
            <v>Druiven onttrosser</v>
          </cell>
          <cell r="C56">
            <v>8.8000000000000007</v>
          </cell>
          <cell r="D56">
            <v>8.8000000000000007</v>
          </cell>
          <cell r="E56">
            <v>8.8000000000000007</v>
          </cell>
          <cell r="F56"/>
          <cell r="G56"/>
          <cell r="H56"/>
        </row>
        <row r="57">
          <cell r="B57" t="str">
            <v>Druivenwasser</v>
          </cell>
          <cell r="C57">
            <v>2.2000000000000002</v>
          </cell>
          <cell r="D57">
            <v>2.2000000000000002</v>
          </cell>
          <cell r="E57">
            <v>2.2000000000000002</v>
          </cell>
          <cell r="F57"/>
          <cell r="G57"/>
          <cell r="H57"/>
        </row>
        <row r="58">
          <cell r="B58" t="str">
            <v>Dubbel bochttransport 180graden</v>
          </cell>
          <cell r="C58">
            <v>7.7000000000000011</v>
          </cell>
          <cell r="D58">
            <v>7.7000000000000011</v>
          </cell>
          <cell r="E58">
            <v>7.7000000000000011</v>
          </cell>
          <cell r="F58"/>
          <cell r="G58"/>
          <cell r="H58"/>
        </row>
        <row r="59">
          <cell r="B59" t="str">
            <v>Dwarsband</v>
          </cell>
          <cell r="C59">
            <v>5.5</v>
          </cell>
          <cell r="D59">
            <v>5.5</v>
          </cell>
          <cell r="E59">
            <v>5.5</v>
          </cell>
          <cell r="F59"/>
          <cell r="G59"/>
          <cell r="H59"/>
        </row>
        <row r="60">
          <cell r="B60" t="str">
            <v>Dwarstriller</v>
          </cell>
          <cell r="C60">
            <v>5.5</v>
          </cell>
          <cell r="D60">
            <v>5.5</v>
          </cell>
          <cell r="E60">
            <v>5.5</v>
          </cell>
          <cell r="F60"/>
          <cell r="G60"/>
          <cell r="H60"/>
        </row>
        <row r="61">
          <cell r="B61" t="str">
            <v>Dynamisch zeeffilter/waterbak</v>
          </cell>
          <cell r="C61">
            <v>16.5</v>
          </cell>
          <cell r="D61">
            <v>16.5</v>
          </cell>
          <cell r="E61">
            <v>16.5</v>
          </cell>
          <cell r="F61"/>
          <cell r="G61"/>
          <cell r="H61"/>
        </row>
        <row r="62">
          <cell r="B62" t="str">
            <v>Etiketeer machine</v>
          </cell>
          <cell r="C62">
            <v>1.1000000000000001</v>
          </cell>
          <cell r="D62">
            <v>1.1000000000000001</v>
          </cell>
          <cell r="E62">
            <v>1.1000000000000001</v>
          </cell>
          <cell r="F62"/>
          <cell r="G62"/>
          <cell r="H62"/>
        </row>
        <row r="63">
          <cell r="B63" t="str">
            <v>Etiketteermachine</v>
          </cell>
          <cell r="C63">
            <v>1.1000000000000001</v>
          </cell>
          <cell r="D63">
            <v>1.1000000000000001</v>
          </cell>
          <cell r="E63">
            <v>1.1000000000000001</v>
          </cell>
          <cell r="F63"/>
          <cell r="G63"/>
          <cell r="H63"/>
        </row>
        <row r="64">
          <cell r="B64" t="str">
            <v>Flotatie wasser</v>
          </cell>
          <cell r="C64">
            <v>19.8</v>
          </cell>
          <cell r="D64">
            <v>19.8</v>
          </cell>
          <cell r="E64">
            <v>19.8</v>
          </cell>
          <cell r="F64"/>
          <cell r="G64"/>
          <cell r="H64"/>
        </row>
        <row r="65">
          <cell r="B65" t="str">
            <v>Foodlife Kernhapper</v>
          </cell>
          <cell r="C65">
            <v>16.5</v>
          </cell>
          <cell r="D65">
            <v>16.5</v>
          </cell>
          <cell r="E65">
            <v>16.5</v>
          </cell>
          <cell r="F65"/>
          <cell r="G65"/>
          <cell r="H65"/>
        </row>
        <row r="66">
          <cell r="B66" t="str">
            <v>Frames en Ladderbanen</v>
          </cell>
          <cell r="C66">
            <v>11</v>
          </cell>
          <cell r="D66">
            <v>11</v>
          </cell>
          <cell r="E66">
            <v>11</v>
          </cell>
          <cell r="F66"/>
          <cell r="G66"/>
          <cell r="H66"/>
        </row>
        <row r="67">
          <cell r="B67" t="str">
            <v>Fruitwasser Ananas Food Technology</v>
          </cell>
          <cell r="C67">
            <v>16.5</v>
          </cell>
          <cell r="D67">
            <v>16.5</v>
          </cell>
          <cell r="E67">
            <v>16.5</v>
          </cell>
          <cell r="F67"/>
          <cell r="G67"/>
          <cell r="H67"/>
        </row>
        <row r="68">
          <cell r="B68" t="str">
            <v>Gaasband</v>
          </cell>
          <cell r="C68">
            <v>7.7000000000000011</v>
          </cell>
          <cell r="D68">
            <v>7.7000000000000011</v>
          </cell>
          <cell r="E68">
            <v>7.7000000000000011</v>
          </cell>
          <cell r="F68"/>
          <cell r="G68"/>
          <cell r="H68"/>
        </row>
        <row r="69">
          <cell r="B69" t="str">
            <v>Handopgooiband</v>
          </cell>
          <cell r="C69">
            <v>5.5</v>
          </cell>
          <cell r="D69">
            <v>5.5</v>
          </cell>
          <cell r="E69">
            <v>5.5</v>
          </cell>
          <cell r="F69"/>
          <cell r="G69"/>
          <cell r="H69"/>
        </row>
        <row r="70">
          <cell r="B70" t="str">
            <v>Horizontale pakmachine</v>
          </cell>
          <cell r="C70">
            <v>11</v>
          </cell>
          <cell r="D70">
            <v>11</v>
          </cell>
          <cell r="E70">
            <v>11</v>
          </cell>
          <cell r="F70"/>
          <cell r="G70"/>
          <cell r="H70"/>
        </row>
        <row r="71">
          <cell r="B71" t="str">
            <v>Hotmeltapparaat</v>
          </cell>
          <cell r="C71">
            <v>1.1000000000000001</v>
          </cell>
          <cell r="D71">
            <v>1.1000000000000001</v>
          </cell>
          <cell r="E71">
            <v>1.1000000000000001</v>
          </cell>
          <cell r="F71"/>
          <cell r="G71"/>
          <cell r="H71"/>
        </row>
        <row r="72">
          <cell r="B72" t="str">
            <v>Hygiëne sluis schuimreiniging</v>
          </cell>
          <cell r="C72">
            <v>3.9</v>
          </cell>
          <cell r="D72">
            <v>3.9</v>
          </cell>
          <cell r="E72">
            <v>3.9</v>
          </cell>
          <cell r="F72"/>
          <cell r="G72"/>
          <cell r="H72"/>
        </row>
        <row r="73">
          <cell r="B73" t="str">
            <v>Hygiëne sluis naloopronde</v>
          </cell>
          <cell r="C73">
            <v>2</v>
          </cell>
          <cell r="D73">
            <v>2</v>
          </cell>
          <cell r="E73">
            <v>2</v>
          </cell>
          <cell r="F73"/>
          <cell r="G73"/>
          <cell r="H73"/>
        </row>
        <row r="74">
          <cell r="B74" t="str">
            <v>Hygiëne sluis</v>
          </cell>
          <cell r="C74">
            <v>16.5</v>
          </cell>
          <cell r="D74">
            <v>16.5</v>
          </cell>
          <cell r="E74">
            <v>16.5</v>
          </cell>
          <cell r="F74"/>
          <cell r="G74"/>
          <cell r="H74"/>
        </row>
        <row r="75">
          <cell r="B75" t="str">
            <v>Inpakmachine</v>
          </cell>
          <cell r="C75">
            <v>11</v>
          </cell>
          <cell r="D75">
            <v>11</v>
          </cell>
          <cell r="E75">
            <v>11</v>
          </cell>
          <cell r="F75"/>
          <cell r="G75"/>
          <cell r="H75"/>
        </row>
        <row r="76">
          <cell r="B76" t="str">
            <v>Invoerband</v>
          </cell>
          <cell r="C76">
            <v>5.5</v>
          </cell>
          <cell r="D76">
            <v>5.5</v>
          </cell>
          <cell r="E76">
            <v>5.5</v>
          </cell>
          <cell r="F76"/>
          <cell r="G76"/>
          <cell r="H76"/>
        </row>
        <row r="77">
          <cell r="B77" t="str">
            <v>Invoerschudder</v>
          </cell>
          <cell r="C77">
            <v>5.5</v>
          </cell>
          <cell r="D77">
            <v>5.5</v>
          </cell>
          <cell r="E77">
            <v>5.5</v>
          </cell>
          <cell r="F77"/>
          <cell r="G77"/>
          <cell r="H77"/>
        </row>
        <row r="78">
          <cell r="B78" t="str">
            <v>Inzetcups</v>
          </cell>
          <cell r="C78">
            <v>11</v>
          </cell>
          <cell r="D78">
            <v>11</v>
          </cell>
          <cell r="E78">
            <v>11</v>
          </cell>
          <cell r="F78"/>
          <cell r="G78"/>
          <cell r="H78"/>
        </row>
        <row r="79">
          <cell r="B79" t="str">
            <v>Kaasstrooier</v>
          </cell>
          <cell r="C79">
            <v>11</v>
          </cell>
          <cell r="D79">
            <v>11</v>
          </cell>
          <cell r="E79">
            <v>11</v>
          </cell>
          <cell r="F79"/>
          <cell r="G79"/>
          <cell r="H79"/>
        </row>
        <row r="80">
          <cell r="B80" t="str">
            <v>Kabelbanen</v>
          </cell>
          <cell r="C80">
            <v>5.5</v>
          </cell>
          <cell r="D80">
            <v>5.5</v>
          </cell>
          <cell r="E80">
            <v>5.5</v>
          </cell>
          <cell r="F80"/>
          <cell r="G80"/>
          <cell r="H80"/>
        </row>
        <row r="81">
          <cell r="B81" t="str">
            <v>Kantoor</v>
          </cell>
          <cell r="C81">
            <v>0</v>
          </cell>
          <cell r="D81">
            <v>0</v>
          </cell>
          <cell r="E81">
            <v>0</v>
          </cell>
          <cell r="F81"/>
          <cell r="G81"/>
          <cell r="H81"/>
        </row>
        <row r="82">
          <cell r="B82" t="str">
            <v>Kartondispenser</v>
          </cell>
          <cell r="C82">
            <v>4.4000000000000004</v>
          </cell>
          <cell r="D82">
            <v>4.4000000000000004</v>
          </cell>
          <cell r="E82">
            <v>4.4000000000000004</v>
          </cell>
          <cell r="F82"/>
          <cell r="G82"/>
          <cell r="H82"/>
        </row>
        <row r="83">
          <cell r="B83" t="str">
            <v>Kartondispenser Deka Pack</v>
          </cell>
          <cell r="C83">
            <v>4.4000000000000004</v>
          </cell>
          <cell r="D83">
            <v>4.4000000000000004</v>
          </cell>
          <cell r="E83">
            <v>4.4000000000000004</v>
          </cell>
          <cell r="F83"/>
          <cell r="G83"/>
          <cell r="H83"/>
        </row>
        <row r="84">
          <cell r="B84" t="str">
            <v>Kartonneermachine</v>
          </cell>
          <cell r="C84">
            <v>5.5</v>
          </cell>
          <cell r="D84">
            <v>5.5</v>
          </cell>
          <cell r="E84">
            <v>5.5</v>
          </cell>
          <cell r="F84"/>
          <cell r="G84"/>
          <cell r="H84"/>
        </row>
        <row r="85">
          <cell r="B85" t="str">
            <v>Kartonneermachine</v>
          </cell>
          <cell r="C85">
            <v>5.5</v>
          </cell>
          <cell r="D85">
            <v>5.5</v>
          </cell>
          <cell r="E85">
            <v>5.5</v>
          </cell>
          <cell r="F85"/>
          <cell r="G85"/>
          <cell r="H85"/>
        </row>
        <row r="86">
          <cell r="B86" t="str">
            <v>Kistenkantelaar</v>
          </cell>
          <cell r="C86">
            <v>5.5</v>
          </cell>
          <cell r="D86">
            <v>5.5</v>
          </cell>
          <cell r="E86">
            <v>5.5</v>
          </cell>
          <cell r="F86"/>
          <cell r="G86"/>
          <cell r="H86"/>
        </row>
        <row r="87">
          <cell r="B87" t="str">
            <v>Kleedruimte</v>
          </cell>
          <cell r="C87">
            <v>0</v>
          </cell>
          <cell r="D87">
            <v>0</v>
          </cell>
          <cell r="E87">
            <v>0</v>
          </cell>
          <cell r="F87"/>
          <cell r="G87"/>
          <cell r="H87"/>
        </row>
        <row r="88">
          <cell r="B88" t="str">
            <v>Klopband</v>
          </cell>
          <cell r="C88">
            <v>11</v>
          </cell>
          <cell r="D88">
            <v>11</v>
          </cell>
          <cell r="E88">
            <v>11</v>
          </cell>
          <cell r="F88"/>
          <cell r="G88"/>
          <cell r="H88"/>
        </row>
        <row r="89">
          <cell r="B89" t="str">
            <v>Klopband/ontstener</v>
          </cell>
          <cell r="C89">
            <v>16.5</v>
          </cell>
          <cell r="D89">
            <v>16.5</v>
          </cell>
          <cell r="E89">
            <v>16.5</v>
          </cell>
          <cell r="F89"/>
          <cell r="G89"/>
          <cell r="H89"/>
        </row>
        <row r="90">
          <cell r="B90" t="str">
            <v>Komkommer ontkernmachine</v>
          </cell>
          <cell r="C90">
            <v>11</v>
          </cell>
          <cell r="D90">
            <v>11</v>
          </cell>
          <cell r="E90">
            <v>11</v>
          </cell>
          <cell r="F90"/>
          <cell r="G90"/>
          <cell r="H90"/>
        </row>
        <row r="91">
          <cell r="B91" t="str">
            <v>Kop-Kontmachine</v>
          </cell>
          <cell r="C91">
            <v>11</v>
          </cell>
          <cell r="D91">
            <v>11</v>
          </cell>
          <cell r="E91">
            <v>11</v>
          </cell>
          <cell r="F91"/>
          <cell r="G91"/>
          <cell r="H91"/>
        </row>
        <row r="92">
          <cell r="B92" t="str">
            <v>Knollenschraper</v>
          </cell>
          <cell r="C92">
            <v>11</v>
          </cell>
          <cell r="D92">
            <v>11</v>
          </cell>
          <cell r="E92">
            <v>11</v>
          </cell>
          <cell r="F92"/>
          <cell r="G92"/>
          <cell r="H92"/>
        </row>
        <row r="93">
          <cell r="B93" t="str">
            <v>Kratten(ont)stapelaar</v>
          </cell>
          <cell r="C93">
            <v>11</v>
          </cell>
          <cell r="D93">
            <v>11</v>
          </cell>
          <cell r="E93">
            <v>11</v>
          </cell>
          <cell r="F93"/>
          <cell r="G93"/>
          <cell r="H93"/>
        </row>
        <row r="94">
          <cell r="B94" t="str">
            <v>Krattendroger</v>
          </cell>
          <cell r="C94">
            <v>11</v>
          </cell>
          <cell r="D94">
            <v>11</v>
          </cell>
          <cell r="E94">
            <v>11</v>
          </cell>
          <cell r="F94"/>
          <cell r="G94"/>
          <cell r="H94"/>
        </row>
        <row r="95">
          <cell r="B95" t="str">
            <v>Krattenrollenbaan</v>
          </cell>
          <cell r="C95">
            <v>11</v>
          </cell>
          <cell r="D95">
            <v>11</v>
          </cell>
          <cell r="E95">
            <v>11</v>
          </cell>
          <cell r="F95"/>
          <cell r="G95"/>
          <cell r="H95"/>
        </row>
        <row r="96">
          <cell r="B96" t="str">
            <v>Krattenwasser</v>
          </cell>
          <cell r="C96">
            <v>16.5</v>
          </cell>
          <cell r="D96">
            <v>16.5</v>
          </cell>
          <cell r="E96">
            <v>16.5</v>
          </cell>
          <cell r="F96"/>
          <cell r="G96"/>
          <cell r="H96"/>
        </row>
        <row r="97">
          <cell r="B97" t="str">
            <v>Krimptunnel</v>
          </cell>
          <cell r="C97">
            <v>3.3000000000000003</v>
          </cell>
          <cell r="D97">
            <v>3.3000000000000003</v>
          </cell>
          <cell r="E97">
            <v>3.3000000000000003</v>
          </cell>
          <cell r="F97"/>
          <cell r="G97"/>
          <cell r="H97"/>
        </row>
        <row r="98">
          <cell r="B98" t="str">
            <v>Kuubkistenwasser zuurbehandeling</v>
          </cell>
          <cell r="C98">
            <v>0</v>
          </cell>
          <cell r="D98">
            <v>45</v>
          </cell>
          <cell r="E98"/>
          <cell r="F98"/>
          <cell r="G98"/>
          <cell r="H98"/>
        </row>
        <row r="99">
          <cell r="B99" t="str">
            <v>Leesband</v>
          </cell>
          <cell r="C99">
            <v>5.5</v>
          </cell>
          <cell r="D99">
            <v>5.5</v>
          </cell>
          <cell r="E99">
            <v>5.5</v>
          </cell>
          <cell r="F99"/>
          <cell r="G99"/>
          <cell r="H99"/>
        </row>
        <row r="100">
          <cell r="B100" t="str">
            <v>Leesband incl. kwarteermes &amp; plank</v>
          </cell>
          <cell r="C100">
            <v>6.5</v>
          </cell>
          <cell r="D100">
            <v>6.5</v>
          </cell>
          <cell r="E100">
            <v>6.5</v>
          </cell>
          <cell r="F100"/>
          <cell r="G100"/>
          <cell r="H100"/>
        </row>
        <row r="101">
          <cell r="B101" t="str">
            <v>Lift</v>
          </cell>
          <cell r="C101">
            <v>7.7000000000000011</v>
          </cell>
          <cell r="D101">
            <v>7.7000000000000011</v>
          </cell>
          <cell r="E101">
            <v>7.7000000000000011</v>
          </cell>
          <cell r="F101"/>
          <cell r="G101"/>
          <cell r="H101"/>
        </row>
        <row r="102">
          <cell r="B102" t="str">
            <v>Mand</v>
          </cell>
          <cell r="C102">
            <v>6</v>
          </cell>
          <cell r="D102">
            <v>6</v>
          </cell>
          <cell r="E102">
            <v>6</v>
          </cell>
          <cell r="F102"/>
          <cell r="G102"/>
          <cell r="H102"/>
        </row>
        <row r="103">
          <cell r="B103" t="str">
            <v>Mango ontpitter</v>
          </cell>
          <cell r="C103">
            <v>11</v>
          </cell>
          <cell r="D103">
            <v>11</v>
          </cell>
          <cell r="E103">
            <v>11</v>
          </cell>
          <cell r="F103"/>
          <cell r="G103"/>
          <cell r="H103"/>
        </row>
        <row r="104">
          <cell r="B104" t="str">
            <v>Mango poetsband</v>
          </cell>
          <cell r="C104">
            <v>5.5</v>
          </cell>
          <cell r="D104">
            <v>5.5</v>
          </cell>
          <cell r="E104">
            <v>5.5</v>
          </cell>
          <cell r="F104"/>
          <cell r="G104"/>
          <cell r="H104"/>
        </row>
        <row r="105">
          <cell r="B105" t="str">
            <v>Mangowasser</v>
          </cell>
          <cell r="C105">
            <v>16.5</v>
          </cell>
          <cell r="D105">
            <v>16.5</v>
          </cell>
          <cell r="E105">
            <v>16.5</v>
          </cell>
          <cell r="F105"/>
          <cell r="G105"/>
          <cell r="H105"/>
        </row>
        <row r="106">
          <cell r="B106" t="str">
            <v>Manifoid spoelsysteem</v>
          </cell>
          <cell r="C106">
            <v>11</v>
          </cell>
          <cell r="D106">
            <v>11</v>
          </cell>
          <cell r="E106">
            <v>11</v>
          </cell>
          <cell r="F106"/>
          <cell r="G106"/>
          <cell r="H106"/>
        </row>
        <row r="107">
          <cell r="B107" t="str">
            <v>Meloen partjes snijder</v>
          </cell>
          <cell r="C107">
            <v>11</v>
          </cell>
          <cell r="D107">
            <v>11</v>
          </cell>
          <cell r="E107">
            <v>11</v>
          </cell>
          <cell r="F107"/>
          <cell r="G107"/>
          <cell r="H107"/>
        </row>
        <row r="108">
          <cell r="B108" t="str">
            <v>Menger</v>
          </cell>
          <cell r="C108">
            <v>22</v>
          </cell>
          <cell r="D108">
            <v>22</v>
          </cell>
          <cell r="E108">
            <v>22</v>
          </cell>
          <cell r="F108"/>
          <cell r="G108"/>
          <cell r="H108"/>
        </row>
        <row r="109">
          <cell r="B109" t="str">
            <v>Messenlift</v>
          </cell>
          <cell r="C109">
            <v>5.5</v>
          </cell>
          <cell r="D109">
            <v>5.5</v>
          </cell>
          <cell r="E109">
            <v>5.5</v>
          </cell>
          <cell r="F109"/>
          <cell r="G109"/>
          <cell r="H109"/>
        </row>
        <row r="110">
          <cell r="B110" t="str">
            <v>Messenkast</v>
          </cell>
          <cell r="C110">
            <v>2.2000000000000002</v>
          </cell>
          <cell r="D110">
            <v>2.2000000000000002</v>
          </cell>
          <cell r="E110">
            <v>2.2000000000000002</v>
          </cell>
          <cell r="F110"/>
          <cell r="G110"/>
          <cell r="H110"/>
        </row>
        <row r="111">
          <cell r="B111" t="str">
            <v>Messenhuizen extra desinfecteren</v>
          </cell>
          <cell r="C111">
            <v>3.33</v>
          </cell>
          <cell r="D111">
            <v>3.33</v>
          </cell>
          <cell r="E111">
            <v>3.33</v>
          </cell>
          <cell r="F111"/>
          <cell r="G111"/>
          <cell r="H111"/>
        </row>
        <row r="112">
          <cell r="B112" t="str">
            <v xml:space="preserve">Metaaldetector </v>
          </cell>
          <cell r="C112">
            <v>2.2000000000000002</v>
          </cell>
          <cell r="D112">
            <v>2.2000000000000002</v>
          </cell>
          <cell r="E112">
            <v>2.2000000000000002</v>
          </cell>
          <cell r="F112"/>
          <cell r="G112"/>
          <cell r="H112"/>
        </row>
        <row r="113">
          <cell r="B113" t="str">
            <v>Monitor</v>
          </cell>
          <cell r="C113">
            <v>0.2</v>
          </cell>
          <cell r="D113">
            <v>0.2</v>
          </cell>
          <cell r="E113">
            <v>0.2</v>
          </cell>
          <cell r="F113"/>
          <cell r="G113"/>
          <cell r="H113"/>
        </row>
        <row r="114">
          <cell r="B114" t="str">
            <v>Nvt</v>
          </cell>
          <cell r="C114"/>
          <cell r="D114"/>
          <cell r="E114"/>
          <cell r="F114"/>
          <cell r="G114"/>
          <cell r="H114"/>
        </row>
        <row r="115">
          <cell r="B115" t="str">
            <v>Omkasting blazer/windsifter</v>
          </cell>
          <cell r="C115">
            <v>1</v>
          </cell>
          <cell r="D115">
            <v>1</v>
          </cell>
          <cell r="E115">
            <v>1</v>
          </cell>
          <cell r="F115"/>
          <cell r="G115"/>
          <cell r="H115"/>
        </row>
        <row r="116">
          <cell r="B116" t="str">
            <v>Omloopband Sleeve machine</v>
          </cell>
          <cell r="C116">
            <v>5.5</v>
          </cell>
          <cell r="D116">
            <v>5.5</v>
          </cell>
          <cell r="E116">
            <v>5.5</v>
          </cell>
          <cell r="F116"/>
          <cell r="G116"/>
          <cell r="H116"/>
        </row>
        <row r="117">
          <cell r="B117" t="str">
            <v>Ompakstation</v>
          </cell>
          <cell r="C117">
            <v>22</v>
          </cell>
          <cell r="D117">
            <v>22</v>
          </cell>
          <cell r="E117">
            <v>22</v>
          </cell>
          <cell r="F117"/>
          <cell r="G117"/>
          <cell r="H117"/>
        </row>
        <row r="118">
          <cell r="B118" t="str">
            <v>Ontdooiruimte 24</v>
          </cell>
          <cell r="C118">
            <v>0</v>
          </cell>
          <cell r="D118">
            <v>0</v>
          </cell>
          <cell r="E118">
            <v>0</v>
          </cell>
          <cell r="F118"/>
          <cell r="G118"/>
          <cell r="H118"/>
        </row>
        <row r="119">
          <cell r="B119" t="str">
            <v>Ontnester</v>
          </cell>
          <cell r="C119">
            <v>4.4000000000000004</v>
          </cell>
          <cell r="D119">
            <v>4.4000000000000004</v>
          </cell>
          <cell r="E119">
            <v>4.4000000000000004</v>
          </cell>
          <cell r="F119"/>
          <cell r="G119"/>
          <cell r="H119"/>
        </row>
        <row r="120">
          <cell r="B120" t="str">
            <v>Ontnester/schaalopzetter</v>
          </cell>
          <cell r="C120">
            <v>5.5</v>
          </cell>
          <cell r="D120">
            <v>5.5</v>
          </cell>
          <cell r="E120">
            <v>5.5</v>
          </cell>
          <cell r="F120"/>
          <cell r="G120"/>
          <cell r="H120"/>
        </row>
        <row r="121">
          <cell r="B121" t="str">
            <v>Ontpunter</v>
          </cell>
          <cell r="C121">
            <v>16.5</v>
          </cell>
          <cell r="D121">
            <v>16.5</v>
          </cell>
          <cell r="E121">
            <v>16.5</v>
          </cell>
          <cell r="F121"/>
          <cell r="G121"/>
          <cell r="H121"/>
        </row>
        <row r="122">
          <cell r="B122" t="str">
            <v>Ontstapel/voeding bakken</v>
          </cell>
          <cell r="C122">
            <v>33</v>
          </cell>
          <cell r="D122">
            <v>33</v>
          </cell>
          <cell r="E122">
            <v>33</v>
          </cell>
          <cell r="F122"/>
          <cell r="G122"/>
          <cell r="H122"/>
        </row>
        <row r="123">
          <cell r="B123" t="str">
            <v>Ontsteningsband</v>
          </cell>
          <cell r="C123">
            <v>7.7000000000000011</v>
          </cell>
          <cell r="D123">
            <v>7.7000000000000011</v>
          </cell>
          <cell r="E123">
            <v>7.7000000000000011</v>
          </cell>
          <cell r="F123"/>
          <cell r="G123"/>
          <cell r="H123"/>
        </row>
        <row r="124">
          <cell r="B124" t="str">
            <v>Ontwateringsband</v>
          </cell>
          <cell r="C124">
            <v>7.7000000000000011</v>
          </cell>
          <cell r="D124">
            <v>7.7000000000000011</v>
          </cell>
          <cell r="E124">
            <v>7.7000000000000011</v>
          </cell>
          <cell r="F124"/>
          <cell r="G124"/>
          <cell r="H124"/>
        </row>
        <row r="125">
          <cell r="B125" t="str">
            <v>Ontwateringsband incl. ventilatoren en bak</v>
          </cell>
          <cell r="C125">
            <v>11.2</v>
          </cell>
          <cell r="D125">
            <v>11.2</v>
          </cell>
          <cell r="E125">
            <v>11.2</v>
          </cell>
          <cell r="F125"/>
          <cell r="G125"/>
          <cell r="H125"/>
        </row>
        <row r="126">
          <cell r="B126" t="str">
            <v>Ontwateringsdek</v>
          </cell>
          <cell r="C126">
            <v>6.6000000000000005</v>
          </cell>
          <cell r="D126">
            <v>6.6000000000000005</v>
          </cell>
          <cell r="E126">
            <v>6.6000000000000005</v>
          </cell>
          <cell r="F126"/>
          <cell r="G126"/>
          <cell r="H126"/>
        </row>
        <row r="127">
          <cell r="B127" t="str">
            <v>Opgooiband</v>
          </cell>
          <cell r="C127">
            <v>5.5</v>
          </cell>
          <cell r="D127">
            <v>5.5</v>
          </cell>
          <cell r="E127">
            <v>5.5</v>
          </cell>
          <cell r="F127"/>
          <cell r="G127"/>
          <cell r="H127"/>
        </row>
        <row r="128">
          <cell r="B128" t="str">
            <v>Oplegband</v>
          </cell>
          <cell r="C128">
            <v>5.5</v>
          </cell>
          <cell r="D128">
            <v>5.5</v>
          </cell>
          <cell r="E128">
            <v>5.5</v>
          </cell>
          <cell r="F128"/>
          <cell r="G128"/>
          <cell r="H128"/>
        </row>
        <row r="129">
          <cell r="B129" t="str">
            <v>Opslag</v>
          </cell>
          <cell r="C129">
            <v>5.5</v>
          </cell>
          <cell r="D129">
            <v>5.5</v>
          </cell>
          <cell r="E129">
            <v>5.5</v>
          </cell>
          <cell r="F129"/>
          <cell r="G129"/>
          <cell r="H129"/>
        </row>
        <row r="130">
          <cell r="B130" t="str">
            <v>Opstap/bordes</v>
          </cell>
          <cell r="C130">
            <v>2.2000000000000002</v>
          </cell>
          <cell r="D130">
            <v>2.2000000000000002</v>
          </cell>
          <cell r="E130">
            <v>2.2000000000000002</v>
          </cell>
          <cell r="F130"/>
          <cell r="G130"/>
          <cell r="H130"/>
        </row>
        <row r="131">
          <cell r="B131" t="str">
            <v>Optische sorteerder</v>
          </cell>
          <cell r="C131">
            <v>22</v>
          </cell>
          <cell r="D131">
            <v>22</v>
          </cell>
          <cell r="E131">
            <v>22</v>
          </cell>
          <cell r="F131"/>
          <cell r="G131"/>
          <cell r="H131"/>
        </row>
        <row r="132">
          <cell r="B132" t="str">
            <v>Opvangbakkenrek</v>
          </cell>
          <cell r="C132">
            <v>5.5</v>
          </cell>
          <cell r="D132">
            <v>5.5</v>
          </cell>
          <cell r="E132">
            <v>5.5</v>
          </cell>
          <cell r="F132"/>
          <cell r="G132"/>
          <cell r="H132"/>
        </row>
        <row r="133">
          <cell r="B133" t="str">
            <v>Opvoerbaan</v>
          </cell>
          <cell r="C133">
            <v>11</v>
          </cell>
          <cell r="D133">
            <v>11</v>
          </cell>
          <cell r="E133">
            <v>11</v>
          </cell>
          <cell r="F133"/>
          <cell r="G133"/>
          <cell r="H133"/>
        </row>
        <row r="134">
          <cell r="B134" t="str">
            <v>Opvoerband</v>
          </cell>
          <cell r="C134">
            <v>11</v>
          </cell>
          <cell r="D134">
            <v>11</v>
          </cell>
          <cell r="E134">
            <v>11</v>
          </cell>
          <cell r="F134"/>
          <cell r="G134"/>
          <cell r="H134"/>
        </row>
        <row r="135">
          <cell r="B135" t="str">
            <v>Opvoerknikband</v>
          </cell>
          <cell r="C135">
            <v>11</v>
          </cell>
          <cell r="D135">
            <v>11</v>
          </cell>
          <cell r="E135">
            <v>11</v>
          </cell>
          <cell r="F135"/>
          <cell r="G135"/>
          <cell r="H135"/>
        </row>
        <row r="136">
          <cell r="B136" t="str">
            <v>P&amp;P Robot</v>
          </cell>
          <cell r="C136">
            <v>16.5</v>
          </cell>
          <cell r="D136">
            <v>16.5</v>
          </cell>
          <cell r="E136">
            <v>16.5</v>
          </cell>
          <cell r="F136"/>
          <cell r="G136"/>
          <cell r="H136"/>
        </row>
        <row r="137">
          <cell r="B137" t="str">
            <v>Pak/draaitafel</v>
          </cell>
          <cell r="C137">
            <v>3.3000000000000003</v>
          </cell>
          <cell r="D137">
            <v>3.3000000000000003</v>
          </cell>
          <cell r="E137">
            <v>3.3000000000000003</v>
          </cell>
          <cell r="F137"/>
          <cell r="G137"/>
          <cell r="H137"/>
        </row>
        <row r="138">
          <cell r="B138" t="str">
            <v>Palettiseer installatie</v>
          </cell>
          <cell r="C138">
            <v>11</v>
          </cell>
          <cell r="D138">
            <v>11</v>
          </cell>
          <cell r="E138">
            <v>11</v>
          </cell>
          <cell r="F138"/>
          <cell r="G138"/>
          <cell r="H138"/>
        </row>
        <row r="139">
          <cell r="B139" t="str">
            <v>Palletbindstation</v>
          </cell>
          <cell r="C139">
            <v>11</v>
          </cell>
          <cell r="D139">
            <v>11</v>
          </cell>
          <cell r="E139">
            <v>11</v>
          </cell>
          <cell r="F139"/>
          <cell r="G139"/>
          <cell r="H139"/>
        </row>
        <row r="140">
          <cell r="B140" t="str">
            <v>Palletdoorvoer</v>
          </cell>
          <cell r="C140">
            <v>16.5</v>
          </cell>
          <cell r="D140">
            <v>16.5</v>
          </cell>
          <cell r="E140">
            <v>16.5</v>
          </cell>
          <cell r="F140"/>
          <cell r="G140"/>
          <cell r="H140"/>
        </row>
        <row r="141">
          <cell r="B141" t="str">
            <v>Palletlift</v>
          </cell>
          <cell r="C141">
            <v>7.7000000000000011</v>
          </cell>
          <cell r="D141">
            <v>7.7000000000000011</v>
          </cell>
          <cell r="E141">
            <v>7.7000000000000011</v>
          </cell>
          <cell r="F141"/>
          <cell r="G141"/>
          <cell r="H141"/>
        </row>
        <row r="142">
          <cell r="B142" t="str">
            <v>Palletwasser</v>
          </cell>
          <cell r="C142">
            <v>22</v>
          </cell>
          <cell r="D142">
            <v>22</v>
          </cell>
          <cell r="E142">
            <v>22</v>
          </cell>
          <cell r="F142"/>
          <cell r="G142"/>
          <cell r="H142"/>
        </row>
        <row r="143">
          <cell r="B143" t="str">
            <v>Parteerder</v>
          </cell>
          <cell r="C143">
            <v>16.5</v>
          </cell>
          <cell r="D143">
            <v>16.5</v>
          </cell>
          <cell r="E143">
            <v>16.5</v>
          </cell>
          <cell r="F143"/>
          <cell r="G143"/>
          <cell r="H143"/>
        </row>
        <row r="144">
          <cell r="B144" t="str">
            <v>Paternosters 2x</v>
          </cell>
          <cell r="C144">
            <v>528</v>
          </cell>
          <cell r="D144">
            <v>528</v>
          </cell>
          <cell r="E144">
            <v>528</v>
          </cell>
          <cell r="F144"/>
          <cell r="G144"/>
          <cell r="H144"/>
        </row>
        <row r="145">
          <cell r="B145" t="str">
            <v>Kratrek</v>
          </cell>
          <cell r="C145">
            <v>2.2000000000000002</v>
          </cell>
          <cell r="D145">
            <v>2.2000000000000002</v>
          </cell>
          <cell r="E145">
            <v>2.2000000000000002</v>
          </cell>
          <cell r="F145"/>
          <cell r="G145"/>
          <cell r="H145"/>
        </row>
        <row r="146">
          <cell r="B146" t="str">
            <v>Pick&amp;place kratvul</v>
          </cell>
          <cell r="C146">
            <v>16.5</v>
          </cell>
          <cell r="D146">
            <v>16.5</v>
          </cell>
          <cell r="E146">
            <v>16.5</v>
          </cell>
          <cell r="F146"/>
          <cell r="G146"/>
          <cell r="H146"/>
        </row>
        <row r="147">
          <cell r="B147" t="str">
            <v>Pick&amp;place robotsysteem zakjes</v>
          </cell>
          <cell r="C147">
            <v>16.5</v>
          </cell>
          <cell r="D147">
            <v>16.5</v>
          </cell>
          <cell r="E147">
            <v>16.5</v>
          </cell>
          <cell r="F147"/>
          <cell r="G147"/>
          <cell r="H147"/>
        </row>
        <row r="148">
          <cell r="B148" t="str">
            <v>Pick&amp;place robotsysteem zakjes</v>
          </cell>
          <cell r="C148">
            <v>16.5</v>
          </cell>
          <cell r="D148">
            <v>16.5</v>
          </cell>
          <cell r="E148">
            <v>16.5</v>
          </cell>
          <cell r="F148"/>
          <cell r="G148"/>
          <cell r="H148"/>
        </row>
        <row r="149">
          <cell r="B149" t="str">
            <v>Polijster Remie</v>
          </cell>
          <cell r="C149">
            <v>11</v>
          </cell>
          <cell r="D149">
            <v>11</v>
          </cell>
          <cell r="E149">
            <v>11</v>
          </cell>
          <cell r="F149"/>
          <cell r="G149"/>
          <cell r="H149"/>
        </row>
        <row r="150">
          <cell r="B150" t="str">
            <v>Pompbak</v>
          </cell>
          <cell r="C150">
            <v>5.5</v>
          </cell>
          <cell r="D150">
            <v>5.5</v>
          </cell>
          <cell r="E150">
            <v>5.5</v>
          </cell>
          <cell r="F150"/>
          <cell r="G150"/>
          <cell r="H150"/>
        </row>
        <row r="151">
          <cell r="B151" t="str">
            <v>Preimachine</v>
          </cell>
          <cell r="C151">
            <v>11</v>
          </cell>
          <cell r="D151">
            <v>11</v>
          </cell>
          <cell r="E151">
            <v>11</v>
          </cell>
          <cell r="F151"/>
          <cell r="G151"/>
          <cell r="H151"/>
        </row>
        <row r="152">
          <cell r="B152" t="str">
            <v>Printer</v>
          </cell>
          <cell r="C152">
            <v>2.2000000000000002</v>
          </cell>
          <cell r="D152">
            <v>2.2000000000000002</v>
          </cell>
          <cell r="E152">
            <v>2.2000000000000002</v>
          </cell>
          <cell r="F152"/>
          <cell r="G152"/>
          <cell r="H152"/>
        </row>
        <row r="153">
          <cell r="B153" t="str">
            <v xml:space="preserve">Printer </v>
          </cell>
          <cell r="C153">
            <v>2.2000000000000002</v>
          </cell>
          <cell r="D153">
            <v>2.2000000000000002</v>
          </cell>
          <cell r="E153">
            <v>2.2000000000000002</v>
          </cell>
          <cell r="F153"/>
          <cell r="G153"/>
          <cell r="H153"/>
        </row>
        <row r="154">
          <cell r="B154" t="str">
            <v>Printer Domino</v>
          </cell>
          <cell r="C154">
            <v>2.2000000000000002</v>
          </cell>
          <cell r="D154">
            <v>2.2000000000000002</v>
          </cell>
          <cell r="E154">
            <v>2.2000000000000002</v>
          </cell>
          <cell r="F154"/>
          <cell r="G154"/>
          <cell r="H154"/>
        </row>
        <row r="155">
          <cell r="B155" t="str">
            <v>Productie ruimte 08</v>
          </cell>
          <cell r="C155">
            <v>0</v>
          </cell>
          <cell r="D155">
            <v>0</v>
          </cell>
          <cell r="E155">
            <v>0</v>
          </cell>
          <cell r="F155"/>
          <cell r="G155"/>
          <cell r="H155"/>
        </row>
        <row r="156">
          <cell r="B156" t="str">
            <v>Productie ruimte 10</v>
          </cell>
          <cell r="C156">
            <v>0</v>
          </cell>
          <cell r="D156">
            <v>0</v>
          </cell>
          <cell r="E156">
            <v>0</v>
          </cell>
          <cell r="F156"/>
          <cell r="G156"/>
          <cell r="H156"/>
        </row>
        <row r="157">
          <cell r="B157" t="str">
            <v>Productie ruimte 17</v>
          </cell>
          <cell r="C157">
            <v>0</v>
          </cell>
          <cell r="D157">
            <v>0</v>
          </cell>
          <cell r="E157">
            <v>0</v>
          </cell>
          <cell r="F157"/>
          <cell r="G157"/>
          <cell r="H157"/>
        </row>
        <row r="158">
          <cell r="B158" t="str">
            <v>Profileermachine</v>
          </cell>
          <cell r="C158">
            <v>11</v>
          </cell>
          <cell r="D158">
            <v>11</v>
          </cell>
          <cell r="E158">
            <v>11</v>
          </cell>
          <cell r="F158"/>
          <cell r="G158"/>
          <cell r="H158"/>
        </row>
        <row r="159">
          <cell r="B159" t="str">
            <v>Randbesturing</v>
          </cell>
          <cell r="C159">
            <v>1.1000000000000001</v>
          </cell>
          <cell r="D159">
            <v>1.1000000000000001</v>
          </cell>
          <cell r="E159">
            <v>1.1000000000000001</v>
          </cell>
          <cell r="F159"/>
          <cell r="G159"/>
          <cell r="H159"/>
        </row>
        <row r="160">
          <cell r="B160" t="str">
            <v xml:space="preserve">Randbesturingkast </v>
          </cell>
          <cell r="C160">
            <v>1.1000000000000001</v>
          </cell>
          <cell r="D160">
            <v>1.1000000000000001</v>
          </cell>
          <cell r="E160">
            <v>1.1000000000000001</v>
          </cell>
          <cell r="F160"/>
          <cell r="G160"/>
          <cell r="H160"/>
        </row>
        <row r="161">
          <cell r="B161" t="str">
            <v>Retourbaan volle kratten 2x</v>
          </cell>
          <cell r="C161">
            <v>11</v>
          </cell>
          <cell r="D161">
            <v>11</v>
          </cell>
          <cell r="E161">
            <v>11</v>
          </cell>
          <cell r="F161"/>
          <cell r="G161"/>
          <cell r="H161"/>
        </row>
        <row r="162">
          <cell r="B162" t="str">
            <v>Roldeuren</v>
          </cell>
          <cell r="C162">
            <v>11</v>
          </cell>
          <cell r="D162">
            <v>11</v>
          </cell>
          <cell r="E162">
            <v>11</v>
          </cell>
          <cell r="F162"/>
          <cell r="G162"/>
          <cell r="H162"/>
        </row>
        <row r="163">
          <cell r="B163" t="str">
            <v>Rollenbaan toevoer</v>
          </cell>
          <cell r="C163">
            <v>3.3000000000000003</v>
          </cell>
          <cell r="D163">
            <v>3.3000000000000003</v>
          </cell>
          <cell r="E163">
            <v>3.3000000000000003</v>
          </cell>
          <cell r="F163"/>
          <cell r="G163"/>
          <cell r="H163"/>
        </row>
        <row r="164">
          <cell r="B164" t="str">
            <v>Rollerbaan bodemvoorraad</v>
          </cell>
          <cell r="C164">
            <v>5.5</v>
          </cell>
          <cell r="D164">
            <v>5.5</v>
          </cell>
          <cell r="E164">
            <v>5.5</v>
          </cell>
          <cell r="F164"/>
          <cell r="G164"/>
          <cell r="H164"/>
        </row>
        <row r="165">
          <cell r="B165" t="str">
            <v>Ruimte 21 vloer</v>
          </cell>
          <cell r="C165">
            <v>0</v>
          </cell>
          <cell r="D165">
            <v>0</v>
          </cell>
          <cell r="E165">
            <v>0</v>
          </cell>
          <cell r="F165"/>
          <cell r="G165"/>
          <cell r="H165"/>
        </row>
        <row r="166">
          <cell r="B166" t="str">
            <v>Ruimte 22</v>
          </cell>
          <cell r="C166">
            <v>0</v>
          </cell>
          <cell r="D166">
            <v>0</v>
          </cell>
          <cell r="E166">
            <v>0</v>
          </cell>
          <cell r="F166"/>
          <cell r="G166"/>
          <cell r="H166"/>
        </row>
        <row r="167">
          <cell r="B167" t="str">
            <v>RVS brug</v>
          </cell>
          <cell r="C167">
            <v>198.00000000000003</v>
          </cell>
          <cell r="D167">
            <v>198.00000000000003</v>
          </cell>
          <cell r="E167">
            <v>198.00000000000003</v>
          </cell>
          <cell r="F167"/>
          <cell r="G167"/>
          <cell r="H167"/>
        </row>
        <row r="168">
          <cell r="B168" t="str">
            <v>Opgenomen in programma 202-365</v>
          </cell>
          <cell r="C168">
            <v>0</v>
          </cell>
          <cell r="D168">
            <v>0</v>
          </cell>
          <cell r="E168">
            <v>0</v>
          </cell>
          <cell r="F168"/>
          <cell r="G168"/>
          <cell r="H168"/>
        </row>
        <row r="169">
          <cell r="B169" t="str">
            <v>Sauspomp</v>
          </cell>
          <cell r="C169">
            <v>5.5</v>
          </cell>
          <cell r="D169">
            <v>5.5</v>
          </cell>
          <cell r="E169">
            <v>5.5</v>
          </cell>
          <cell r="F169"/>
          <cell r="G169"/>
          <cell r="H169"/>
        </row>
        <row r="170">
          <cell r="B170" t="str">
            <v>Sausstation</v>
          </cell>
          <cell r="C170">
            <v>5.5</v>
          </cell>
          <cell r="D170">
            <v>5.5</v>
          </cell>
          <cell r="E170">
            <v>5.5</v>
          </cell>
          <cell r="F170"/>
          <cell r="G170"/>
          <cell r="H170"/>
        </row>
        <row r="171">
          <cell r="B171" t="str">
            <v>Schaalopzetter</v>
          </cell>
          <cell r="C171">
            <v>5.5</v>
          </cell>
          <cell r="D171">
            <v>5.5</v>
          </cell>
          <cell r="E171">
            <v>5.5</v>
          </cell>
          <cell r="F171"/>
          <cell r="G171"/>
          <cell r="H171"/>
        </row>
        <row r="172">
          <cell r="B172" t="str">
            <v>Schiller</v>
          </cell>
          <cell r="C172">
            <v>5.5</v>
          </cell>
          <cell r="D172">
            <v>5.5</v>
          </cell>
          <cell r="E172">
            <v>5.5</v>
          </cell>
          <cell r="F172"/>
          <cell r="G172"/>
          <cell r="H172"/>
        </row>
        <row r="173">
          <cell r="B173" t="str">
            <v>Schraptrommel</v>
          </cell>
          <cell r="C173">
            <v>11</v>
          </cell>
          <cell r="D173">
            <v>11</v>
          </cell>
          <cell r="E173">
            <v>11</v>
          </cell>
          <cell r="F173"/>
          <cell r="G173"/>
          <cell r="H173"/>
        </row>
        <row r="174">
          <cell r="B174" t="str">
            <v>Schudder</v>
          </cell>
          <cell r="C174">
            <v>7.7000000000000011</v>
          </cell>
          <cell r="D174">
            <v>7.7000000000000011</v>
          </cell>
          <cell r="E174">
            <v>7.7000000000000011</v>
          </cell>
          <cell r="F174"/>
          <cell r="G174"/>
          <cell r="H174"/>
        </row>
        <row r="175">
          <cell r="B175" t="str">
            <v>Sealblok</v>
          </cell>
          <cell r="C175">
            <v>2.2000000000000002</v>
          </cell>
          <cell r="D175">
            <v>2.2000000000000002</v>
          </cell>
          <cell r="E175">
            <v>2.2000000000000002</v>
          </cell>
          <cell r="F175"/>
          <cell r="G175"/>
          <cell r="H175"/>
        </row>
        <row r="176">
          <cell r="B176" t="str">
            <v>Seal pack</v>
          </cell>
          <cell r="C176">
            <v>11</v>
          </cell>
          <cell r="D176">
            <v>11</v>
          </cell>
          <cell r="E176">
            <v>11</v>
          </cell>
          <cell r="F176"/>
          <cell r="G176"/>
          <cell r="H176"/>
        </row>
        <row r="177">
          <cell r="B177" t="str">
            <v>Segmenteermachine</v>
          </cell>
          <cell r="C177">
            <v>7.7000000000000011</v>
          </cell>
          <cell r="D177">
            <v>7.7000000000000011</v>
          </cell>
          <cell r="E177">
            <v>7.7000000000000011</v>
          </cell>
          <cell r="F177"/>
          <cell r="G177"/>
          <cell r="H177"/>
        </row>
        <row r="178">
          <cell r="B178" t="str">
            <v>Shuttle band</v>
          </cell>
          <cell r="C178">
            <v>5.5</v>
          </cell>
          <cell r="D178">
            <v>5.5</v>
          </cell>
          <cell r="E178">
            <v>5.5</v>
          </cell>
          <cell r="F178"/>
          <cell r="G178"/>
          <cell r="H178"/>
        </row>
        <row r="179">
          <cell r="B179" t="str">
            <v>Sleeve machine</v>
          </cell>
          <cell r="C179">
            <v>7.7000000000000011</v>
          </cell>
          <cell r="D179">
            <v>7.7000000000000011</v>
          </cell>
          <cell r="E179">
            <v>7.7000000000000011</v>
          </cell>
          <cell r="F179"/>
          <cell r="G179"/>
          <cell r="H179"/>
        </row>
        <row r="180">
          <cell r="B180" t="str">
            <v>Sluis</v>
          </cell>
          <cell r="C180">
            <v>0</v>
          </cell>
          <cell r="D180">
            <v>0</v>
          </cell>
          <cell r="E180">
            <v>0</v>
          </cell>
          <cell r="F180"/>
          <cell r="G180"/>
          <cell r="H180"/>
        </row>
        <row r="181">
          <cell r="B181" t="str">
            <v>Snaartransport Kruidenstrooier</v>
          </cell>
          <cell r="C181">
            <v>8.8000000000000007</v>
          </cell>
          <cell r="D181">
            <v>8.8000000000000007</v>
          </cell>
          <cell r="E181">
            <v>8.8000000000000007</v>
          </cell>
          <cell r="F181"/>
          <cell r="G181"/>
          <cell r="H181"/>
        </row>
        <row r="182">
          <cell r="B182" t="str">
            <v>Snijmachine</v>
          </cell>
          <cell r="C182">
            <v>11</v>
          </cell>
          <cell r="D182">
            <v>11</v>
          </cell>
          <cell r="E182">
            <v>11</v>
          </cell>
          <cell r="F182"/>
          <cell r="G182"/>
          <cell r="H182"/>
        </row>
        <row r="183">
          <cell r="B183" t="str">
            <v>Snijpoetsband</v>
          </cell>
          <cell r="C183">
            <v>16.5</v>
          </cell>
          <cell r="D183">
            <v>16.5</v>
          </cell>
          <cell r="E183">
            <v>16.5</v>
          </cell>
          <cell r="F183"/>
          <cell r="G183"/>
          <cell r="H183"/>
        </row>
        <row r="184">
          <cell r="B184" t="str">
            <v>Snijtafel</v>
          </cell>
          <cell r="C184">
            <v>5.5</v>
          </cell>
          <cell r="D184">
            <v>5.5</v>
          </cell>
          <cell r="E184">
            <v>5.5</v>
          </cell>
          <cell r="F184"/>
          <cell r="G184"/>
          <cell r="H184"/>
        </row>
        <row r="185">
          <cell r="B185" t="str">
            <v>Sorteer schudder</v>
          </cell>
          <cell r="C185">
            <v>5.5</v>
          </cell>
          <cell r="D185">
            <v>5.5</v>
          </cell>
          <cell r="E185">
            <v>5.5</v>
          </cell>
          <cell r="F185"/>
          <cell r="G185"/>
          <cell r="H185"/>
        </row>
        <row r="186">
          <cell r="B186" t="str">
            <v>Stapel/drop band</v>
          </cell>
          <cell r="C186">
            <v>7.7000000000000011</v>
          </cell>
          <cell r="D186">
            <v>7.7000000000000011</v>
          </cell>
          <cell r="E186">
            <v>7.7000000000000011</v>
          </cell>
          <cell r="F186"/>
          <cell r="G186"/>
          <cell r="H186"/>
        </row>
        <row r="187">
          <cell r="B187" t="str">
            <v>Statisch filter</v>
          </cell>
          <cell r="C187">
            <v>5.5</v>
          </cell>
          <cell r="D187">
            <v>5.5</v>
          </cell>
          <cell r="E187">
            <v>5.5</v>
          </cell>
          <cell r="F187"/>
          <cell r="G187"/>
          <cell r="H187"/>
        </row>
        <row r="188">
          <cell r="B188" t="str">
            <v>Stenenvanger</v>
          </cell>
          <cell r="C188">
            <v>11</v>
          </cell>
          <cell r="D188">
            <v>11</v>
          </cell>
          <cell r="E188">
            <v>11</v>
          </cell>
          <cell r="F188"/>
          <cell r="G188"/>
          <cell r="H188"/>
        </row>
        <row r="189">
          <cell r="B189" t="str">
            <v>Stijglift stapel bakken</v>
          </cell>
          <cell r="C189">
            <v>11</v>
          </cell>
          <cell r="D189">
            <v>11</v>
          </cell>
          <cell r="E189">
            <v>11</v>
          </cell>
          <cell r="F189"/>
          <cell r="G189"/>
          <cell r="H189"/>
        </row>
        <row r="190">
          <cell r="B190" t="str">
            <v>Stort-/bunkerband</v>
          </cell>
          <cell r="C190">
            <v>11</v>
          </cell>
          <cell r="D190">
            <v>11</v>
          </cell>
          <cell r="E190">
            <v>11</v>
          </cell>
          <cell r="F190"/>
          <cell r="G190"/>
          <cell r="H190"/>
        </row>
        <row r="191">
          <cell r="B191" t="str">
            <v>Stort-/bunkerwasser</v>
          </cell>
          <cell r="C191">
            <v>22</v>
          </cell>
          <cell r="D191">
            <v>22</v>
          </cell>
          <cell r="E191">
            <v>22</v>
          </cell>
          <cell r="F191"/>
          <cell r="G191"/>
          <cell r="H191"/>
        </row>
        <row r="192">
          <cell r="B192" t="str">
            <v>Synchronisatie transport invoer pakm.</v>
          </cell>
          <cell r="C192">
            <v>5.5</v>
          </cell>
          <cell r="D192">
            <v>5.5</v>
          </cell>
          <cell r="E192">
            <v>5.5</v>
          </cell>
          <cell r="F192"/>
          <cell r="G192"/>
          <cell r="H192"/>
        </row>
        <row r="193">
          <cell r="B193" t="str">
            <v>Tafel opvoer</v>
          </cell>
          <cell r="C193">
            <v>3.3000000000000003</v>
          </cell>
          <cell r="D193">
            <v>3.3000000000000003</v>
          </cell>
          <cell r="E193">
            <v>3.3000000000000003</v>
          </cell>
          <cell r="F193"/>
          <cell r="G193"/>
          <cell r="H193"/>
        </row>
        <row r="194">
          <cell r="B194" t="str">
            <v>Tilhulp voor verpakkingsrollen</v>
          </cell>
          <cell r="C194">
            <v>2.2000000000000002</v>
          </cell>
          <cell r="D194">
            <v>2.2000000000000002</v>
          </cell>
          <cell r="E194">
            <v>2.2000000000000002</v>
          </cell>
          <cell r="F194"/>
          <cell r="G194"/>
          <cell r="H194"/>
        </row>
        <row r="195">
          <cell r="B195" t="str">
            <v>Toevoerband</v>
          </cell>
          <cell r="C195">
            <v>5.5</v>
          </cell>
          <cell r="D195">
            <v>5.5</v>
          </cell>
          <cell r="E195">
            <v>5.5</v>
          </cell>
          <cell r="F195"/>
          <cell r="G195"/>
          <cell r="H195"/>
        </row>
        <row r="196">
          <cell r="B196" t="str">
            <v>Toevoerschudder</v>
          </cell>
          <cell r="C196">
            <v>5.5</v>
          </cell>
          <cell r="D196">
            <v>5.5</v>
          </cell>
          <cell r="E196">
            <v>5.5</v>
          </cell>
          <cell r="F196"/>
          <cell r="G196"/>
          <cell r="H196"/>
        </row>
        <row r="197">
          <cell r="B197" t="str">
            <v>Toevoertriller</v>
          </cell>
          <cell r="C197">
            <v>5.5</v>
          </cell>
          <cell r="D197">
            <v>5.5</v>
          </cell>
          <cell r="E197">
            <v>5.5</v>
          </cell>
          <cell r="F197"/>
          <cell r="G197"/>
          <cell r="H197"/>
        </row>
        <row r="198">
          <cell r="B198" t="str">
            <v>Toppingband</v>
          </cell>
          <cell r="C198">
            <v>5.5</v>
          </cell>
          <cell r="D198">
            <v>5.5</v>
          </cell>
          <cell r="E198">
            <v>5.5</v>
          </cell>
          <cell r="F198"/>
          <cell r="G198"/>
          <cell r="H198"/>
        </row>
        <row r="199">
          <cell r="B199" t="str">
            <v>Transportbaan</v>
          </cell>
          <cell r="C199">
            <v>5.5</v>
          </cell>
          <cell r="D199">
            <v>5.5</v>
          </cell>
          <cell r="E199">
            <v>5.5</v>
          </cell>
          <cell r="F199"/>
          <cell r="G199"/>
          <cell r="H199"/>
        </row>
        <row r="200">
          <cell r="B200" t="str">
            <v xml:space="preserve">Transportbaan kratten </v>
          </cell>
          <cell r="C200">
            <v>49.500000000000007</v>
          </cell>
          <cell r="D200">
            <v>49.500000000000007</v>
          </cell>
          <cell r="E200">
            <v>49.500000000000007</v>
          </cell>
          <cell r="F200"/>
          <cell r="G200"/>
          <cell r="H200"/>
        </row>
        <row r="201">
          <cell r="B201" t="str">
            <v>Transportband</v>
          </cell>
          <cell r="C201">
            <v>5.5</v>
          </cell>
          <cell r="D201">
            <v>5.5</v>
          </cell>
          <cell r="E201">
            <v>5.5</v>
          </cell>
          <cell r="F201"/>
          <cell r="G201"/>
          <cell r="H201"/>
        </row>
        <row r="202">
          <cell r="B202" t="str">
            <v>Transportgoot</v>
          </cell>
          <cell r="C202">
            <v>5.5</v>
          </cell>
          <cell r="D202">
            <v>5.5</v>
          </cell>
          <cell r="E202">
            <v>5.5</v>
          </cell>
          <cell r="F202"/>
          <cell r="G202"/>
          <cell r="H202"/>
        </row>
        <row r="203">
          <cell r="B203" t="str">
            <v>Trappenhuis</v>
          </cell>
          <cell r="C203">
            <v>5.5</v>
          </cell>
          <cell r="D203">
            <v>5.5</v>
          </cell>
          <cell r="E203">
            <v>5.5</v>
          </cell>
          <cell r="F203"/>
          <cell r="G203"/>
          <cell r="H203"/>
        </row>
        <row r="204">
          <cell r="B204" t="str">
            <v>Trilgoot</v>
          </cell>
          <cell r="C204">
            <v>7.7000000000000011</v>
          </cell>
          <cell r="D204">
            <v>7.7000000000000011</v>
          </cell>
          <cell r="E204">
            <v>7.7000000000000011</v>
          </cell>
          <cell r="F204"/>
          <cell r="G204"/>
          <cell r="H204"/>
        </row>
        <row r="205">
          <cell r="B205" t="str">
            <v>Triltrechter</v>
          </cell>
          <cell r="C205">
            <v>2.2000000000000002</v>
          </cell>
          <cell r="D205">
            <v>2.2000000000000002</v>
          </cell>
          <cell r="E205">
            <v>2.2000000000000002</v>
          </cell>
          <cell r="F205"/>
          <cell r="G205"/>
          <cell r="H205"/>
        </row>
        <row r="206">
          <cell r="B206" t="str">
            <v>Trog-afvalband</v>
          </cell>
          <cell r="C206">
            <v>3.3000000000000003</v>
          </cell>
          <cell r="D206">
            <v>3.3000000000000003</v>
          </cell>
          <cell r="E206">
            <v>3.3000000000000003</v>
          </cell>
          <cell r="F206"/>
          <cell r="G206"/>
          <cell r="H206"/>
        </row>
        <row r="207">
          <cell r="B207" t="str">
            <v>U-Bocht</v>
          </cell>
          <cell r="C207">
            <v>5.5</v>
          </cell>
          <cell r="D207">
            <v>5.5</v>
          </cell>
          <cell r="E207">
            <v>5.5</v>
          </cell>
          <cell r="F207"/>
          <cell r="G207"/>
          <cell r="H207"/>
        </row>
        <row r="208">
          <cell r="B208" t="str">
            <v>Uiendoseur</v>
          </cell>
          <cell r="C208">
            <v>5.5</v>
          </cell>
          <cell r="D208">
            <v>5.5</v>
          </cell>
          <cell r="E208">
            <v>5.5</v>
          </cell>
          <cell r="F208"/>
          <cell r="G208"/>
          <cell r="H208"/>
        </row>
        <row r="209">
          <cell r="B209" t="str">
            <v>Uitneemband</v>
          </cell>
          <cell r="C209">
            <v>5.5</v>
          </cell>
          <cell r="D209">
            <v>5.5</v>
          </cell>
          <cell r="E209">
            <v>5.5</v>
          </cell>
          <cell r="F209"/>
          <cell r="G209"/>
          <cell r="H209"/>
        </row>
        <row r="210">
          <cell r="B210" t="str">
            <v>Uitvoer schudder</v>
          </cell>
          <cell r="C210">
            <v>5.5</v>
          </cell>
          <cell r="D210">
            <v>5.5</v>
          </cell>
          <cell r="E210">
            <v>5.5</v>
          </cell>
          <cell r="F210"/>
          <cell r="G210"/>
          <cell r="H210"/>
        </row>
        <row r="211">
          <cell r="B211" t="str">
            <v>Uitvoer-/ Leesband</v>
          </cell>
          <cell r="C211">
            <v>5.5</v>
          </cell>
          <cell r="D211">
            <v>5.5</v>
          </cell>
          <cell r="E211">
            <v>5.5</v>
          </cell>
          <cell r="F211"/>
          <cell r="G211"/>
          <cell r="H211"/>
        </row>
        <row r="212">
          <cell r="B212" t="str">
            <v>Uitvoerband</v>
          </cell>
          <cell r="C212">
            <v>5.5</v>
          </cell>
          <cell r="D212">
            <v>5.5</v>
          </cell>
          <cell r="E212">
            <v>5.5</v>
          </cell>
          <cell r="F212"/>
          <cell r="G212"/>
          <cell r="H212"/>
        </row>
        <row r="213">
          <cell r="B213" t="str">
            <v>Uitvoerband incl. kooi</v>
          </cell>
          <cell r="C213">
            <v>8.5</v>
          </cell>
          <cell r="D213">
            <v>8.5</v>
          </cell>
          <cell r="E213">
            <v>8.5</v>
          </cell>
          <cell r="F213"/>
          <cell r="G213"/>
          <cell r="H213"/>
        </row>
        <row r="214">
          <cell r="B214" t="str">
            <v>Valbreker</v>
          </cell>
          <cell r="C214">
            <v>2.2000000000000002</v>
          </cell>
          <cell r="D214">
            <v>2.2000000000000002</v>
          </cell>
          <cell r="E214">
            <v>2.2000000000000002</v>
          </cell>
          <cell r="F214"/>
          <cell r="G214"/>
          <cell r="H214"/>
        </row>
        <row r="215">
          <cell r="B215" t="str">
            <v>Ventilator</v>
          </cell>
          <cell r="C215">
            <v>1</v>
          </cell>
          <cell r="D215">
            <v>1</v>
          </cell>
          <cell r="E215">
            <v>1</v>
          </cell>
          <cell r="F215"/>
          <cell r="G215"/>
          <cell r="H215"/>
        </row>
        <row r="216">
          <cell r="B216" t="str">
            <v>Verdeelband</v>
          </cell>
          <cell r="C216">
            <v>5.5</v>
          </cell>
          <cell r="D216">
            <v>5.5</v>
          </cell>
          <cell r="E216">
            <v>5.5</v>
          </cell>
          <cell r="F216"/>
          <cell r="G216"/>
          <cell r="H216"/>
        </row>
        <row r="217">
          <cell r="B217" t="str">
            <v>Verdeelschudder</v>
          </cell>
          <cell r="C217">
            <v>5.5</v>
          </cell>
          <cell r="D217">
            <v>5.5</v>
          </cell>
          <cell r="E217">
            <v>5.5</v>
          </cell>
          <cell r="F217"/>
          <cell r="G217"/>
          <cell r="H217"/>
        </row>
        <row r="218">
          <cell r="B218" t="str">
            <v>Verenkelaar</v>
          </cell>
          <cell r="C218">
            <v>5.5</v>
          </cell>
          <cell r="D218">
            <v>5.5</v>
          </cell>
          <cell r="E218">
            <v>5.5</v>
          </cell>
          <cell r="F218"/>
          <cell r="G218"/>
          <cell r="H218"/>
        </row>
        <row r="219">
          <cell r="B219" t="str">
            <v>Verpakkingsmachine</v>
          </cell>
          <cell r="C219">
            <v>11</v>
          </cell>
          <cell r="D219">
            <v>11</v>
          </cell>
          <cell r="E219">
            <v>11</v>
          </cell>
          <cell r="F219"/>
          <cell r="G219"/>
          <cell r="H219"/>
        </row>
        <row r="220">
          <cell r="B220" t="str">
            <v xml:space="preserve">Verticale pakmachine </v>
          </cell>
          <cell r="C220">
            <v>11</v>
          </cell>
          <cell r="D220">
            <v>11</v>
          </cell>
          <cell r="E220">
            <v>11</v>
          </cell>
          <cell r="F220"/>
          <cell r="G220"/>
          <cell r="H220"/>
        </row>
        <row r="221">
          <cell r="B221" t="str">
            <v>vervolg is CSI installatie</v>
          </cell>
          <cell r="C221">
            <v>11</v>
          </cell>
          <cell r="D221">
            <v>11</v>
          </cell>
          <cell r="E221">
            <v>11</v>
          </cell>
          <cell r="F221"/>
          <cell r="G221"/>
          <cell r="H221"/>
        </row>
        <row r="222">
          <cell r="B222" t="str">
            <v>Verzamelband</v>
          </cell>
          <cell r="C222">
            <v>5.5</v>
          </cell>
          <cell r="D222">
            <v>5.5</v>
          </cell>
          <cell r="E222">
            <v>5.5</v>
          </cell>
          <cell r="F222"/>
          <cell r="G222"/>
          <cell r="H222"/>
        </row>
        <row r="223">
          <cell r="B223" t="str">
            <v>Vijzel</v>
          </cell>
          <cell r="C223">
            <v>11</v>
          </cell>
          <cell r="D223">
            <v>11</v>
          </cell>
          <cell r="E223">
            <v>11</v>
          </cell>
          <cell r="F223"/>
          <cell r="G223"/>
          <cell r="H223"/>
        </row>
        <row r="224">
          <cell r="B224" t="str">
            <v>Vision</v>
          </cell>
          <cell r="C224">
            <v>22</v>
          </cell>
          <cell r="D224">
            <v>22</v>
          </cell>
          <cell r="E224">
            <v>22</v>
          </cell>
          <cell r="F224"/>
          <cell r="G224"/>
          <cell r="H224"/>
        </row>
        <row r="225">
          <cell r="B225" t="str">
            <v>Voorsproeidek</v>
          </cell>
          <cell r="C225">
            <v>7.7000000000000011</v>
          </cell>
          <cell r="D225">
            <v>7.7000000000000011</v>
          </cell>
          <cell r="E225">
            <v>7.7000000000000011</v>
          </cell>
          <cell r="F225"/>
          <cell r="G225"/>
          <cell r="H225"/>
        </row>
        <row r="226">
          <cell r="B226" t="str">
            <v>Vul-/ verdeelstation</v>
          </cell>
          <cell r="C226">
            <v>5.5</v>
          </cell>
          <cell r="D226">
            <v>5.5</v>
          </cell>
          <cell r="E226">
            <v>5.5</v>
          </cell>
          <cell r="F226"/>
          <cell r="G226"/>
          <cell r="H226"/>
        </row>
        <row r="227">
          <cell r="B227" t="str">
            <v>Vulband</v>
          </cell>
          <cell r="C227">
            <v>5.5</v>
          </cell>
          <cell r="D227">
            <v>5.5</v>
          </cell>
          <cell r="E227">
            <v>5.5</v>
          </cell>
          <cell r="F227"/>
          <cell r="G227"/>
          <cell r="H227"/>
        </row>
        <row r="228">
          <cell r="B228" t="str">
            <v>Walkingbeam</v>
          </cell>
          <cell r="C228">
            <v>33</v>
          </cell>
          <cell r="D228">
            <v>33</v>
          </cell>
          <cell r="E228">
            <v>33</v>
          </cell>
          <cell r="F228"/>
          <cell r="G228"/>
          <cell r="H228"/>
        </row>
        <row r="229">
          <cell r="B229" t="str">
            <v>Wascabine</v>
          </cell>
          <cell r="C229">
            <v>0</v>
          </cell>
          <cell r="D229">
            <v>0</v>
          </cell>
          <cell r="E229">
            <v>0</v>
          </cell>
          <cell r="F229"/>
          <cell r="G229"/>
          <cell r="H229"/>
        </row>
        <row r="230">
          <cell r="B230" t="str">
            <v>Wasser</v>
          </cell>
          <cell r="C230">
            <v>16.5</v>
          </cell>
          <cell r="D230">
            <v>16.5</v>
          </cell>
          <cell r="E230">
            <v>16.5</v>
          </cell>
          <cell r="F230"/>
          <cell r="G230"/>
          <cell r="H230"/>
        </row>
        <row r="231">
          <cell r="B231" t="str">
            <v>Waterbak</v>
          </cell>
          <cell r="C231">
            <v>16.5</v>
          </cell>
          <cell r="D231">
            <v>16.5</v>
          </cell>
          <cell r="E231">
            <v>16.5</v>
          </cell>
          <cell r="F231"/>
          <cell r="G231"/>
          <cell r="H231"/>
        </row>
        <row r="232">
          <cell r="B232" t="str">
            <v>Waterhaspel</v>
          </cell>
          <cell r="C232">
            <v>1</v>
          </cell>
          <cell r="D232">
            <v>1</v>
          </cell>
          <cell r="E232">
            <v>1</v>
          </cell>
          <cell r="F232"/>
          <cell r="G232"/>
          <cell r="H232"/>
        </row>
        <row r="233">
          <cell r="B233" t="str">
            <v>Weegschaal</v>
          </cell>
          <cell r="C233">
            <v>1</v>
          </cell>
          <cell r="D233">
            <v>1</v>
          </cell>
          <cell r="E233">
            <v>1</v>
          </cell>
          <cell r="F233"/>
          <cell r="G233"/>
          <cell r="H233"/>
        </row>
        <row r="234">
          <cell r="B234" t="str">
            <v>Weger</v>
          </cell>
          <cell r="C234">
            <v>5.5</v>
          </cell>
          <cell r="D234">
            <v>5.5</v>
          </cell>
          <cell r="E234">
            <v>5.5</v>
          </cell>
          <cell r="F234"/>
          <cell r="G234"/>
          <cell r="H234"/>
        </row>
        <row r="235">
          <cell r="B235" t="str">
            <v>Weger Multipond</v>
          </cell>
          <cell r="C235">
            <v>22</v>
          </cell>
          <cell r="D235">
            <v>22</v>
          </cell>
          <cell r="E235">
            <v>22</v>
          </cell>
          <cell r="F235"/>
          <cell r="G235"/>
          <cell r="H235"/>
        </row>
        <row r="236">
          <cell r="B236" t="str">
            <v>Weger Newtec</v>
          </cell>
          <cell r="C236">
            <v>16.5</v>
          </cell>
          <cell r="D236">
            <v>16.5</v>
          </cell>
          <cell r="E236">
            <v>16.5</v>
          </cell>
          <cell r="F236"/>
          <cell r="G236"/>
          <cell r="H236"/>
        </row>
        <row r="237">
          <cell r="B237" t="str">
            <v>Werkruimte</v>
          </cell>
          <cell r="C237">
            <v>0</v>
          </cell>
          <cell r="D237">
            <v>0</v>
          </cell>
          <cell r="E237">
            <v>0</v>
          </cell>
          <cell r="F237"/>
          <cell r="G237"/>
          <cell r="H237"/>
        </row>
        <row r="238">
          <cell r="B238" t="str">
            <v>Wervelwasser</v>
          </cell>
          <cell r="C238">
            <v>11</v>
          </cell>
          <cell r="D238">
            <v>11</v>
          </cell>
          <cell r="E238">
            <v>11</v>
          </cell>
          <cell r="F238"/>
          <cell r="G238"/>
          <cell r="H238"/>
        </row>
        <row r="239">
          <cell r="B239" t="str">
            <v>Zeepdoseringssysteem</v>
          </cell>
          <cell r="C239">
            <v>5.5</v>
          </cell>
          <cell r="D239">
            <v>5.5</v>
          </cell>
          <cell r="E239">
            <v>5.5</v>
          </cell>
          <cell r="F239"/>
          <cell r="G239"/>
          <cell r="H239"/>
        </row>
        <row r="240">
          <cell r="B240" t="str">
            <v>Zega luchtdruk</v>
          </cell>
          <cell r="C240">
            <v>1</v>
          </cell>
          <cell r="D240">
            <v>1</v>
          </cell>
          <cell r="E240">
            <v>1</v>
          </cell>
          <cell r="F240"/>
          <cell r="G240"/>
          <cell r="H240"/>
        </row>
        <row r="241">
          <cell r="B241"/>
          <cell r="C241"/>
          <cell r="D241"/>
          <cell r="E241"/>
          <cell r="F241"/>
          <cell r="G241"/>
          <cell r="H241"/>
        </row>
        <row r="242">
          <cell r="B242"/>
          <cell r="C242"/>
          <cell r="D242"/>
          <cell r="E242"/>
          <cell r="F242"/>
          <cell r="G242"/>
          <cell r="H242"/>
        </row>
        <row r="243">
          <cell r="B243"/>
          <cell r="C243"/>
          <cell r="D243"/>
          <cell r="E243"/>
          <cell r="F243"/>
          <cell r="G243"/>
          <cell r="H243"/>
        </row>
        <row r="244">
          <cell r="B244"/>
          <cell r="C244"/>
          <cell r="D244"/>
          <cell r="E244"/>
          <cell r="F244"/>
          <cell r="G244"/>
          <cell r="H244"/>
        </row>
        <row r="245">
          <cell r="B245"/>
          <cell r="C245"/>
          <cell r="D245"/>
          <cell r="E245"/>
          <cell r="F245"/>
          <cell r="G245"/>
          <cell r="H245"/>
        </row>
        <row r="246">
          <cell r="B246"/>
          <cell r="C246"/>
          <cell r="D246"/>
          <cell r="E246"/>
          <cell r="F246"/>
          <cell r="G246"/>
          <cell r="H246"/>
        </row>
        <row r="247">
          <cell r="B247"/>
          <cell r="C247"/>
          <cell r="D247"/>
          <cell r="E247"/>
          <cell r="F247"/>
          <cell r="G247"/>
          <cell r="H247"/>
        </row>
        <row r="248">
          <cell r="B248"/>
          <cell r="C248"/>
          <cell r="D248"/>
          <cell r="E248"/>
          <cell r="F248"/>
          <cell r="G248"/>
          <cell r="H248"/>
        </row>
        <row r="249">
          <cell r="B249"/>
          <cell r="C249"/>
          <cell r="D249"/>
          <cell r="E249"/>
          <cell r="F249"/>
          <cell r="G249"/>
          <cell r="H249"/>
        </row>
        <row r="250">
          <cell r="B250"/>
          <cell r="C250"/>
          <cell r="D250"/>
          <cell r="E250"/>
          <cell r="F250" t="str">
            <v>Frequentie</v>
          </cell>
          <cell r="G250" t="str">
            <v>M2</v>
          </cell>
          <cell r="H250" t="str">
            <v>Omschrijving</v>
          </cell>
        </row>
        <row r="251">
          <cell r="B251" t="str">
            <v>Hygiënesluis schuimreiniging</v>
          </cell>
          <cell r="C251">
            <v>2.8</v>
          </cell>
          <cell r="D251">
            <v>1.1244094488188976</v>
          </cell>
          <cell r="E251">
            <v>9.9212598425196849E-2</v>
          </cell>
          <cell r="F251" t="str">
            <v>7 x per week - 51 weken</v>
          </cell>
          <cell r="G251">
            <v>63.5</v>
          </cell>
          <cell r="H251" t="str">
            <v>Volgens bijlage C programmacode 115.365</v>
          </cell>
        </row>
        <row r="252">
          <cell r="B252" t="str">
            <v>Vloer 201-052</v>
          </cell>
          <cell r="C252">
            <v>0.14076923076923079</v>
          </cell>
          <cell r="D252"/>
          <cell r="E252"/>
          <cell r="F252" t="str">
            <v>1 x per week</v>
          </cell>
          <cell r="G252">
            <v>546</v>
          </cell>
          <cell r="H252" t="str">
            <v>Productieruimte [droge ruimte] 1 x per week zie inhoudelijk  programma 201-052 bijlage C</v>
          </cell>
        </row>
        <row r="253">
          <cell r="B253" t="str">
            <v>Vloer 202-012</v>
          </cell>
          <cell r="C253">
            <v>0.15000000000000005</v>
          </cell>
          <cell r="D253"/>
          <cell r="E253"/>
          <cell r="F253" t="str">
            <v>1 x per maand</v>
          </cell>
          <cell r="G253">
            <v>600</v>
          </cell>
          <cell r="H253" t="str">
            <v>Productieruimte [natte ruimte]  1 x per maand zie inhoudelijk  programma 202-012 bijlage C</v>
          </cell>
        </row>
        <row r="254">
          <cell r="B254" t="str">
            <v>Vloer 202-052</v>
          </cell>
          <cell r="C254">
            <v>0.14076923076923079</v>
          </cell>
          <cell r="D254"/>
          <cell r="E254"/>
          <cell r="F254" t="str">
            <v>1 x per week</v>
          </cell>
          <cell r="G254">
            <v>0</v>
          </cell>
          <cell r="H254" t="str">
            <v>Productieruimte [natte ruimte]  1 x per week zie inhoudelijk  programma 202-051 bijlage C</v>
          </cell>
        </row>
        <row r="255">
          <cell r="B255" t="str">
            <v>Vloer 202-365</v>
          </cell>
          <cell r="C255">
            <v>0.16299212598425197</v>
          </cell>
          <cell r="D255">
            <v>0.15529411764710233</v>
          </cell>
          <cell r="E255">
            <v>0.13803915012190873</v>
          </cell>
          <cell r="F255" t="str">
            <v>7 x per week - 51 weken</v>
          </cell>
          <cell r="G255">
            <v>11734.5</v>
          </cell>
          <cell r="H255" t="str">
            <v>Productieruimte [natte ruimte] ma- t/m zon zie inhoudelijk  programma 202-365 bijlage C</v>
          </cell>
        </row>
        <row r="256">
          <cell r="B256" t="str">
            <v>Trap 204-365</v>
          </cell>
          <cell r="C256">
            <v>0.25990000000000002</v>
          </cell>
          <cell r="D256">
            <v>0.25889000000000001</v>
          </cell>
          <cell r="E256">
            <v>0.230069</v>
          </cell>
          <cell r="F256" t="str">
            <v>7 x per week - 51 weken</v>
          </cell>
          <cell r="G256">
            <v>1323.4878571428571</v>
          </cell>
          <cell r="H256" t="str">
            <v>Productieruimten trappen en bordessen [natte ruimten] ma- t/m zon zie inhoudelijk  programma 204-365 bijlage C</v>
          </cell>
        </row>
        <row r="257">
          <cell r="B257" t="str">
            <v>Roldeur 205-004</v>
          </cell>
          <cell r="C257">
            <v>16.5</v>
          </cell>
          <cell r="D257"/>
          <cell r="E257"/>
          <cell r="F257" t="str">
            <v>4 x per jaar</v>
          </cell>
          <cell r="G257">
            <v>7</v>
          </cell>
          <cell r="H257" t="str">
            <v>Roldeuren [doge ruimte] 4 x per jaar zie inhoudelijk  programma 205-004 bijlage C</v>
          </cell>
        </row>
        <row r="258">
          <cell r="B258" t="str">
            <v>Roldeur 206-002</v>
          </cell>
          <cell r="C258">
            <v>33</v>
          </cell>
          <cell r="D258"/>
          <cell r="E258"/>
          <cell r="F258" t="str">
            <v>2 x per jaar</v>
          </cell>
          <cell r="G258">
            <v>13</v>
          </cell>
          <cell r="H258" t="str">
            <v>Roldeuren [natte ruimte] 2 x per jaar zie inhoudelijk  programma 206-002 bijlage C</v>
          </cell>
        </row>
        <row r="259">
          <cell r="B259" t="str">
            <v>Opslag 207-004</v>
          </cell>
          <cell r="C259">
            <v>1.9499999999999993</v>
          </cell>
          <cell r="D259"/>
          <cell r="E259"/>
          <cell r="F259" t="str">
            <v>4 x per jaar</v>
          </cell>
          <cell r="G259">
            <v>50</v>
          </cell>
          <cell r="H259" t="str">
            <v>Opslag [droge ruimte] 4 x per week zie inhoudelijk  programma 207-004 bijlage C</v>
          </cell>
        </row>
        <row r="260">
          <cell r="B260" t="str">
            <v>Wand 209-001</v>
          </cell>
          <cell r="C260">
            <v>4.8499999999999996</v>
          </cell>
          <cell r="D260"/>
          <cell r="E260"/>
          <cell r="F260" t="str">
            <v>1 x per jaar</v>
          </cell>
          <cell r="G260">
            <v>0</v>
          </cell>
          <cell r="H260" t="str">
            <v>Plafond incl. alle onderdelen en wanden boven 2.00m2 staat als "Op Afroep" vermeld in bovenstaande schoonmaakprogramma's)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Uitleg calculatiemodule"/>
      <sheetName val="1.0-Contractblad Productie"/>
      <sheetName val="1.0a-Contractblad Kantoren"/>
      <sheetName val="1.1-Jaarprijzen"/>
      <sheetName val="Jaarkalender"/>
      <sheetName val="1.2-Kengetallen"/>
      <sheetName val="1.3 Ruimtestaat Productie"/>
      <sheetName val="1.3a Ruimtestaat Kantoren"/>
      <sheetName val="1.3b-Mutaties"/>
      <sheetName val="1.5 Opbouw uurtarieven"/>
      <sheetName val="1.6-Machine-investeringskosten"/>
      <sheetName val="1.7-Glasbewassing"/>
      <sheetName val="Programma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B11" t="str">
            <v>PROGRAMMA CODE</v>
          </cell>
        </row>
        <row r="12">
          <cell r="B12" t="str">
            <v>-</v>
          </cell>
          <cell r="C12"/>
          <cell r="D12"/>
          <cell r="E12"/>
          <cell r="F12"/>
          <cell r="G12"/>
          <cell r="H12"/>
          <cell r="I12"/>
          <cell r="J12"/>
          <cell r="K12"/>
        </row>
        <row r="13">
          <cell r="B13" t="str">
            <v>901.010</v>
          </cell>
          <cell r="C13" t="str">
            <v>Administratieve ruimte</v>
          </cell>
          <cell r="D13">
            <v>901</v>
          </cell>
          <cell r="E13">
            <v>0</v>
          </cell>
          <cell r="F13" t="e">
            <v>#DIV/0!</v>
          </cell>
          <cell r="G13"/>
          <cell r="H13">
            <v>10</v>
          </cell>
          <cell r="I13" t="str">
            <v>Feestdagen</v>
          </cell>
          <cell r="J13">
            <v>0</v>
          </cell>
          <cell r="K13"/>
        </row>
        <row r="14">
          <cell r="B14" t="str">
            <v>901.012</v>
          </cell>
          <cell r="C14" t="str">
            <v>Administratieve ruimte</v>
          </cell>
          <cell r="D14">
            <v>901</v>
          </cell>
          <cell r="E14">
            <v>0</v>
          </cell>
          <cell r="F14" t="e">
            <v>#DIV/0!</v>
          </cell>
          <cell r="G14"/>
          <cell r="H14">
            <v>12</v>
          </cell>
          <cell r="I14" t="str">
            <v>1 x per maand</v>
          </cell>
          <cell r="J14">
            <v>0</v>
          </cell>
          <cell r="K14"/>
        </row>
        <row r="15">
          <cell r="B15" t="str">
            <v>901.052</v>
          </cell>
          <cell r="C15" t="str">
            <v>Administratieve ruimte</v>
          </cell>
          <cell r="D15">
            <v>901</v>
          </cell>
          <cell r="E15">
            <v>0.24266666666666664</v>
          </cell>
          <cell r="F15">
            <v>214.28571428571431</v>
          </cell>
          <cell r="G15"/>
          <cell r="H15">
            <v>52</v>
          </cell>
          <cell r="I15" t="str">
            <v xml:space="preserve">1 x per week </v>
          </cell>
          <cell r="J15">
            <v>51.66</v>
          </cell>
          <cell r="K15"/>
        </row>
        <row r="16">
          <cell r="B16" t="str">
            <v>901.099</v>
          </cell>
          <cell r="C16" t="str">
            <v>Administratieve ruimte</v>
          </cell>
          <cell r="D16">
            <v>901</v>
          </cell>
          <cell r="E16">
            <v>0.28799999999999998</v>
          </cell>
          <cell r="F16">
            <v>343.75</v>
          </cell>
          <cell r="G16"/>
          <cell r="H16">
            <v>99</v>
          </cell>
          <cell r="I16" t="str">
            <v>Weekend dagen</v>
          </cell>
          <cell r="J16">
            <v>0</v>
          </cell>
          <cell r="K16"/>
        </row>
        <row r="17">
          <cell r="B17" t="str">
            <v>901.256</v>
          </cell>
          <cell r="C17" t="str">
            <v>Administratieve ruimte</v>
          </cell>
          <cell r="D17">
            <v>901</v>
          </cell>
          <cell r="E17">
            <v>0.95199999999999996</v>
          </cell>
          <cell r="F17">
            <v>268.9075630252101</v>
          </cell>
          <cell r="G17"/>
          <cell r="H17">
            <v>256</v>
          </cell>
          <cell r="I17" t="str">
            <v>Dagelijks</v>
          </cell>
          <cell r="J17">
            <v>413.95</v>
          </cell>
          <cell r="K17"/>
        </row>
        <row r="18">
          <cell r="B18" t="str">
            <v>902.256</v>
          </cell>
          <cell r="C18" t="str">
            <v>Laboratorium</v>
          </cell>
          <cell r="D18">
            <v>902</v>
          </cell>
          <cell r="E18">
            <v>1.0249999999999999</v>
          </cell>
          <cell r="F18">
            <v>249.75609756097563</v>
          </cell>
          <cell r="G18"/>
          <cell r="H18">
            <v>256</v>
          </cell>
          <cell r="I18" t="str">
            <v>Dagelijks</v>
          </cell>
          <cell r="J18">
            <v>149.5</v>
          </cell>
          <cell r="K18"/>
        </row>
        <row r="19">
          <cell r="B19" t="str">
            <v>903.010</v>
          </cell>
          <cell r="C19" t="str">
            <v>Sanitaire ruimte</v>
          </cell>
          <cell r="D19">
            <v>903</v>
          </cell>
          <cell r="E19">
            <v>0.13235294117647059</v>
          </cell>
          <cell r="F19">
            <v>75.555555555555557</v>
          </cell>
          <cell r="G19"/>
          <cell r="H19">
            <v>10</v>
          </cell>
          <cell r="I19" t="str">
            <v>Feestdagen</v>
          </cell>
          <cell r="J19">
            <v>0</v>
          </cell>
          <cell r="K19"/>
        </row>
        <row r="20">
          <cell r="B20" t="str">
            <v>903.052</v>
          </cell>
          <cell r="C20" t="str">
            <v>Sanitaire ruimte</v>
          </cell>
          <cell r="D20">
            <v>903</v>
          </cell>
          <cell r="E20">
            <v>3.3088235294117647E-2</v>
          </cell>
          <cell r="F20">
            <v>1571.5555555555554</v>
          </cell>
          <cell r="G20"/>
          <cell r="H20">
            <v>52</v>
          </cell>
          <cell r="I20" t="str">
            <v xml:space="preserve">1 x per week </v>
          </cell>
          <cell r="J20">
            <v>0</v>
          </cell>
          <cell r="K20"/>
        </row>
        <row r="21">
          <cell r="B21" t="str">
            <v>903.099</v>
          </cell>
          <cell r="C21" t="str">
            <v>Sanitaire ruimte</v>
          </cell>
          <cell r="D21">
            <v>903</v>
          </cell>
          <cell r="E21">
            <v>1.5</v>
          </cell>
          <cell r="F21">
            <v>66</v>
          </cell>
          <cell r="G21"/>
          <cell r="H21">
            <v>99</v>
          </cell>
          <cell r="I21" t="str">
            <v>Weekend dagen</v>
          </cell>
          <cell r="J21">
            <v>0</v>
          </cell>
          <cell r="K21"/>
        </row>
        <row r="22">
          <cell r="B22" t="str">
            <v>903.256</v>
          </cell>
          <cell r="C22" t="str">
            <v>Sanitaire ruimte</v>
          </cell>
          <cell r="D22">
            <v>903</v>
          </cell>
          <cell r="E22">
            <v>4.851</v>
          </cell>
          <cell r="F22">
            <v>52.772624201195633</v>
          </cell>
          <cell r="G22"/>
          <cell r="H22">
            <v>256</v>
          </cell>
          <cell r="I22" t="str">
            <v>Dagelijks</v>
          </cell>
          <cell r="J22">
            <v>31.35</v>
          </cell>
          <cell r="K22"/>
        </row>
        <row r="23">
          <cell r="B23" t="str">
            <v>904.012</v>
          </cell>
          <cell r="C23" t="str">
            <v>Entree, gang en hal</v>
          </cell>
          <cell r="D23">
            <v>904</v>
          </cell>
          <cell r="E23">
            <v>8.3096470588235299E-2</v>
          </cell>
          <cell r="F23">
            <v>144.41046551138294</v>
          </cell>
          <cell r="G23"/>
          <cell r="H23">
            <v>12</v>
          </cell>
          <cell r="I23" t="str">
            <v>1 x per maand</v>
          </cell>
          <cell r="J23">
            <v>32</v>
          </cell>
          <cell r="K23"/>
        </row>
        <row r="24">
          <cell r="B24" t="str">
            <v>904.052</v>
          </cell>
          <cell r="C24" t="str">
            <v>Entree, gang en hal</v>
          </cell>
          <cell r="D24">
            <v>904</v>
          </cell>
          <cell r="E24">
            <v>0.29006823529411763</v>
          </cell>
          <cell r="F24">
            <v>179.26816408309608</v>
          </cell>
          <cell r="G24"/>
          <cell r="H24">
            <v>52</v>
          </cell>
          <cell r="I24" t="str">
            <v xml:space="preserve">1 x per week </v>
          </cell>
          <cell r="J24">
            <v>300</v>
          </cell>
          <cell r="K24"/>
        </row>
        <row r="25">
          <cell r="B25" t="str">
            <v>904.099</v>
          </cell>
          <cell r="C25" t="str">
            <v>Entree, gang en hal</v>
          </cell>
          <cell r="D25">
            <v>904</v>
          </cell>
          <cell r="E25">
            <v>0.32692307692307693</v>
          </cell>
          <cell r="F25">
            <v>302.8235294117647</v>
          </cell>
          <cell r="G25"/>
          <cell r="H25">
            <v>99</v>
          </cell>
          <cell r="I25" t="str">
            <v>Weekend dagen</v>
          </cell>
          <cell r="J25">
            <v>0</v>
          </cell>
          <cell r="K25"/>
        </row>
        <row r="26">
          <cell r="B26" t="str">
            <v>904.104</v>
          </cell>
          <cell r="C26" t="str">
            <v>Entree, gang en hal</v>
          </cell>
          <cell r="D26">
            <v>904</v>
          </cell>
          <cell r="E26">
            <v>0.5401270588235294</v>
          </cell>
          <cell r="F26">
            <v>192.54728734851059</v>
          </cell>
          <cell r="G26"/>
          <cell r="H26">
            <v>104</v>
          </cell>
          <cell r="I26" t="str">
            <v>2 x per week</v>
          </cell>
          <cell r="J26">
            <v>127</v>
          </cell>
          <cell r="K26"/>
        </row>
        <row r="27">
          <cell r="B27" t="str">
            <v>904.010</v>
          </cell>
          <cell r="C27" t="str">
            <v>Entree, gang en hal</v>
          </cell>
          <cell r="D27">
            <v>904</v>
          </cell>
          <cell r="E27">
            <v>2.8846153846153848E-2</v>
          </cell>
          <cell r="F27">
            <v>346.66666666666663</v>
          </cell>
          <cell r="G27"/>
          <cell r="H27">
            <v>10</v>
          </cell>
          <cell r="I27" t="str">
            <v>Feestdagen</v>
          </cell>
          <cell r="J27">
            <v>0</v>
          </cell>
          <cell r="K27"/>
        </row>
        <row r="28">
          <cell r="B28" t="str">
            <v>904.156</v>
          </cell>
          <cell r="C28" t="str">
            <v>Entree, gang en hal</v>
          </cell>
          <cell r="D28">
            <v>904</v>
          </cell>
          <cell r="E28">
            <v>0.72016941176470584</v>
          </cell>
          <cell r="F28">
            <v>216.61569826707444</v>
          </cell>
          <cell r="G28"/>
          <cell r="H28">
            <v>156</v>
          </cell>
          <cell r="I28" t="str">
            <v>3 x per week</v>
          </cell>
          <cell r="J28">
            <v>520.4</v>
          </cell>
          <cell r="K28"/>
        </row>
        <row r="29">
          <cell r="B29" t="str">
            <v>904.256</v>
          </cell>
          <cell r="C29" t="str">
            <v>Entree, gang en hal</v>
          </cell>
          <cell r="D29">
            <v>904</v>
          </cell>
          <cell r="E29">
            <v>0.98099999999999998</v>
          </cell>
          <cell r="F29">
            <v>260.95820591233434</v>
          </cell>
          <cell r="G29"/>
          <cell r="H29">
            <v>256</v>
          </cell>
          <cell r="I29" t="str">
            <v>Dagelijks</v>
          </cell>
          <cell r="J29">
            <v>97</v>
          </cell>
          <cell r="K29"/>
        </row>
        <row r="30">
          <cell r="B30" t="str">
            <v>906.012</v>
          </cell>
          <cell r="C30" t="str">
            <v>Lift</v>
          </cell>
          <cell r="D30">
            <v>906</v>
          </cell>
          <cell r="E30">
            <v>4.2974283737024221E-3</v>
          </cell>
          <cell r="F30">
            <v>2792.3676572325221</v>
          </cell>
          <cell r="G30"/>
          <cell r="H30">
            <v>12</v>
          </cell>
          <cell r="I30" t="str">
            <v>1 x per maand</v>
          </cell>
          <cell r="J30">
            <v>2.5</v>
          </cell>
          <cell r="K30"/>
        </row>
        <row r="31">
          <cell r="B31" t="str">
            <v>906.052</v>
          </cell>
          <cell r="C31" t="str">
            <v>Lift</v>
          </cell>
          <cell r="D31">
            <v>906</v>
          </cell>
          <cell r="E31">
            <v>0.92631372549019608</v>
          </cell>
          <cell r="F31">
            <v>56.136488717666481</v>
          </cell>
          <cell r="G31"/>
          <cell r="H31">
            <v>52</v>
          </cell>
          <cell r="I31" t="str">
            <v xml:space="preserve">1 x per week </v>
          </cell>
          <cell r="J31">
            <v>39.5</v>
          </cell>
          <cell r="K31"/>
        </row>
        <row r="32">
          <cell r="B32" t="str">
            <v>906.104</v>
          </cell>
          <cell r="C32" t="str">
            <v>Lift</v>
          </cell>
          <cell r="D32">
            <v>906</v>
          </cell>
          <cell r="E32">
            <v>1.9750000000000001</v>
          </cell>
          <cell r="F32">
            <v>52.658227848101262</v>
          </cell>
          <cell r="G32"/>
          <cell r="H32">
            <v>104</v>
          </cell>
          <cell r="I32" t="str">
            <v>2 x per week</v>
          </cell>
          <cell r="J32">
            <v>0</v>
          </cell>
          <cell r="K32"/>
        </row>
        <row r="33">
          <cell r="B33" t="str">
            <v>906.256</v>
          </cell>
          <cell r="C33" t="str">
            <v>Lift</v>
          </cell>
          <cell r="D33">
            <v>906</v>
          </cell>
          <cell r="E33">
            <v>3.95</v>
          </cell>
          <cell r="F33">
            <v>64.810126582278471</v>
          </cell>
          <cell r="G33"/>
          <cell r="H33">
            <v>256</v>
          </cell>
          <cell r="I33" t="str">
            <v>Dagelijks</v>
          </cell>
          <cell r="J33">
            <v>6</v>
          </cell>
          <cell r="K33"/>
        </row>
        <row r="34">
          <cell r="B34" t="str">
            <v>907.004</v>
          </cell>
          <cell r="C34" t="str">
            <v>Trappenhuis</v>
          </cell>
          <cell r="D34">
            <v>907</v>
          </cell>
          <cell r="E34">
            <v>5.6807692307692302E-2</v>
          </cell>
          <cell r="F34">
            <v>70.412999322951933</v>
          </cell>
          <cell r="G34"/>
          <cell r="H34">
            <v>4</v>
          </cell>
          <cell r="I34" t="str">
            <v>4 x per jaar</v>
          </cell>
          <cell r="J34">
            <v>0</v>
          </cell>
          <cell r="K34"/>
        </row>
        <row r="35">
          <cell r="B35" t="str">
            <v>907.012</v>
          </cell>
          <cell r="C35" t="str">
            <v>Trappenhuis</v>
          </cell>
          <cell r="D35">
            <v>907</v>
          </cell>
          <cell r="E35">
            <v>4.9362352941176468E-2</v>
          </cell>
          <cell r="F35">
            <v>243.10024310024312</v>
          </cell>
          <cell r="G35"/>
          <cell r="H35">
            <v>12</v>
          </cell>
          <cell r="I35" t="str">
            <v>1 x per maand</v>
          </cell>
          <cell r="J35">
            <v>190</v>
          </cell>
          <cell r="K35"/>
        </row>
        <row r="36">
          <cell r="B36" t="str">
            <v>907.052</v>
          </cell>
          <cell r="C36" t="str">
            <v>Trappenhuis</v>
          </cell>
          <cell r="D36">
            <v>907</v>
          </cell>
          <cell r="E36">
            <v>0.56699999999999995</v>
          </cell>
          <cell r="F36">
            <v>91.710758377425051</v>
          </cell>
          <cell r="G36"/>
          <cell r="H36">
            <v>52</v>
          </cell>
          <cell r="I36" t="str">
            <v xml:space="preserve">1 x per week </v>
          </cell>
          <cell r="J36">
            <v>307</v>
          </cell>
          <cell r="K36"/>
        </row>
        <row r="37">
          <cell r="B37" t="str">
            <v>907.256</v>
          </cell>
          <cell r="C37" t="str">
            <v>Trappenhuis</v>
          </cell>
          <cell r="D37">
            <v>907</v>
          </cell>
          <cell r="E37">
            <v>2.11</v>
          </cell>
          <cell r="F37">
            <v>121.32701421800948</v>
          </cell>
          <cell r="G37"/>
          <cell r="H37">
            <v>256</v>
          </cell>
          <cell r="I37" t="str">
            <v>Dagelijks</v>
          </cell>
          <cell r="J37">
            <v>0</v>
          </cell>
          <cell r="K37"/>
        </row>
        <row r="38">
          <cell r="B38" t="str">
            <v>911.256</v>
          </cell>
          <cell r="C38" t="str">
            <v>Pantry</v>
          </cell>
          <cell r="D38">
            <v>911</v>
          </cell>
          <cell r="E38">
            <v>2.2869999999999999</v>
          </cell>
          <cell r="F38">
            <v>111.93703541757762</v>
          </cell>
          <cell r="G38"/>
          <cell r="H38">
            <v>256</v>
          </cell>
          <cell r="I38" t="str">
            <v>Dagelijks</v>
          </cell>
          <cell r="J38">
            <v>0</v>
          </cell>
          <cell r="K38"/>
        </row>
        <row r="39">
          <cell r="B39" t="str">
            <v>915.012</v>
          </cell>
          <cell r="C39" t="str">
            <v>Hygiënesluis</v>
          </cell>
          <cell r="D39">
            <v>915</v>
          </cell>
          <cell r="E39">
            <v>0.19327384615384618</v>
          </cell>
          <cell r="F39">
            <v>62.088069538637875</v>
          </cell>
          <cell r="G39"/>
          <cell r="H39">
            <v>12</v>
          </cell>
          <cell r="I39" t="str">
            <v>1 x per maand</v>
          </cell>
          <cell r="J39">
            <v>0</v>
          </cell>
          <cell r="K39"/>
        </row>
        <row r="40">
          <cell r="B40" t="str">
            <v>915.052</v>
          </cell>
          <cell r="C40" t="str">
            <v>Hygiënesluis</v>
          </cell>
          <cell r="D40">
            <v>915</v>
          </cell>
          <cell r="E40">
            <v>1.6588000000000001</v>
          </cell>
          <cell r="F40">
            <v>31.347962382445139</v>
          </cell>
          <cell r="G40"/>
          <cell r="H40">
            <v>52</v>
          </cell>
          <cell r="I40" t="str">
            <v xml:space="preserve">1 x per week </v>
          </cell>
          <cell r="J40">
            <v>50</v>
          </cell>
          <cell r="K40"/>
        </row>
        <row r="41">
          <cell r="B41" t="str">
            <v>915.099</v>
          </cell>
          <cell r="C41" t="str">
            <v>Hygiënesluis</v>
          </cell>
          <cell r="D41">
            <v>915</v>
          </cell>
          <cell r="E41">
            <v>1.0303030303030303</v>
          </cell>
          <cell r="F41">
            <v>96.088235294117652</v>
          </cell>
          <cell r="G41"/>
          <cell r="H41">
            <v>99</v>
          </cell>
          <cell r="I41" t="str">
            <v>Weekend dagen</v>
          </cell>
          <cell r="J41">
            <v>0</v>
          </cell>
          <cell r="K41"/>
        </row>
        <row r="42">
          <cell r="B42" t="str">
            <v>915.010</v>
          </cell>
          <cell r="C42" t="str">
            <v>Hygiënesluis</v>
          </cell>
          <cell r="D42">
            <v>915</v>
          </cell>
          <cell r="E42">
            <v>9.7826086956521743E-2</v>
          </cell>
          <cell r="F42">
            <v>102.22222222222221</v>
          </cell>
          <cell r="G42"/>
          <cell r="H42">
            <v>10</v>
          </cell>
          <cell r="I42" t="str">
            <v>Feestdagen</v>
          </cell>
          <cell r="J42">
            <v>0</v>
          </cell>
          <cell r="K42"/>
        </row>
        <row r="43">
          <cell r="B43" t="str">
            <v>915.156</v>
          </cell>
          <cell r="C43" t="str">
            <v>Hygiënesluis</v>
          </cell>
          <cell r="D43">
            <v>915</v>
          </cell>
          <cell r="E43">
            <v>2.7</v>
          </cell>
          <cell r="F43">
            <v>57.777777777777771</v>
          </cell>
          <cell r="G43"/>
          <cell r="H43">
            <v>156</v>
          </cell>
          <cell r="I43" t="str">
            <v>3 x per week</v>
          </cell>
          <cell r="J43">
            <v>0</v>
          </cell>
          <cell r="K43"/>
        </row>
        <row r="44">
          <cell r="B44" t="str">
            <v>915.256</v>
          </cell>
          <cell r="C44" t="str">
            <v>Hygiënesluis</v>
          </cell>
          <cell r="D44">
            <v>915</v>
          </cell>
          <cell r="E44">
            <v>5.61</v>
          </cell>
          <cell r="F44">
            <v>45.632798573975045</v>
          </cell>
          <cell r="G44"/>
          <cell r="H44">
            <v>256</v>
          </cell>
          <cell r="I44" t="str">
            <v>Dagelijks</v>
          </cell>
          <cell r="J44">
            <v>265.27999999999997</v>
          </cell>
          <cell r="K44"/>
        </row>
        <row r="45">
          <cell r="B45" t="str">
            <v>916.052</v>
          </cell>
          <cell r="C45" t="str">
            <v>Vloer en vaste bouwdelen</v>
          </cell>
          <cell r="D45">
            <v>916</v>
          </cell>
          <cell r="E45">
            <v>0.1015625</v>
          </cell>
          <cell r="F45">
            <v>512</v>
          </cell>
          <cell r="G45"/>
          <cell r="H45">
            <v>52</v>
          </cell>
          <cell r="I45" t="str">
            <v xml:space="preserve">1 x per week </v>
          </cell>
          <cell r="J45">
            <v>0</v>
          </cell>
          <cell r="K45"/>
        </row>
        <row r="46">
          <cell r="B46" t="str">
            <v>916.156</v>
          </cell>
          <cell r="C46" t="str">
            <v>Vloer en vaste bouwdelen</v>
          </cell>
          <cell r="D46">
            <v>916</v>
          </cell>
          <cell r="E46">
            <v>1.4019999999999999</v>
          </cell>
          <cell r="F46">
            <v>111.26961483594866</v>
          </cell>
          <cell r="G46"/>
          <cell r="H46">
            <v>156</v>
          </cell>
          <cell r="I46" t="str">
            <v>3 x per week</v>
          </cell>
          <cell r="J46">
            <v>288.5</v>
          </cell>
          <cell r="K46"/>
        </row>
        <row r="47">
          <cell r="B47" t="str">
            <v>917.256</v>
          </cell>
          <cell r="C47" t="str">
            <v>Container</v>
          </cell>
          <cell r="D47">
            <v>917</v>
          </cell>
          <cell r="E47">
            <v>0.5</v>
          </cell>
          <cell r="F47">
            <v>512</v>
          </cell>
          <cell r="G47"/>
          <cell r="H47">
            <v>256</v>
          </cell>
          <cell r="I47" t="str">
            <v>Dagelijks</v>
          </cell>
          <cell r="J47">
            <v>0</v>
          </cell>
          <cell r="K47"/>
        </row>
        <row r="48">
          <cell r="B48" t="str">
            <v>918.012</v>
          </cell>
          <cell r="C48" t="str">
            <v>Productieruimte</v>
          </cell>
          <cell r="D48">
            <v>918</v>
          </cell>
          <cell r="E48">
            <v>0.24249230769230767</v>
          </cell>
          <cell r="F48">
            <v>49.486105824134</v>
          </cell>
          <cell r="G48"/>
          <cell r="H48">
            <v>12</v>
          </cell>
          <cell r="I48" t="str">
            <v>1 x per maand</v>
          </cell>
          <cell r="J48">
            <v>854</v>
          </cell>
          <cell r="K48"/>
        </row>
        <row r="49">
          <cell r="B49" t="str">
            <v>918.052</v>
          </cell>
          <cell r="C49" t="str">
            <v>Productieruimte</v>
          </cell>
          <cell r="D49">
            <v>918</v>
          </cell>
          <cell r="E49">
            <v>0.56799999999999995</v>
          </cell>
          <cell r="F49">
            <v>91.549295774647902</v>
          </cell>
          <cell r="G49"/>
          <cell r="H49">
            <v>52</v>
          </cell>
          <cell r="I49" t="str">
            <v xml:space="preserve">1 x per week </v>
          </cell>
          <cell r="J49">
            <v>1724</v>
          </cell>
          <cell r="K49"/>
        </row>
        <row r="50">
          <cell r="B50" t="str">
            <v>919.256</v>
          </cell>
          <cell r="C50" t="str">
            <v>Kleedruimte</v>
          </cell>
          <cell r="D50">
            <v>919</v>
          </cell>
          <cell r="E50">
            <v>1.5840000000000001</v>
          </cell>
          <cell r="F50">
            <v>161.61616161616161</v>
          </cell>
          <cell r="G50"/>
          <cell r="H50">
            <v>256</v>
          </cell>
          <cell r="I50" t="str">
            <v>Dagelijks</v>
          </cell>
          <cell r="J50">
            <v>24.5</v>
          </cell>
          <cell r="K50"/>
        </row>
        <row r="51">
          <cell r="B51" t="str">
            <v>920.256</v>
          </cell>
          <cell r="C51" t="str">
            <v>Kantine, keuken en pantry</v>
          </cell>
          <cell r="D51">
            <v>920</v>
          </cell>
          <cell r="E51">
            <v>2.4580000000000002</v>
          </cell>
          <cell r="F51">
            <v>104.14971521562245</v>
          </cell>
          <cell r="G51"/>
          <cell r="H51">
            <v>256</v>
          </cell>
          <cell r="I51" t="str">
            <v>Dagelijks</v>
          </cell>
          <cell r="J51">
            <v>23</v>
          </cell>
          <cell r="K51"/>
        </row>
        <row r="52">
          <cell r="B52" t="str">
            <v>Nvt</v>
          </cell>
          <cell r="C52" t="str">
            <v>Niet van toepassing</v>
          </cell>
          <cell r="D52"/>
          <cell r="E52"/>
          <cell r="F52"/>
          <cell r="G52"/>
          <cell r="H52"/>
          <cell r="I52"/>
          <cell r="J52"/>
          <cell r="K52"/>
        </row>
        <row r="53">
          <cell r="B53"/>
        </row>
        <row r="54">
          <cell r="B54"/>
        </row>
        <row r="55">
          <cell r="B55"/>
        </row>
        <row r="56">
          <cell r="B56" t="str">
            <v>KANOOR</v>
          </cell>
        </row>
        <row r="57">
          <cell r="B57" t="str">
            <v>PROGRAMMA CODE</v>
          </cell>
          <cell r="C57" t="str">
            <v>RUIMTE CATEGORIE</v>
          </cell>
          <cell r="D57"/>
          <cell r="E57" t="str">
            <v>KENGETAL</v>
          </cell>
          <cell r="F57" t="str">
            <v>PRODUCTIENORM</v>
          </cell>
          <cell r="G57" t="str">
            <v xml:space="preserve"> </v>
          </cell>
          <cell r="H57" t="str">
            <v>FREQ NOTATIE</v>
          </cell>
          <cell r="I57" t="str">
            <v>FREQ. OMSCHRIJVING</v>
          </cell>
          <cell r="J57" t="str">
            <v>AANTAL M2</v>
          </cell>
        </row>
        <row r="58">
          <cell r="B58" t="str">
            <v>-</v>
          </cell>
          <cell r="C58"/>
          <cell r="D58"/>
          <cell r="E58"/>
          <cell r="F58"/>
          <cell r="G58"/>
          <cell r="H58"/>
          <cell r="I58"/>
          <cell r="J58"/>
        </row>
        <row r="59">
          <cell r="B59" t="str">
            <v>101.052</v>
          </cell>
          <cell r="C59" t="str">
            <v>Administratieve ruimte</v>
          </cell>
          <cell r="D59">
            <v>101</v>
          </cell>
          <cell r="E59">
            <v>0.25900000000000001</v>
          </cell>
          <cell r="F59">
            <v>200.77220077220076</v>
          </cell>
          <cell r="G59"/>
          <cell r="H59">
            <v>52</v>
          </cell>
          <cell r="I59" t="str">
            <v xml:space="preserve">1 x per week </v>
          </cell>
          <cell r="J59">
            <v>117.5</v>
          </cell>
        </row>
        <row r="60">
          <cell r="B60" t="str">
            <v>101.104</v>
          </cell>
          <cell r="C60" t="str">
            <v>Administratieve ruimte</v>
          </cell>
          <cell r="D60">
            <v>101</v>
          </cell>
          <cell r="E60">
            <v>0.34499999999999997</v>
          </cell>
          <cell r="F60">
            <v>301.44927536231887</v>
          </cell>
          <cell r="G60"/>
          <cell r="H60">
            <v>104</v>
          </cell>
          <cell r="I60" t="str">
            <v>2 x per week</v>
          </cell>
          <cell r="J60">
            <v>498.6</v>
          </cell>
        </row>
        <row r="61">
          <cell r="B61" t="str">
            <v>101.256</v>
          </cell>
          <cell r="C61" t="str">
            <v>Administratieve ruimte</v>
          </cell>
          <cell r="D61">
            <v>101</v>
          </cell>
          <cell r="E61">
            <v>0.69</v>
          </cell>
          <cell r="F61">
            <v>371.01449275362324</v>
          </cell>
          <cell r="G61"/>
          <cell r="H61">
            <v>256</v>
          </cell>
          <cell r="I61" t="str">
            <v>Dagelijks</v>
          </cell>
          <cell r="J61">
            <v>343.1</v>
          </cell>
        </row>
        <row r="62">
          <cell r="B62" t="str">
            <v>103.052</v>
          </cell>
          <cell r="C62" t="str">
            <v>Sanitaire ruimte</v>
          </cell>
          <cell r="D62">
            <v>103</v>
          </cell>
          <cell r="E62">
            <v>0.72499999999999998</v>
          </cell>
          <cell r="F62">
            <v>71.724137931034491</v>
          </cell>
          <cell r="G62"/>
          <cell r="H62">
            <v>52</v>
          </cell>
          <cell r="I62" t="str">
            <v xml:space="preserve">1 x per week </v>
          </cell>
          <cell r="J62">
            <v>7.75</v>
          </cell>
        </row>
        <row r="63">
          <cell r="B63" t="str">
            <v>103.256</v>
          </cell>
          <cell r="C63" t="str">
            <v>Sanitaire ruimte</v>
          </cell>
          <cell r="D63">
            <v>103</v>
          </cell>
          <cell r="E63">
            <v>3.25</v>
          </cell>
          <cell r="F63">
            <v>78.769230769230774</v>
          </cell>
          <cell r="G63"/>
          <cell r="H63">
            <v>256</v>
          </cell>
          <cell r="I63" t="str">
            <v>Dagelijks</v>
          </cell>
          <cell r="J63">
            <v>0</v>
          </cell>
        </row>
        <row r="64">
          <cell r="B64" t="str">
            <v>103.512</v>
          </cell>
          <cell r="C64" t="str">
            <v>Sanitaire ruimte</v>
          </cell>
          <cell r="D64">
            <v>103</v>
          </cell>
          <cell r="E64">
            <v>5.07</v>
          </cell>
          <cell r="F64">
            <v>100.98619329388559</v>
          </cell>
          <cell r="G64"/>
          <cell r="H64">
            <v>512</v>
          </cell>
          <cell r="I64" t="str">
            <v>Dagelijks + naloop</v>
          </cell>
          <cell r="J64">
            <v>116.55</v>
          </cell>
        </row>
        <row r="65">
          <cell r="B65" t="str">
            <v>103.198</v>
          </cell>
          <cell r="C65" t="str">
            <v>Sanitaire ruimte</v>
          </cell>
          <cell r="D65">
            <v>103</v>
          </cell>
          <cell r="E65">
            <v>2.5063291139240507</v>
          </cell>
          <cell r="F65">
            <v>79</v>
          </cell>
          <cell r="G65"/>
          <cell r="H65">
            <v>198</v>
          </cell>
          <cell r="I65" t="str">
            <v>Weekend dagen + naloop</v>
          </cell>
          <cell r="J65"/>
        </row>
        <row r="66">
          <cell r="B66" t="str">
            <v>103.020</v>
          </cell>
          <cell r="C66" t="str">
            <v>Sanitaire ruimte</v>
          </cell>
          <cell r="D66">
            <v>103</v>
          </cell>
          <cell r="E66">
            <v>0.25316455696202533</v>
          </cell>
          <cell r="F66">
            <v>79</v>
          </cell>
          <cell r="G66"/>
          <cell r="H66">
            <v>20</v>
          </cell>
          <cell r="I66" t="str">
            <v>Feestdagen + naloop</v>
          </cell>
          <cell r="J66"/>
        </row>
        <row r="67">
          <cell r="B67" t="str">
            <v>104.052</v>
          </cell>
          <cell r="C67" t="str">
            <v>Entree, gang en hal</v>
          </cell>
          <cell r="D67">
            <v>104</v>
          </cell>
          <cell r="E67">
            <v>0.14067000000000002</v>
          </cell>
          <cell r="F67">
            <v>369.65948674202031</v>
          </cell>
          <cell r="G67"/>
          <cell r="H67">
            <v>52</v>
          </cell>
          <cell r="I67" t="str">
            <v xml:space="preserve">1 x per week </v>
          </cell>
          <cell r="J67">
            <v>44.9</v>
          </cell>
        </row>
        <row r="68">
          <cell r="B68" t="str">
            <v>104.256</v>
          </cell>
          <cell r="C68" t="str">
            <v>Entree, gang en hal</v>
          </cell>
          <cell r="D68">
            <v>104</v>
          </cell>
          <cell r="E68">
            <v>0.52100000000000002</v>
          </cell>
          <cell r="F68">
            <v>491.36276391554702</v>
          </cell>
          <cell r="G68"/>
          <cell r="H68">
            <v>256</v>
          </cell>
          <cell r="I68" t="str">
            <v>Dagelijks</v>
          </cell>
          <cell r="J68">
            <v>463.35</v>
          </cell>
        </row>
        <row r="69">
          <cell r="B69" t="str">
            <v>107.052</v>
          </cell>
          <cell r="C69" t="str">
            <v>Trappenhuis</v>
          </cell>
          <cell r="D69">
            <v>107</v>
          </cell>
          <cell r="E69">
            <v>0.75800000000000001</v>
          </cell>
          <cell r="F69">
            <v>68.601583113456471</v>
          </cell>
          <cell r="G69"/>
          <cell r="H69">
            <v>52</v>
          </cell>
          <cell r="I69" t="str">
            <v xml:space="preserve">1 x per week </v>
          </cell>
          <cell r="J69">
            <v>7</v>
          </cell>
        </row>
        <row r="70">
          <cell r="B70" t="str">
            <v>107.256</v>
          </cell>
          <cell r="C70" t="str">
            <v>Trappenhuis</v>
          </cell>
          <cell r="D70">
            <v>107</v>
          </cell>
          <cell r="E70">
            <v>1.85</v>
          </cell>
          <cell r="F70">
            <v>138.37837837837836</v>
          </cell>
          <cell r="G70"/>
          <cell r="H70">
            <v>256</v>
          </cell>
          <cell r="I70" t="str">
            <v>Dagelijks</v>
          </cell>
          <cell r="J70">
            <v>31.1</v>
          </cell>
        </row>
        <row r="71">
          <cell r="B71" t="str">
            <v>111.256</v>
          </cell>
          <cell r="C71" t="str">
            <v>Pantry</v>
          </cell>
          <cell r="D71">
            <v>111</v>
          </cell>
          <cell r="E71">
            <v>1.0980000000000001</v>
          </cell>
          <cell r="F71">
            <v>233.1511839708561</v>
          </cell>
          <cell r="G71"/>
          <cell r="H71">
            <v>256</v>
          </cell>
          <cell r="I71" t="str">
            <v>Dagelijks</v>
          </cell>
          <cell r="J71">
            <v>0</v>
          </cell>
        </row>
        <row r="72">
          <cell r="B72" t="str">
            <v>119.256</v>
          </cell>
          <cell r="C72" t="str">
            <v>Kleedruimte</v>
          </cell>
          <cell r="D72">
            <v>119</v>
          </cell>
          <cell r="E72">
            <v>1.02</v>
          </cell>
          <cell r="F72">
            <v>250.98039215686273</v>
          </cell>
          <cell r="G72"/>
          <cell r="H72">
            <v>256</v>
          </cell>
          <cell r="I72" t="str">
            <v>Dagelijks</v>
          </cell>
          <cell r="J72">
            <v>0</v>
          </cell>
        </row>
        <row r="73">
          <cell r="B73" t="str">
            <v>119.512</v>
          </cell>
          <cell r="C73" t="str">
            <v>Kleedruimte</v>
          </cell>
          <cell r="D73">
            <v>119</v>
          </cell>
          <cell r="E73">
            <v>1.5912000000000002</v>
          </cell>
          <cell r="F73">
            <v>321.76973353443941</v>
          </cell>
          <cell r="G73"/>
          <cell r="H73">
            <v>512</v>
          </cell>
          <cell r="I73" t="str">
            <v>Dagelijks + naloop</v>
          </cell>
          <cell r="J73">
            <v>171.8</v>
          </cell>
        </row>
        <row r="74">
          <cell r="B74" t="str">
            <v>119.198</v>
          </cell>
          <cell r="C74" t="str">
            <v>Kleedruimte</v>
          </cell>
          <cell r="D74">
            <v>119</v>
          </cell>
          <cell r="E74">
            <v>0.75862068965517238</v>
          </cell>
          <cell r="F74">
            <v>261</v>
          </cell>
          <cell r="G74"/>
          <cell r="H74">
            <v>198</v>
          </cell>
          <cell r="I74" t="str">
            <v>Weekend dagen + naloop</v>
          </cell>
          <cell r="J74"/>
        </row>
        <row r="75">
          <cell r="B75" t="str">
            <v>119.020</v>
          </cell>
          <cell r="C75" t="str">
            <v>Kleedruimte</v>
          </cell>
          <cell r="D75">
            <v>119</v>
          </cell>
          <cell r="E75">
            <v>7.662835249042145E-2</v>
          </cell>
          <cell r="F75">
            <v>261</v>
          </cell>
          <cell r="G75"/>
          <cell r="H75">
            <v>20</v>
          </cell>
          <cell r="I75" t="str">
            <v>Feestdagen + naloop</v>
          </cell>
          <cell r="J75"/>
        </row>
        <row r="76">
          <cell r="B76" t="str">
            <v>120.052</v>
          </cell>
          <cell r="C76" t="str">
            <v>Kantine, keuken en pantry</v>
          </cell>
          <cell r="D76">
            <v>120</v>
          </cell>
          <cell r="E76">
            <v>0.56899999999999995</v>
          </cell>
          <cell r="F76">
            <v>91.38840070298771</v>
          </cell>
          <cell r="G76"/>
          <cell r="H76">
            <v>52</v>
          </cell>
          <cell r="I76" t="str">
            <v xml:space="preserve">1 x per week </v>
          </cell>
          <cell r="J76">
            <v>30.15</v>
          </cell>
        </row>
        <row r="77">
          <cell r="B77" t="str">
            <v>120.256</v>
          </cell>
          <cell r="C77" t="str">
            <v>Kantine, keuken en pantry</v>
          </cell>
          <cell r="D77">
            <v>120</v>
          </cell>
          <cell r="E77">
            <v>1.256</v>
          </cell>
          <cell r="F77">
            <v>203.82165605095543</v>
          </cell>
          <cell r="G77"/>
          <cell r="H77">
            <v>256</v>
          </cell>
          <cell r="I77" t="str">
            <v>Dagelijks</v>
          </cell>
          <cell r="J77">
            <v>42.4</v>
          </cell>
        </row>
        <row r="78">
          <cell r="B78" t="str">
            <v>120.512</v>
          </cell>
          <cell r="C78" t="str">
            <v>Kantine, keuken en pantry</v>
          </cell>
          <cell r="D78">
            <v>120</v>
          </cell>
          <cell r="E78">
            <v>1.95936</v>
          </cell>
          <cell r="F78">
            <v>261.30981544994285</v>
          </cell>
          <cell r="G78"/>
          <cell r="H78">
            <v>512</v>
          </cell>
          <cell r="I78" t="str">
            <v>Dagelijks + naloop</v>
          </cell>
          <cell r="J78">
            <v>193.25</v>
          </cell>
        </row>
        <row r="79">
          <cell r="B79" t="str">
            <v>120.198</v>
          </cell>
          <cell r="C79" t="str">
            <v>Kantine, keuken en pantry</v>
          </cell>
          <cell r="D79">
            <v>120</v>
          </cell>
          <cell r="E79">
            <v>0.79200000000000004</v>
          </cell>
          <cell r="F79">
            <v>250</v>
          </cell>
          <cell r="G79"/>
          <cell r="H79">
            <v>198</v>
          </cell>
          <cell r="I79" t="str">
            <v>Weekend dagen + naloop</v>
          </cell>
          <cell r="J79">
            <v>0</v>
          </cell>
        </row>
        <row r="80">
          <cell r="B80" t="str">
            <v>120.020</v>
          </cell>
          <cell r="C80" t="str">
            <v>Kantine, keuken en pantry</v>
          </cell>
          <cell r="D80">
            <v>120</v>
          </cell>
          <cell r="E80">
            <v>0.08</v>
          </cell>
          <cell r="F80">
            <v>250</v>
          </cell>
          <cell r="G80"/>
          <cell r="H80">
            <v>20</v>
          </cell>
          <cell r="I80" t="str">
            <v>Feestdagen + naloop</v>
          </cell>
          <cell r="J80">
            <v>0</v>
          </cell>
        </row>
        <row r="81">
          <cell r="B81" t="str">
            <v>121.052</v>
          </cell>
          <cell r="C81" t="str">
            <v>Legionella (doorspoelen waterpunten)</v>
          </cell>
          <cell r="D81">
            <v>121</v>
          </cell>
          <cell r="E81">
            <v>2</v>
          </cell>
          <cell r="F81">
            <v>26</v>
          </cell>
          <cell r="G81"/>
          <cell r="H81">
            <v>52</v>
          </cell>
          <cell r="I81" t="str">
            <v xml:space="preserve">1 x per week </v>
          </cell>
          <cell r="J81">
            <v>4.9000000000000004</v>
          </cell>
        </row>
        <row r="82">
          <cell r="B82" t="str">
            <v>Nvt</v>
          </cell>
          <cell r="C82" t="str">
            <v>Niet van toepassing</v>
          </cell>
          <cell r="D82"/>
          <cell r="E82"/>
          <cell r="F82"/>
          <cell r="G82"/>
          <cell r="H82"/>
          <cell r="I82"/>
          <cell r="J82"/>
        </row>
      </sheetData>
      <sheetData sheetId="7"/>
      <sheetData sheetId="8"/>
      <sheetData sheetId="9"/>
      <sheetData sheetId="10">
        <row r="18">
          <cell r="I18" t="str">
            <v>Lngr 1 : Vakvolwassen 3 jaar</v>
          </cell>
          <cell r="J18" t="str">
            <v>Lngr 2 : Vakvolwassen 3 jaar</v>
          </cell>
          <cell r="K18"/>
          <cell r="L18" t="str">
            <v>Lngr 2 : Vakvolwassen 4 jaar</v>
          </cell>
          <cell r="M18" t="str">
            <v>Lngr 3 : Vakvolwassen 4 jaar</v>
          </cell>
          <cell r="N18"/>
          <cell r="O18" t="str">
            <v>Lngr 4 : Vakvolwassen 3 jaar</v>
          </cell>
          <cell r="P18" t="str">
            <v>Lngr 5 : Vakvolwassen 4 jaar</v>
          </cell>
          <cell r="Q18" t="str">
            <v>Selecteer categorie medewerker Selecteer het aantal dienstjaren jaar</v>
          </cell>
          <cell r="R18"/>
          <cell r="S18" t="str">
            <v>Selecteer categorie medewerker Selecteer het aantal dienstjaren jaar</v>
          </cell>
          <cell r="T18" t="str">
            <v>Selecteer categorie medewerker Selecteer het aantal dienstjaren jaar</v>
          </cell>
          <cell r="U18" t="str">
            <v>Selecteer categorie medewerker Selecteer het aantal dienstjaren jaar</v>
          </cell>
        </row>
      </sheetData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 Calculatiemodel"/>
      <sheetName val="Voorblad"/>
      <sheetName val="1.0-Contractblad"/>
      <sheetName val="1.1a-Jaarprijzen"/>
      <sheetName val="1.2-Kengetal"/>
      <sheetName val="Blad1"/>
      <sheetName val="1.3-Basis ruimtestaat"/>
      <sheetName val="1.3a-Mutaties"/>
      <sheetName val="1.3b Verrekening mutaties"/>
      <sheetName val="1.3a-Basis Mutatie"/>
      <sheetName val="1.5-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/>
      <sheetData sheetId="3"/>
      <sheetData sheetId="4">
        <row r="16">
          <cell r="C16">
            <v>0</v>
          </cell>
        </row>
        <row r="17">
          <cell r="C17">
            <v>1040</v>
          </cell>
          <cell r="E17">
            <v>40</v>
          </cell>
          <cell r="F17" t="str">
            <v>administratieve -, personeels- en vergaderruimte</v>
          </cell>
          <cell r="G17" t="str">
            <v>40 keer per jaar</v>
          </cell>
          <cell r="H17">
            <v>0.122</v>
          </cell>
          <cell r="I17">
            <v>0.122</v>
          </cell>
          <cell r="J17">
            <v>0.13200000000000001</v>
          </cell>
          <cell r="K17">
            <v>0.107</v>
          </cell>
          <cell r="L17">
            <v>0.12075</v>
          </cell>
          <cell r="M17">
            <v>5.3999999999999999E-2</v>
          </cell>
          <cell r="N17">
            <v>5.3999999999999999E-2</v>
          </cell>
          <cell r="O17">
            <v>3.5999999999999997E-2</v>
          </cell>
          <cell r="P17">
            <v>2.4E-2</v>
          </cell>
          <cell r="Q17">
            <v>4.1999999999999996E-2</v>
          </cell>
          <cell r="R17">
            <v>245.77572964669739</v>
          </cell>
          <cell r="S17">
            <v>0</v>
          </cell>
          <cell r="U17" t="str">
            <v/>
          </cell>
          <cell r="W17" t="str">
            <v>V</v>
          </cell>
        </row>
        <row r="18">
          <cell r="C18" t="str">
            <v>01.040vl</v>
          </cell>
          <cell r="E18">
            <v>40</v>
          </cell>
          <cell r="F18" t="str">
            <v>administratieve -, personeels- en vergaderruimte</v>
          </cell>
          <cell r="G18" t="str">
            <v>40 keer per jaar</v>
          </cell>
          <cell r="H18">
            <v>0.122</v>
          </cell>
          <cell r="I18">
            <v>0.122</v>
          </cell>
          <cell r="J18">
            <v>0.13200000000000001</v>
          </cell>
          <cell r="K18">
            <v>0.107</v>
          </cell>
          <cell r="L18">
            <v>0.12075</v>
          </cell>
          <cell r="M18">
            <v>5.3999999999999999E-2</v>
          </cell>
          <cell r="N18">
            <v>5.3999999999999999E-2</v>
          </cell>
          <cell r="O18">
            <v>3.5999999999999997E-2</v>
          </cell>
          <cell r="P18">
            <v>2.4E-2</v>
          </cell>
          <cell r="Q18">
            <v>4.1999999999999996E-2</v>
          </cell>
          <cell r="R18">
            <v>245.77572964669739</v>
          </cell>
          <cell r="S18">
            <v>0</v>
          </cell>
          <cell r="U18" t="str">
            <v/>
          </cell>
          <cell r="W18" t="str">
            <v>V</v>
          </cell>
        </row>
        <row r="19">
          <cell r="C19">
            <v>1080</v>
          </cell>
          <cell r="E19">
            <v>80</v>
          </cell>
          <cell r="F19" t="str">
            <v>administratieve -, personeels- en vergaderruimte</v>
          </cell>
          <cell r="G19" t="str">
            <v>80 keer per jaar</v>
          </cell>
          <cell r="H19">
            <v>0.22</v>
          </cell>
          <cell r="I19">
            <v>0.22</v>
          </cell>
          <cell r="J19">
            <v>0.23799999999999999</v>
          </cell>
          <cell r="K19">
            <v>0.19400000000000001</v>
          </cell>
          <cell r="L19">
            <v>0.21799999999999997</v>
          </cell>
          <cell r="M19">
            <v>5.3999999999999999E-2</v>
          </cell>
          <cell r="N19">
            <v>5.3999999999999999E-2</v>
          </cell>
          <cell r="O19">
            <v>3.5999999999999997E-2</v>
          </cell>
          <cell r="P19">
            <v>2.4E-2</v>
          </cell>
          <cell r="Q19">
            <v>4.1999999999999996E-2</v>
          </cell>
          <cell r="R19">
            <v>307.69230769230774</v>
          </cell>
          <cell r="S19">
            <v>0</v>
          </cell>
          <cell r="U19" t="str">
            <v/>
          </cell>
          <cell r="W19" t="str">
            <v>V</v>
          </cell>
        </row>
        <row r="20">
          <cell r="C20">
            <v>1098</v>
          </cell>
          <cell r="E20">
            <v>98</v>
          </cell>
          <cell r="F20" t="str">
            <v>administratieve -, personeels- en vergaderruimte</v>
          </cell>
          <cell r="G20" t="str">
            <v>98 keer per jaar 49 weken</v>
          </cell>
          <cell r="H20">
            <v>0.26900000000000002</v>
          </cell>
          <cell r="I20">
            <v>0.26900000000000002</v>
          </cell>
          <cell r="J20">
            <v>0.29199999999999998</v>
          </cell>
          <cell r="K20">
            <v>0.23699999999999999</v>
          </cell>
          <cell r="L20">
            <v>0.26675000000000004</v>
          </cell>
          <cell r="M20">
            <v>5.3999999999999999E-2</v>
          </cell>
          <cell r="N20">
            <v>5.3999999999999999E-2</v>
          </cell>
          <cell r="O20">
            <v>3.5999999999999997E-2</v>
          </cell>
          <cell r="P20">
            <v>2.4E-2</v>
          </cell>
          <cell r="Q20">
            <v>4.1999999999999996E-2</v>
          </cell>
          <cell r="R20">
            <v>317.40890688259105</v>
          </cell>
          <cell r="S20">
            <v>0</v>
          </cell>
          <cell r="U20" t="str">
            <v/>
          </cell>
          <cell r="W20" t="str">
            <v>V</v>
          </cell>
        </row>
        <row r="21">
          <cell r="C21">
            <v>1200</v>
          </cell>
          <cell r="E21">
            <v>200</v>
          </cell>
          <cell r="F21" t="str">
            <v>administratieve -, personeels- en vergaderruimte</v>
          </cell>
          <cell r="G21" t="str">
            <v>200 keer per jaar</v>
          </cell>
          <cell r="H21">
            <v>0.45</v>
          </cell>
          <cell r="I21">
            <v>0.45</v>
          </cell>
          <cell r="J21">
            <v>0.48799999999999999</v>
          </cell>
          <cell r="K21">
            <v>0.39700000000000002</v>
          </cell>
          <cell r="L21">
            <v>0.44624999999999998</v>
          </cell>
          <cell r="M21">
            <v>5.3999999999999999E-2</v>
          </cell>
          <cell r="N21">
            <v>5.3999999999999999E-2</v>
          </cell>
          <cell r="O21">
            <v>3.5999999999999997E-2</v>
          </cell>
          <cell r="P21">
            <v>2.4E-2</v>
          </cell>
          <cell r="Q21">
            <v>4.1999999999999996E-2</v>
          </cell>
          <cell r="R21">
            <v>409.62621607782899</v>
          </cell>
          <cell r="S21">
            <v>1142.5169999999998</v>
          </cell>
          <cell r="U21">
            <v>6.6922538525128639E-2</v>
          </cell>
          <cell r="W21" t="str">
            <v>V</v>
          </cell>
        </row>
        <row r="22">
          <cell r="C22">
            <v>1251</v>
          </cell>
          <cell r="E22">
            <v>251</v>
          </cell>
          <cell r="F22" t="str">
            <v>administratieve -, personeels- en vergaderruimte</v>
          </cell>
          <cell r="G22" t="str">
            <v>251 keer per jaar</v>
          </cell>
          <cell r="H22">
            <v>0.56499999999999995</v>
          </cell>
          <cell r="I22">
            <v>0.56499999999999995</v>
          </cell>
          <cell r="J22">
            <v>0.61199999999999999</v>
          </cell>
          <cell r="K22">
            <v>0.498</v>
          </cell>
          <cell r="L22">
            <v>0.56000000000000005</v>
          </cell>
          <cell r="M22">
            <v>5.3999999999999999E-2</v>
          </cell>
          <cell r="N22">
            <v>5.3999999999999999E-2</v>
          </cell>
          <cell r="O22">
            <v>3.5999999999999997E-2</v>
          </cell>
          <cell r="P22">
            <v>2.4E-2</v>
          </cell>
          <cell r="Q22">
            <v>4.1999999999999996E-2</v>
          </cell>
          <cell r="R22">
            <v>416.94352159468434</v>
          </cell>
          <cell r="S22">
            <v>9.6999999999999993</v>
          </cell>
          <cell r="U22">
            <v>5.6817414856299541E-4</v>
          </cell>
          <cell r="W22" t="str">
            <v>V</v>
          </cell>
        </row>
        <row r="23">
          <cell r="C23">
            <v>2040</v>
          </cell>
          <cell r="E23">
            <v>40</v>
          </cell>
          <cell r="F23" t="str">
            <v>aula, gemeenschappelijke ruimte, bibliotheek</v>
          </cell>
          <cell r="G23" t="str">
            <v>40 keer per jaar</v>
          </cell>
          <cell r="H23">
            <v>0.10299999999999999</v>
          </cell>
          <cell r="I23">
            <v>0.10299999999999999</v>
          </cell>
          <cell r="J23">
            <v>0.112</v>
          </cell>
          <cell r="K23">
            <v>9.1999999999999998E-2</v>
          </cell>
          <cell r="L23">
            <v>0.10250000000000001</v>
          </cell>
          <cell r="M23">
            <v>0.107</v>
          </cell>
          <cell r="N23">
            <v>0.107</v>
          </cell>
          <cell r="O23">
            <v>0.107</v>
          </cell>
          <cell r="P23">
            <v>0.107</v>
          </cell>
          <cell r="Q23">
            <v>0.107</v>
          </cell>
          <cell r="R23">
            <v>190.93078758949878</v>
          </cell>
          <cell r="S23">
            <v>0</v>
          </cell>
          <cell r="U23" t="str">
            <v/>
          </cell>
          <cell r="W23" t="str">
            <v>V</v>
          </cell>
        </row>
        <row r="24">
          <cell r="C24">
            <v>2051</v>
          </cell>
          <cell r="E24">
            <v>51</v>
          </cell>
          <cell r="F24" t="str">
            <v>aula, gemeenschappelijke ruimte, bibliotheek</v>
          </cell>
          <cell r="G24" t="str">
            <v>51 keer per jaar</v>
          </cell>
          <cell r="H24">
            <v>0.13100000000000001</v>
          </cell>
          <cell r="I24">
            <v>0.13100000000000001</v>
          </cell>
          <cell r="J24">
            <v>0.14299999999999999</v>
          </cell>
          <cell r="K24">
            <v>0.11700000000000001</v>
          </cell>
          <cell r="L24">
            <v>0.1305</v>
          </cell>
          <cell r="M24">
            <v>0.107</v>
          </cell>
          <cell r="N24">
            <v>0.107</v>
          </cell>
          <cell r="O24">
            <v>0.107</v>
          </cell>
          <cell r="P24">
            <v>0.107</v>
          </cell>
          <cell r="Q24">
            <v>0.107</v>
          </cell>
          <cell r="R24">
            <v>214.73684210526318</v>
          </cell>
          <cell r="S24">
            <v>0</v>
          </cell>
          <cell r="U24" t="str">
            <v/>
          </cell>
          <cell r="W24" t="str">
            <v>V</v>
          </cell>
        </row>
        <row r="25">
          <cell r="C25">
            <v>2080</v>
          </cell>
          <cell r="E25">
            <v>80</v>
          </cell>
          <cell r="F25" t="str">
            <v>aula, gemeenschappelijke ruimte, bibliotheek</v>
          </cell>
          <cell r="G25" t="str">
            <v>80 keer per jaar</v>
          </cell>
          <cell r="H25">
            <v>0.186</v>
          </cell>
          <cell r="I25">
            <v>0.186</v>
          </cell>
          <cell r="J25">
            <v>0.20300000000000001</v>
          </cell>
          <cell r="K25">
            <v>0.16500000000000001</v>
          </cell>
          <cell r="L25">
            <v>0.185</v>
          </cell>
          <cell r="M25">
            <v>0.107</v>
          </cell>
          <cell r="N25">
            <v>0.107</v>
          </cell>
          <cell r="O25">
            <v>0.107</v>
          </cell>
          <cell r="P25">
            <v>0.107</v>
          </cell>
          <cell r="Q25">
            <v>0.107</v>
          </cell>
          <cell r="R25">
            <v>273.97260273972603</v>
          </cell>
          <cell r="S25">
            <v>0</v>
          </cell>
          <cell r="U25" t="str">
            <v/>
          </cell>
          <cell r="W25" t="str">
            <v>V</v>
          </cell>
        </row>
        <row r="26">
          <cell r="C26">
            <v>2200</v>
          </cell>
          <cell r="E26">
            <v>200</v>
          </cell>
          <cell r="F26" t="str">
            <v>aula, gemeenschappelijke ruimte, bibliotheek</v>
          </cell>
          <cell r="G26" t="str">
            <v>200 keer per jaar</v>
          </cell>
          <cell r="H26">
            <v>0.38100000000000001</v>
          </cell>
          <cell r="I26">
            <v>0.38100000000000001</v>
          </cell>
          <cell r="J26">
            <v>0.41499999999999998</v>
          </cell>
          <cell r="K26">
            <v>0.33900000000000002</v>
          </cell>
          <cell r="L26">
            <v>0.379</v>
          </cell>
          <cell r="M26">
            <v>0.107</v>
          </cell>
          <cell r="N26">
            <v>0.107</v>
          </cell>
          <cell r="O26">
            <v>0.107</v>
          </cell>
          <cell r="P26">
            <v>0.107</v>
          </cell>
          <cell r="Q26">
            <v>0.107</v>
          </cell>
          <cell r="R26">
            <v>411.52263374485597</v>
          </cell>
          <cell r="S26">
            <v>1874.1360000000002</v>
          </cell>
          <cell r="U26">
            <v>0.10977686866920186</v>
          </cell>
          <cell r="W26" t="str">
            <v>V</v>
          </cell>
        </row>
        <row r="27">
          <cell r="C27">
            <v>2240</v>
          </cell>
          <cell r="E27">
            <v>240</v>
          </cell>
          <cell r="F27" t="str">
            <v>aula, gemeenschappelijke ruimte, bibliotheek</v>
          </cell>
          <cell r="G27" t="str">
            <v>240 keer per jaar vakanties m.u.v. woensdag</v>
          </cell>
          <cell r="H27">
            <v>0.45700000000000002</v>
          </cell>
          <cell r="I27">
            <v>0.45700000000000002</v>
          </cell>
          <cell r="J27">
            <v>0.498</v>
          </cell>
          <cell r="K27">
            <v>0.40699999999999997</v>
          </cell>
          <cell r="L27">
            <v>0.45474999999999999</v>
          </cell>
          <cell r="M27">
            <v>0.107</v>
          </cell>
          <cell r="N27">
            <v>0.107</v>
          </cell>
          <cell r="O27">
            <v>0.107</v>
          </cell>
          <cell r="P27">
            <v>0.107</v>
          </cell>
          <cell r="Q27">
            <v>0.107</v>
          </cell>
          <cell r="R27">
            <v>427.23631508678238</v>
          </cell>
          <cell r="S27">
            <v>89.2</v>
          </cell>
          <cell r="U27">
            <v>5.2248591805999171E-3</v>
          </cell>
          <cell r="W27" t="str">
            <v>V</v>
          </cell>
        </row>
        <row r="28">
          <cell r="C28">
            <v>2210</v>
          </cell>
          <cell r="E28">
            <v>210</v>
          </cell>
          <cell r="F28" t="str">
            <v>aula, gemeenschappelijke ruimte, bibliotheek</v>
          </cell>
          <cell r="G28" t="str">
            <v>210 keer per jaar +  5 dagen Herfst en 5 dagen voorjaarvakantie</v>
          </cell>
          <cell r="H28">
            <v>0.62</v>
          </cell>
          <cell r="I28">
            <v>0.62</v>
          </cell>
          <cell r="J28">
            <v>0.65800000000000003</v>
          </cell>
          <cell r="K28">
            <v>0.57399999999999995</v>
          </cell>
          <cell r="L28">
            <v>0.61799999999999999</v>
          </cell>
          <cell r="M28">
            <v>0.107</v>
          </cell>
          <cell r="N28">
            <v>0.107</v>
          </cell>
          <cell r="O28">
            <v>0.107</v>
          </cell>
          <cell r="P28">
            <v>0.107</v>
          </cell>
          <cell r="Q28">
            <v>0.107</v>
          </cell>
          <cell r="R28">
            <v>289.65517241379314</v>
          </cell>
          <cell r="S28">
            <v>78.53</v>
          </cell>
          <cell r="U28">
            <v>4.5998676171806223E-3</v>
          </cell>
          <cell r="W28" t="str">
            <v>V</v>
          </cell>
        </row>
        <row r="29">
          <cell r="C29">
            <v>2251</v>
          </cell>
          <cell r="E29">
            <v>251</v>
          </cell>
          <cell r="F29" t="str">
            <v>aula, gemeenschappelijke ruimte, bibliotheek</v>
          </cell>
          <cell r="G29" t="str">
            <v>251 keer per jaar</v>
          </cell>
          <cell r="H29">
            <v>0.47799999999999998</v>
          </cell>
          <cell r="I29">
            <v>0.47799999999999998</v>
          </cell>
          <cell r="J29">
            <v>0.52100000000000002</v>
          </cell>
          <cell r="K29">
            <v>0.42499999999999999</v>
          </cell>
          <cell r="L29">
            <v>0.47549999999999998</v>
          </cell>
          <cell r="M29">
            <v>0.107</v>
          </cell>
          <cell r="N29">
            <v>0.107</v>
          </cell>
          <cell r="O29">
            <v>0.107</v>
          </cell>
          <cell r="P29">
            <v>0.107</v>
          </cell>
          <cell r="Q29">
            <v>0.107</v>
          </cell>
          <cell r="R29">
            <v>430.90128755364805</v>
          </cell>
          <cell r="S29">
            <v>189.5</v>
          </cell>
          <cell r="U29">
            <v>1.1099897026050272E-2</v>
          </cell>
          <cell r="W29" t="str">
            <v>V</v>
          </cell>
        </row>
        <row r="30">
          <cell r="C30">
            <v>3040</v>
          </cell>
          <cell r="E30">
            <v>40</v>
          </cell>
          <cell r="F30" t="str">
            <v>entree, gang, hal, repro, kopieer</v>
          </cell>
          <cell r="G30" t="str">
            <v>40 keer per jaar</v>
          </cell>
          <cell r="H30">
            <v>0.122</v>
          </cell>
          <cell r="I30">
            <v>0.122</v>
          </cell>
          <cell r="J30">
            <v>0.14499999999999999</v>
          </cell>
          <cell r="K30">
            <v>0.153</v>
          </cell>
          <cell r="L30">
            <v>0.13550000000000001</v>
          </cell>
          <cell r="M30">
            <v>0.107</v>
          </cell>
          <cell r="N30">
            <v>0.107</v>
          </cell>
          <cell r="O30">
            <v>0.122</v>
          </cell>
          <cell r="P30">
            <v>0.107</v>
          </cell>
          <cell r="Q30">
            <v>0.11074999999999999</v>
          </cell>
          <cell r="R30">
            <v>162.43654822335026</v>
          </cell>
          <cell r="S30">
            <v>0</v>
          </cell>
          <cell r="U30" t="str">
            <v/>
          </cell>
          <cell r="W30" t="str">
            <v>V</v>
          </cell>
        </row>
        <row r="31">
          <cell r="C31">
            <v>3080</v>
          </cell>
          <cell r="E31">
            <v>80</v>
          </cell>
          <cell r="F31" t="str">
            <v>entree, gang, hal, repro, kopieer</v>
          </cell>
          <cell r="G31" t="str">
            <v>80 keer per jaar</v>
          </cell>
          <cell r="H31">
            <v>0.22</v>
          </cell>
          <cell r="I31">
            <v>0.22</v>
          </cell>
          <cell r="J31">
            <v>0.26100000000000001</v>
          </cell>
          <cell r="K31">
            <v>0.27700000000000002</v>
          </cell>
          <cell r="L31">
            <v>0.24450000000000002</v>
          </cell>
          <cell r="M31">
            <v>0.107</v>
          </cell>
          <cell r="N31">
            <v>0.107</v>
          </cell>
          <cell r="O31">
            <v>0.122</v>
          </cell>
          <cell r="P31">
            <v>0.107</v>
          </cell>
          <cell r="Q31">
            <v>0.11074999999999999</v>
          </cell>
          <cell r="R31">
            <v>225.19352568613652</v>
          </cell>
          <cell r="S31">
            <v>40</v>
          </cell>
          <cell r="U31">
            <v>2.3429861796412182E-3</v>
          </cell>
          <cell r="W31" t="str">
            <v>V</v>
          </cell>
        </row>
        <row r="32">
          <cell r="C32">
            <v>3098</v>
          </cell>
          <cell r="E32">
            <v>98</v>
          </cell>
          <cell r="F32" t="str">
            <v>entree, gang, hal, repro, kopieer</v>
          </cell>
          <cell r="G32" t="str">
            <v>98 keer per jaar 49 weken</v>
          </cell>
          <cell r="H32">
            <v>0.27</v>
          </cell>
          <cell r="I32">
            <v>0.27</v>
          </cell>
          <cell r="J32">
            <v>0.32</v>
          </cell>
          <cell r="K32">
            <v>0.33900000000000002</v>
          </cell>
          <cell r="L32">
            <v>0.29975000000000002</v>
          </cell>
          <cell r="M32">
            <v>0.107</v>
          </cell>
          <cell r="N32">
            <v>0.107</v>
          </cell>
          <cell r="O32">
            <v>0.122</v>
          </cell>
          <cell r="P32">
            <v>0.107</v>
          </cell>
          <cell r="Q32">
            <v>0.11074999999999999</v>
          </cell>
          <cell r="R32">
            <v>238.73325213154692</v>
          </cell>
          <cell r="S32">
            <v>0</v>
          </cell>
          <cell r="U32" t="str">
            <v/>
          </cell>
          <cell r="W32" t="str">
            <v>V</v>
          </cell>
        </row>
        <row r="33">
          <cell r="C33">
            <v>3120</v>
          </cell>
          <cell r="E33">
            <v>120</v>
          </cell>
          <cell r="F33" t="str">
            <v>entree, gang, hal, repro, kopieer</v>
          </cell>
          <cell r="G33" t="str">
            <v>120 keer per jaar</v>
          </cell>
          <cell r="H33">
            <v>0.311</v>
          </cell>
          <cell r="I33">
            <v>0.311</v>
          </cell>
          <cell r="J33">
            <v>0.37</v>
          </cell>
          <cell r="K33">
            <v>0.39200000000000002</v>
          </cell>
          <cell r="L33">
            <v>0.34599999999999997</v>
          </cell>
          <cell r="M33">
            <v>0.107</v>
          </cell>
          <cell r="N33">
            <v>0.107</v>
          </cell>
          <cell r="O33">
            <v>0.122</v>
          </cell>
          <cell r="P33">
            <v>0.107</v>
          </cell>
          <cell r="Q33">
            <v>0.11074999999999999</v>
          </cell>
          <cell r="R33">
            <v>262.72577996715927</v>
          </cell>
          <cell r="S33">
            <v>0</v>
          </cell>
          <cell r="U33" t="str">
            <v/>
          </cell>
          <cell r="W33" t="str">
            <v>V</v>
          </cell>
        </row>
        <row r="34">
          <cell r="C34">
            <v>3200</v>
          </cell>
          <cell r="E34">
            <v>200</v>
          </cell>
          <cell r="F34" t="str">
            <v>entree, gang, hal, repro, kopieer</v>
          </cell>
          <cell r="G34" t="str">
            <v>200 keer per jaar</v>
          </cell>
          <cell r="H34">
            <v>0.45</v>
          </cell>
          <cell r="I34">
            <v>0.45</v>
          </cell>
          <cell r="J34">
            <v>0.53600000000000003</v>
          </cell>
          <cell r="K34">
            <v>0.56799999999999995</v>
          </cell>
          <cell r="L34">
            <v>0.501</v>
          </cell>
          <cell r="M34">
            <v>0.107</v>
          </cell>
          <cell r="N34">
            <v>0.107</v>
          </cell>
          <cell r="O34">
            <v>0.122</v>
          </cell>
          <cell r="P34">
            <v>0.107</v>
          </cell>
          <cell r="Q34">
            <v>0.11074999999999999</v>
          </cell>
          <cell r="R34">
            <v>326.93093583980385</v>
          </cell>
          <cell r="S34">
            <v>2461.962</v>
          </cell>
          <cell r="U34">
            <v>0.14420857352004632</v>
          </cell>
          <cell r="W34" t="str">
            <v>V</v>
          </cell>
        </row>
        <row r="35">
          <cell r="C35">
            <v>3210</v>
          </cell>
          <cell r="E35">
            <v>210</v>
          </cell>
          <cell r="F35" t="str">
            <v>entree, gang, hal, repro, kopieer</v>
          </cell>
          <cell r="G35" t="str">
            <v>210 keer per jaar +  5 dagen Herfst en 5 dagen voorjaarvakantie</v>
          </cell>
          <cell r="H35">
            <v>0.7</v>
          </cell>
          <cell r="I35">
            <v>0.7</v>
          </cell>
          <cell r="J35">
            <v>0.79100000000000004</v>
          </cell>
          <cell r="K35">
            <v>0.82599999999999996</v>
          </cell>
          <cell r="L35">
            <v>0.75424999999999998</v>
          </cell>
          <cell r="M35">
            <v>0.107</v>
          </cell>
          <cell r="N35">
            <v>0.107</v>
          </cell>
          <cell r="O35">
            <v>0.122</v>
          </cell>
          <cell r="P35">
            <v>0.107</v>
          </cell>
          <cell r="Q35">
            <v>0.11074999999999999</v>
          </cell>
          <cell r="R35" t="str">
            <v xml:space="preserve">           </v>
          </cell>
          <cell r="S35">
            <v>224.03000000000003</v>
          </cell>
          <cell r="U35">
            <v>1.3122479845625555E-2</v>
          </cell>
          <cell r="W35" t="str">
            <v>V</v>
          </cell>
        </row>
        <row r="36">
          <cell r="C36">
            <v>3233</v>
          </cell>
          <cell r="E36">
            <v>233</v>
          </cell>
          <cell r="F36" t="str">
            <v>entree, gang, hal, repro, kopieer</v>
          </cell>
          <cell r="G36" t="str">
            <v>233 keer per jaar</v>
          </cell>
          <cell r="H36">
            <v>0.52400000000000002</v>
          </cell>
          <cell r="I36">
            <v>0.52400000000000002</v>
          </cell>
          <cell r="J36">
            <v>0.624</v>
          </cell>
          <cell r="K36">
            <v>0.66200000000000003</v>
          </cell>
          <cell r="L36">
            <v>0.58350000000000002</v>
          </cell>
          <cell r="M36">
            <v>0.107</v>
          </cell>
          <cell r="N36">
            <v>0.107</v>
          </cell>
          <cell r="O36">
            <v>0.122</v>
          </cell>
          <cell r="P36">
            <v>0.107</v>
          </cell>
          <cell r="Q36">
            <v>0.11074999999999999</v>
          </cell>
          <cell r="R36">
            <v>335.61397191213536</v>
          </cell>
          <cell r="S36">
            <v>0</v>
          </cell>
          <cell r="U36" t="str">
            <v/>
          </cell>
          <cell r="W36" t="str">
            <v>V</v>
          </cell>
        </row>
        <row r="37">
          <cell r="C37">
            <v>3251</v>
          </cell>
          <cell r="E37">
            <v>251</v>
          </cell>
          <cell r="F37" t="str">
            <v>entree, gang, hal, repro, kopieer</v>
          </cell>
          <cell r="G37" t="str">
            <v>251 keer per jaar</v>
          </cell>
          <cell r="H37">
            <v>0.56399999999999995</v>
          </cell>
          <cell r="I37">
            <v>0.56399999999999995</v>
          </cell>
          <cell r="J37">
            <v>0.67300000000000004</v>
          </cell>
          <cell r="K37">
            <v>0.71299999999999997</v>
          </cell>
          <cell r="L37">
            <v>0.62849999999999995</v>
          </cell>
          <cell r="M37">
            <v>0.107</v>
          </cell>
          <cell r="N37">
            <v>0.107</v>
          </cell>
          <cell r="O37">
            <v>0.122</v>
          </cell>
          <cell r="P37">
            <v>0.107</v>
          </cell>
          <cell r="Q37">
            <v>0.11074999999999999</v>
          </cell>
          <cell r="R37">
            <v>339.53331078796077</v>
          </cell>
          <cell r="S37">
            <v>85.01</v>
          </cell>
          <cell r="U37">
            <v>4.9794313782824994E-3</v>
          </cell>
          <cell r="W37" t="str">
            <v>V</v>
          </cell>
        </row>
        <row r="38">
          <cell r="C38">
            <v>4080</v>
          </cell>
          <cell r="E38">
            <v>80</v>
          </cell>
          <cell r="F38" t="str">
            <v>sanitaire ruimte (toilet-/doucheruimte)</v>
          </cell>
          <cell r="G38" t="str">
            <v>80 keer per jaar</v>
          </cell>
          <cell r="H38">
            <v>1.1859999999999999</v>
          </cell>
          <cell r="I38">
            <v>1.1859999999999999</v>
          </cell>
          <cell r="J38">
            <v>1.208</v>
          </cell>
          <cell r="K38">
            <v>1.0680000000000001</v>
          </cell>
          <cell r="L38">
            <v>1.1619999999999999</v>
          </cell>
          <cell r="M38">
            <v>0.56899999999999995</v>
          </cell>
          <cell r="N38">
            <v>0.56899999999999995</v>
          </cell>
          <cell r="O38">
            <v>0.58399999999999996</v>
          </cell>
          <cell r="P38">
            <v>0.47499999999999998</v>
          </cell>
          <cell r="Q38">
            <v>0.54925000000000002</v>
          </cell>
          <cell r="R38">
            <v>46.749452154857565</v>
          </cell>
          <cell r="S38">
            <v>15</v>
          </cell>
          <cell r="U38">
            <v>8.7861981736545686E-4</v>
          </cell>
          <cell r="W38" t="str">
            <v>S</v>
          </cell>
        </row>
        <row r="39">
          <cell r="C39">
            <v>4120</v>
          </cell>
          <cell r="E39">
            <v>120</v>
          </cell>
          <cell r="F39" t="str">
            <v>sanitaire ruimte (toilet-/doucheruimte)</v>
          </cell>
          <cell r="G39" t="str">
            <v>120 keer per jaar</v>
          </cell>
          <cell r="H39">
            <v>1.677</v>
          </cell>
          <cell r="I39">
            <v>1.677</v>
          </cell>
          <cell r="J39">
            <v>1.708</v>
          </cell>
          <cell r="K39">
            <v>1.51</v>
          </cell>
          <cell r="L39">
            <v>1.643</v>
          </cell>
          <cell r="M39">
            <v>0.56899999999999995</v>
          </cell>
          <cell r="N39">
            <v>0.56899999999999995</v>
          </cell>
          <cell r="O39">
            <v>0.58399999999999996</v>
          </cell>
          <cell r="P39">
            <v>0.47499999999999998</v>
          </cell>
          <cell r="Q39">
            <v>0.54925000000000002</v>
          </cell>
          <cell r="R39">
            <v>54.738282586383853</v>
          </cell>
          <cell r="S39">
            <v>0</v>
          </cell>
          <cell r="U39" t="str">
            <v/>
          </cell>
          <cell r="W39" t="str">
            <v>S</v>
          </cell>
        </row>
        <row r="40">
          <cell r="C40">
            <v>4201</v>
          </cell>
          <cell r="E40">
            <v>201</v>
          </cell>
          <cell r="F40" t="str">
            <v>sanitaire ruimte (toilet-/doucheruimte)</v>
          </cell>
          <cell r="G40" t="str">
            <v>201 keer per jaar 52 weken m.u.v. woensdag</v>
          </cell>
          <cell r="H40">
            <v>2.4430000000000001</v>
          </cell>
          <cell r="I40">
            <v>2.4430000000000001</v>
          </cell>
          <cell r="J40">
            <v>2.4870000000000001</v>
          </cell>
          <cell r="K40">
            <v>2.1989999999999998</v>
          </cell>
          <cell r="L40">
            <v>2.3929999999999998</v>
          </cell>
          <cell r="M40">
            <v>0.56899999999999995</v>
          </cell>
          <cell r="N40">
            <v>0.56899999999999995</v>
          </cell>
          <cell r="O40">
            <v>0.58399999999999996</v>
          </cell>
          <cell r="P40">
            <v>0.47499999999999998</v>
          </cell>
          <cell r="Q40">
            <v>0.54925000000000002</v>
          </cell>
          <cell r="R40">
            <v>68.315065001274547</v>
          </cell>
          <cell r="S40">
            <v>14.4</v>
          </cell>
          <cell r="U40">
            <v>8.4347502467083861E-4</v>
          </cell>
          <cell r="W40" t="str">
            <v>S</v>
          </cell>
        </row>
        <row r="41">
          <cell r="C41">
            <v>4200</v>
          </cell>
          <cell r="E41">
            <v>200</v>
          </cell>
          <cell r="F41" t="str">
            <v>sanitaire ruimte (toilet-/doucheruimte)</v>
          </cell>
          <cell r="G41" t="str">
            <v>200 keer per jaar</v>
          </cell>
          <cell r="H41">
            <v>2.431</v>
          </cell>
          <cell r="I41">
            <v>2.431</v>
          </cell>
          <cell r="J41">
            <v>2.4750000000000001</v>
          </cell>
          <cell r="K41">
            <v>2.1880000000000002</v>
          </cell>
          <cell r="L41">
            <v>2.3812500000000001</v>
          </cell>
          <cell r="M41">
            <v>0.56899999999999995</v>
          </cell>
          <cell r="N41">
            <v>0.56899999999999995</v>
          </cell>
          <cell r="O41">
            <v>0.58399999999999996</v>
          </cell>
          <cell r="P41">
            <v>0.47499999999999998</v>
          </cell>
          <cell r="Q41">
            <v>0.54925000000000002</v>
          </cell>
          <cell r="R41">
            <v>68.247739293635888</v>
          </cell>
          <cell r="S41">
            <v>470.33000000000004</v>
          </cell>
          <cell r="U41">
            <v>2.7549417246766357E-2</v>
          </cell>
          <cell r="W41" t="str">
            <v>S</v>
          </cell>
        </row>
        <row r="42">
          <cell r="C42">
            <v>4210</v>
          </cell>
          <cell r="E42">
            <v>210</v>
          </cell>
          <cell r="F42" t="str">
            <v>sanitaire ruimte (toilet-/doucheruimte)</v>
          </cell>
          <cell r="G42" t="str">
            <v>210 keer per jaar +  5 dagen Herfst en 5 dagen voorjaarvakantie</v>
          </cell>
          <cell r="H42">
            <v>3.18</v>
          </cell>
          <cell r="I42">
            <v>3.18</v>
          </cell>
          <cell r="J42">
            <v>2.93</v>
          </cell>
          <cell r="K42">
            <v>2.6120000000000001</v>
          </cell>
          <cell r="L42">
            <v>2.9755000000000003</v>
          </cell>
          <cell r="M42">
            <v>0.56899999999999995</v>
          </cell>
          <cell r="N42">
            <v>0.56899999999999995</v>
          </cell>
          <cell r="O42">
            <v>0.58399999999999996</v>
          </cell>
          <cell r="P42">
            <v>0.47499999999999998</v>
          </cell>
          <cell r="Q42">
            <v>0.54925000000000002</v>
          </cell>
          <cell r="R42">
            <v>59.57869352436343</v>
          </cell>
          <cell r="S42">
            <v>49.980000000000004</v>
          </cell>
          <cell r="U42">
            <v>2.9275612314617026E-3</v>
          </cell>
          <cell r="W42" t="str">
            <v>S</v>
          </cell>
        </row>
        <row r="43">
          <cell r="C43">
            <v>4233</v>
          </cell>
          <cell r="E43">
            <v>233</v>
          </cell>
          <cell r="F43" t="str">
            <v>sanitaire ruimte (toilet-/doucheruimte)</v>
          </cell>
          <cell r="G43" t="str">
            <v>233 keer per jaar</v>
          </cell>
          <cell r="H43">
            <v>2.8319999999999999</v>
          </cell>
          <cell r="I43">
            <v>2.8319999999999999</v>
          </cell>
          <cell r="J43">
            <v>2.88</v>
          </cell>
          <cell r="K43">
            <v>2.5489999999999999</v>
          </cell>
          <cell r="L43">
            <v>2.77325</v>
          </cell>
          <cell r="M43">
            <v>0.56899999999999995</v>
          </cell>
          <cell r="N43">
            <v>0.56899999999999995</v>
          </cell>
          <cell r="O43">
            <v>0.58399999999999996</v>
          </cell>
          <cell r="P43">
            <v>0.47499999999999998</v>
          </cell>
          <cell r="Q43">
            <v>0.54925000000000002</v>
          </cell>
          <cell r="R43">
            <v>70.127915726109862</v>
          </cell>
          <cell r="S43">
            <v>0</v>
          </cell>
          <cell r="U43" t="str">
            <v/>
          </cell>
          <cell r="W43" t="str">
            <v>S</v>
          </cell>
        </row>
        <row r="44">
          <cell r="C44">
            <v>4251</v>
          </cell>
          <cell r="E44">
            <v>251</v>
          </cell>
          <cell r="F44" t="str">
            <v>sanitaire ruimte (toilet-/doucheruimte)</v>
          </cell>
          <cell r="G44" t="str">
            <v>251 keer per jaar</v>
          </cell>
          <cell r="H44">
            <v>3.0510000000000002</v>
          </cell>
          <cell r="I44">
            <v>3.0510000000000002</v>
          </cell>
          <cell r="J44">
            <v>3.1059999999999999</v>
          </cell>
          <cell r="K44">
            <v>2.746</v>
          </cell>
          <cell r="L44">
            <v>2.9885000000000002</v>
          </cell>
          <cell r="M44">
            <v>0.56899999999999995</v>
          </cell>
          <cell r="N44">
            <v>0.56899999999999995</v>
          </cell>
          <cell r="O44">
            <v>0.58399999999999996</v>
          </cell>
          <cell r="P44">
            <v>0.47499999999999998</v>
          </cell>
          <cell r="Q44">
            <v>0.54925000000000002</v>
          </cell>
          <cell r="R44">
            <v>70.949049537135181</v>
          </cell>
          <cell r="S44">
            <v>70.940000000000012</v>
          </cell>
          <cell r="U44">
            <v>4.1552859895937011E-3</v>
          </cell>
          <cell r="W44" t="str">
            <v>S</v>
          </cell>
        </row>
        <row r="45">
          <cell r="C45">
            <v>5040</v>
          </cell>
          <cell r="E45">
            <v>40</v>
          </cell>
          <cell r="F45" t="str">
            <v>keuken</v>
          </cell>
          <cell r="G45" t="str">
            <v>40 keer per jaar</v>
          </cell>
          <cell r="H45">
            <v>0.219</v>
          </cell>
          <cell r="I45">
            <v>0.219</v>
          </cell>
          <cell r="J45">
            <v>0.219</v>
          </cell>
          <cell r="K45">
            <v>0.219</v>
          </cell>
          <cell r="L45">
            <v>0.219</v>
          </cell>
          <cell r="M45">
            <v>0.22600000000000001</v>
          </cell>
          <cell r="N45">
            <v>0.22600000000000001</v>
          </cell>
          <cell r="O45">
            <v>0.22600000000000001</v>
          </cell>
          <cell r="P45">
            <v>0.22600000000000001</v>
          </cell>
          <cell r="Q45">
            <v>0.22600000000000001</v>
          </cell>
          <cell r="R45">
            <v>89.887640449438194</v>
          </cell>
          <cell r="S45">
            <v>0</v>
          </cell>
          <cell r="U45" t="str">
            <v/>
          </cell>
          <cell r="W45" t="str">
            <v>V</v>
          </cell>
        </row>
        <row r="46">
          <cell r="C46">
            <v>5200</v>
          </cell>
          <cell r="E46">
            <v>200</v>
          </cell>
          <cell r="F46" t="str">
            <v>pantry, keuken</v>
          </cell>
          <cell r="G46" t="str">
            <v>200 keer per jaar</v>
          </cell>
          <cell r="H46">
            <v>0.81</v>
          </cell>
          <cell r="I46">
            <v>0.81</v>
          </cell>
          <cell r="J46">
            <v>0.95599999999999996</v>
          </cell>
          <cell r="K46">
            <v>1.01</v>
          </cell>
          <cell r="L46">
            <v>0.89650000000000007</v>
          </cell>
          <cell r="M46">
            <v>0.22600000000000001</v>
          </cell>
          <cell r="N46">
            <v>0.22600000000000001</v>
          </cell>
          <cell r="O46">
            <v>0.25700000000000001</v>
          </cell>
          <cell r="P46">
            <v>0.06</v>
          </cell>
          <cell r="Q46">
            <v>0.19225000000000003</v>
          </cell>
          <cell r="R46">
            <v>183.69690011481055</v>
          </cell>
          <cell r="S46">
            <v>46.692</v>
          </cell>
          <cell r="U46">
            <v>2.7349677674951942E-3</v>
          </cell>
          <cell r="W46" t="str">
            <v>V</v>
          </cell>
        </row>
        <row r="47">
          <cell r="C47">
            <v>5240</v>
          </cell>
          <cell r="E47">
            <v>240</v>
          </cell>
          <cell r="F47" t="str">
            <v>pantry, keuken</v>
          </cell>
          <cell r="G47" t="str">
            <v>240 keer per jaar vakanties m.u.v. woensdag</v>
          </cell>
          <cell r="H47">
            <v>0.97199999999999998</v>
          </cell>
          <cell r="I47">
            <v>0.97199999999999998</v>
          </cell>
          <cell r="J47">
            <v>1.147</v>
          </cell>
          <cell r="K47">
            <v>1.212</v>
          </cell>
          <cell r="L47">
            <v>1.07575</v>
          </cell>
          <cell r="M47">
            <v>0.22600000000000001</v>
          </cell>
          <cell r="N47">
            <v>0.22600000000000001</v>
          </cell>
          <cell r="O47">
            <v>0.25700000000000001</v>
          </cell>
          <cell r="P47">
            <v>0.06</v>
          </cell>
          <cell r="Q47">
            <v>0.19225000000000003</v>
          </cell>
          <cell r="R47">
            <v>189.2744479495268</v>
          </cell>
          <cell r="S47">
            <v>12.7</v>
          </cell>
          <cell r="U47">
            <v>7.4389811203608679E-4</v>
          </cell>
          <cell r="W47" t="str">
            <v>V</v>
          </cell>
        </row>
        <row r="48">
          <cell r="C48">
            <v>5251</v>
          </cell>
          <cell r="E48">
            <v>251</v>
          </cell>
          <cell r="F48" t="str">
            <v>pantry, keuken</v>
          </cell>
          <cell r="G48" t="str">
            <v>251 keer per jaar</v>
          </cell>
          <cell r="H48">
            <v>1.0169999999999999</v>
          </cell>
          <cell r="I48">
            <v>1.0169999999999999</v>
          </cell>
          <cell r="J48">
            <v>1.2</v>
          </cell>
          <cell r="K48">
            <v>1.268</v>
          </cell>
          <cell r="L48">
            <v>1.1254999999999999</v>
          </cell>
          <cell r="M48">
            <v>0.22600000000000001</v>
          </cell>
          <cell r="N48">
            <v>0.22600000000000001</v>
          </cell>
          <cell r="O48">
            <v>0.25700000000000001</v>
          </cell>
          <cell r="P48">
            <v>0.06</v>
          </cell>
          <cell r="Q48">
            <v>0.19225000000000003</v>
          </cell>
          <cell r="R48">
            <v>190.47619047619048</v>
          </cell>
          <cell r="S48">
            <v>13.54</v>
          </cell>
          <cell r="U48">
            <v>7.9310082180855234E-4</v>
          </cell>
          <cell r="W48" t="str">
            <v>V</v>
          </cell>
        </row>
        <row r="49">
          <cell r="C49">
            <v>6040</v>
          </cell>
          <cell r="E49">
            <v>40</v>
          </cell>
          <cell r="F49" t="str">
            <v>speellokaal (peuterspeelzaal incl speelhuisje)</v>
          </cell>
          <cell r="G49" t="str">
            <v>40 keer per jaar</v>
          </cell>
          <cell r="H49">
            <v>0.11</v>
          </cell>
          <cell r="I49">
            <v>0.11</v>
          </cell>
          <cell r="J49">
            <v>0.11</v>
          </cell>
          <cell r="K49">
            <v>0.11</v>
          </cell>
          <cell r="L49">
            <v>0.11</v>
          </cell>
          <cell r="M49">
            <v>9.4E-2</v>
          </cell>
          <cell r="N49">
            <v>9.4E-2</v>
          </cell>
          <cell r="O49">
            <v>9.4E-2</v>
          </cell>
          <cell r="P49">
            <v>9.4E-2</v>
          </cell>
          <cell r="Q49">
            <v>9.4E-2</v>
          </cell>
          <cell r="R49">
            <v>196.07843137254901</v>
          </cell>
          <cell r="S49">
            <v>0</v>
          </cell>
          <cell r="U49" t="str">
            <v/>
          </cell>
          <cell r="W49" t="str">
            <v>L</v>
          </cell>
        </row>
        <row r="50">
          <cell r="C50">
            <v>6200</v>
          </cell>
          <cell r="E50">
            <v>200</v>
          </cell>
          <cell r="F50" t="str">
            <v>speellokaal (peuterspeelzaal incl speelhuisje)</v>
          </cell>
          <cell r="G50" t="str">
            <v>200 keer per jaar</v>
          </cell>
          <cell r="H50">
            <v>0.40200000000000002</v>
          </cell>
          <cell r="I50">
            <v>0.40200000000000002</v>
          </cell>
          <cell r="J50">
            <v>0.40200000000000002</v>
          </cell>
          <cell r="K50">
            <v>0.40200000000000002</v>
          </cell>
          <cell r="L50">
            <v>0.40200000000000002</v>
          </cell>
          <cell r="M50">
            <v>9.4E-2</v>
          </cell>
          <cell r="N50">
            <v>9.4E-2</v>
          </cell>
          <cell r="O50">
            <v>9.4E-2</v>
          </cell>
          <cell r="P50">
            <v>9.4E-2</v>
          </cell>
          <cell r="Q50">
            <v>9.4E-2</v>
          </cell>
          <cell r="R50">
            <v>403.22580645161293</v>
          </cell>
          <cell r="S50">
            <v>0</v>
          </cell>
          <cell r="U50" t="str">
            <v/>
          </cell>
          <cell r="W50" t="str">
            <v>L</v>
          </cell>
        </row>
        <row r="51">
          <cell r="C51">
            <v>7012</v>
          </cell>
          <cell r="E51">
            <v>12</v>
          </cell>
          <cell r="F51" t="str">
            <v>leslokaal</v>
          </cell>
          <cell r="G51" t="str">
            <v>12 keer per jaar</v>
          </cell>
          <cell r="H51">
            <v>0.05</v>
          </cell>
          <cell r="I51">
            <v>0.05</v>
          </cell>
          <cell r="J51">
            <v>0.05</v>
          </cell>
          <cell r="K51">
            <v>0.05</v>
          </cell>
          <cell r="L51">
            <v>0.05</v>
          </cell>
          <cell r="M51">
            <v>0.14799999999999999</v>
          </cell>
          <cell r="N51">
            <v>0.14799999999999999</v>
          </cell>
          <cell r="O51">
            <v>0.1</v>
          </cell>
          <cell r="P51">
            <v>7.0000000000000007E-2</v>
          </cell>
          <cell r="Q51">
            <v>0.11650000000000001</v>
          </cell>
          <cell r="R51">
            <v>72.072072072072075</v>
          </cell>
          <cell r="S51">
            <v>0</v>
          </cell>
          <cell r="U51" t="str">
            <v/>
          </cell>
        </row>
        <row r="52">
          <cell r="C52">
            <v>7040</v>
          </cell>
          <cell r="E52">
            <v>40</v>
          </cell>
          <cell r="F52" t="str">
            <v>leslokaal</v>
          </cell>
          <cell r="G52" t="str">
            <v>40 keer per jaar</v>
          </cell>
          <cell r="H52">
            <v>0.1404</v>
          </cell>
          <cell r="I52">
            <v>0.1404</v>
          </cell>
          <cell r="J52">
            <v>0.15</v>
          </cell>
          <cell r="K52">
            <v>0.129</v>
          </cell>
          <cell r="L52">
            <v>0.13994999999999999</v>
          </cell>
          <cell r="M52">
            <v>0.14799999999999999</v>
          </cell>
          <cell r="N52">
            <v>0.14799999999999999</v>
          </cell>
          <cell r="O52">
            <v>0.1</v>
          </cell>
          <cell r="P52">
            <v>7.0000000000000007E-2</v>
          </cell>
          <cell r="Q52">
            <v>0.11650000000000001</v>
          </cell>
          <cell r="R52">
            <v>155.97582374731917</v>
          </cell>
          <cell r="S52">
            <v>158.55000000000001</v>
          </cell>
          <cell r="U52">
            <v>9.2870114695528787E-3</v>
          </cell>
          <cell r="W52" t="str">
            <v>L</v>
          </cell>
        </row>
        <row r="53">
          <cell r="C53">
            <v>7051</v>
          </cell>
          <cell r="E53">
            <v>51</v>
          </cell>
          <cell r="F53" t="str">
            <v>leslokaal</v>
          </cell>
          <cell r="G53" t="str">
            <v>51 keer per jaar</v>
          </cell>
          <cell r="H53">
            <v>0.19</v>
          </cell>
          <cell r="I53">
            <v>0.1404</v>
          </cell>
          <cell r="J53">
            <v>0.191</v>
          </cell>
          <cell r="K53">
            <v>0.16500000000000001</v>
          </cell>
          <cell r="L53">
            <v>0.17160000000000003</v>
          </cell>
          <cell r="M53">
            <v>0.14799999999999999</v>
          </cell>
          <cell r="N53">
            <v>0.14799999999999999</v>
          </cell>
          <cell r="O53">
            <v>0.1</v>
          </cell>
          <cell r="P53">
            <v>7.0000000000000007E-2</v>
          </cell>
          <cell r="Q53">
            <v>0.11650000000000001</v>
          </cell>
          <cell r="R53">
            <v>177.02186740715027</v>
          </cell>
          <cell r="S53">
            <v>48.7</v>
          </cell>
          <cell r="U53">
            <v>2.8525856737131833E-3</v>
          </cell>
          <cell r="W53" t="str">
            <v>L</v>
          </cell>
        </row>
        <row r="54">
          <cell r="C54">
            <v>7080</v>
          </cell>
          <cell r="E54">
            <v>80</v>
          </cell>
          <cell r="F54" t="str">
            <v>leslokaal</v>
          </cell>
          <cell r="G54" t="str">
            <v>80 keer per jaar</v>
          </cell>
          <cell r="H54">
            <v>0.25380000000000003</v>
          </cell>
          <cell r="I54">
            <v>0.25380000000000003</v>
          </cell>
          <cell r="J54">
            <v>0.27</v>
          </cell>
          <cell r="K54">
            <v>0.23300000000000001</v>
          </cell>
          <cell r="L54">
            <v>0.25265000000000004</v>
          </cell>
          <cell r="M54">
            <v>0.14799999999999999</v>
          </cell>
          <cell r="N54">
            <v>0.14799999999999999</v>
          </cell>
          <cell r="O54">
            <v>0.1</v>
          </cell>
          <cell r="P54">
            <v>7.0000000000000007E-2</v>
          </cell>
          <cell r="Q54">
            <v>0.11650000000000001</v>
          </cell>
          <cell r="R54">
            <v>216.71407287010697</v>
          </cell>
          <cell r="S54">
            <v>147</v>
          </cell>
          <cell r="U54">
            <v>8.6104742101814763E-3</v>
          </cell>
          <cell r="W54" t="str">
            <v>L</v>
          </cell>
        </row>
        <row r="55">
          <cell r="C55">
            <v>7100</v>
          </cell>
          <cell r="E55">
            <v>100</v>
          </cell>
          <cell r="F55" t="str">
            <v>leslokaal</v>
          </cell>
          <cell r="G55" t="str">
            <v>100 keer per jaar (om de dag)</v>
          </cell>
          <cell r="H55">
            <v>0.318</v>
          </cell>
          <cell r="I55">
            <v>0.318</v>
          </cell>
          <cell r="J55">
            <v>0.33800000000000002</v>
          </cell>
          <cell r="K55">
            <v>0.29099999999999998</v>
          </cell>
          <cell r="L55">
            <v>0.31624999999999998</v>
          </cell>
          <cell r="M55">
            <v>0.14799999999999999</v>
          </cell>
          <cell r="N55">
            <v>0.14799999999999999</v>
          </cell>
          <cell r="O55">
            <v>0.1</v>
          </cell>
          <cell r="P55">
            <v>7.0000000000000007E-2</v>
          </cell>
          <cell r="Q55">
            <v>0.11650000000000001</v>
          </cell>
          <cell r="R55">
            <v>231.08030040439056</v>
          </cell>
          <cell r="S55">
            <v>110.25</v>
          </cell>
          <cell r="U55">
            <v>6.4578556576361081E-3</v>
          </cell>
          <cell r="W55" t="str">
            <v>L</v>
          </cell>
        </row>
        <row r="56">
          <cell r="C56">
            <v>7120</v>
          </cell>
          <cell r="E56">
            <v>120</v>
          </cell>
          <cell r="F56" t="str">
            <v>leslokaal</v>
          </cell>
          <cell r="G56" t="str">
            <v>120 keer per jaar</v>
          </cell>
          <cell r="H56">
            <v>0.35880000000000001</v>
          </cell>
          <cell r="I56">
            <v>0.35880000000000001</v>
          </cell>
          <cell r="J56">
            <v>0.38200000000000001</v>
          </cell>
          <cell r="K56">
            <v>0.33</v>
          </cell>
          <cell r="L56">
            <v>0.35740000000000005</v>
          </cell>
          <cell r="M56">
            <v>0.14799999999999999</v>
          </cell>
          <cell r="N56">
            <v>0.14799999999999999</v>
          </cell>
          <cell r="O56">
            <v>0.1</v>
          </cell>
          <cell r="P56">
            <v>7.0000000000000007E-2</v>
          </cell>
          <cell r="Q56">
            <v>0.11650000000000001</v>
          </cell>
          <cell r="R56">
            <v>253.21797847647181</v>
          </cell>
          <cell r="S56">
            <v>114</v>
          </cell>
          <cell r="U56">
            <v>6.6775106119774724E-3</v>
          </cell>
          <cell r="W56" t="str">
            <v>L</v>
          </cell>
        </row>
        <row r="57">
          <cell r="C57">
            <v>7160</v>
          </cell>
          <cell r="E57">
            <v>160</v>
          </cell>
          <cell r="F57" t="str">
            <v>leslokaal</v>
          </cell>
          <cell r="G57" t="str">
            <v>160 keer per jaar</v>
          </cell>
          <cell r="H57">
            <v>0.44900000000000001</v>
          </cell>
          <cell r="I57">
            <v>0.44900000000000001</v>
          </cell>
          <cell r="J57">
            <v>0.47899999999999998</v>
          </cell>
          <cell r="K57">
            <v>0.41299999999999998</v>
          </cell>
          <cell r="L57">
            <v>0.44750000000000001</v>
          </cell>
          <cell r="M57">
            <v>0.14799999999999999</v>
          </cell>
          <cell r="N57">
            <v>0.14799999999999999</v>
          </cell>
          <cell r="O57">
            <v>0.1</v>
          </cell>
          <cell r="P57">
            <v>7.0000000000000007E-2</v>
          </cell>
          <cell r="Q57">
            <v>0.11650000000000001</v>
          </cell>
          <cell r="R57">
            <v>283.6879432624113</v>
          </cell>
          <cell r="S57">
            <v>0</v>
          </cell>
          <cell r="U57" t="str">
            <v/>
          </cell>
          <cell r="W57" t="str">
            <v>L</v>
          </cell>
        </row>
        <row r="58">
          <cell r="C58">
            <v>7200</v>
          </cell>
          <cell r="E58">
            <v>200</v>
          </cell>
          <cell r="F58" t="str">
            <v>leslokaal</v>
          </cell>
          <cell r="G58" t="str">
            <v>200 keer per jaar</v>
          </cell>
          <cell r="H58">
            <v>0.52</v>
          </cell>
          <cell r="I58">
            <v>0.52</v>
          </cell>
          <cell r="J58">
            <v>0.55400000000000005</v>
          </cell>
          <cell r="K58">
            <v>0.47799999999999998</v>
          </cell>
          <cell r="L58">
            <v>0.51800000000000002</v>
          </cell>
          <cell r="M58">
            <v>0.14799999999999999</v>
          </cell>
          <cell r="N58">
            <v>0.14799999999999999</v>
          </cell>
          <cell r="O58">
            <v>0.1</v>
          </cell>
          <cell r="P58">
            <v>7.0000000000000007E-2</v>
          </cell>
          <cell r="Q58">
            <v>0.11650000000000001</v>
          </cell>
          <cell r="R58">
            <v>315.20882584712371</v>
          </cell>
          <cell r="S58">
            <v>6433.523000000001</v>
          </cell>
          <cell r="U58">
            <v>0.37684138688509777</v>
          </cell>
          <cell r="W58" t="str">
            <v>L</v>
          </cell>
        </row>
        <row r="59">
          <cell r="C59">
            <v>7201</v>
          </cell>
          <cell r="E59">
            <v>201</v>
          </cell>
          <cell r="F59" t="str">
            <v>leslokaal</v>
          </cell>
          <cell r="G59" t="str">
            <v>201 keer per jaar 52 weken m.u.v. woensdag</v>
          </cell>
          <cell r="H59">
            <v>0.52300000000000002</v>
          </cell>
          <cell r="I59">
            <v>0.52300000000000002</v>
          </cell>
          <cell r="J59">
            <v>0.55700000000000005</v>
          </cell>
          <cell r="K59">
            <v>0.48</v>
          </cell>
          <cell r="L59">
            <v>0.52075000000000005</v>
          </cell>
          <cell r="M59">
            <v>0.14799999999999999</v>
          </cell>
          <cell r="N59">
            <v>0.14799999999999999</v>
          </cell>
          <cell r="O59">
            <v>0.1</v>
          </cell>
          <cell r="P59">
            <v>7.0000000000000007E-2</v>
          </cell>
          <cell r="Q59">
            <v>0.11650000000000001</v>
          </cell>
          <cell r="R59">
            <v>315.41781090623772</v>
          </cell>
          <cell r="S59">
            <v>219.99999999999997</v>
          </cell>
          <cell r="U59">
            <v>1.2886423988026698E-2</v>
          </cell>
          <cell r="W59" t="str">
            <v>L</v>
          </cell>
        </row>
        <row r="60">
          <cell r="C60">
            <v>7204</v>
          </cell>
          <cell r="E60">
            <v>204</v>
          </cell>
          <cell r="F60" t="str">
            <v>leslokaal</v>
          </cell>
          <cell r="G60" t="str">
            <v>204 keer per jaar</v>
          </cell>
          <cell r="H60">
            <v>0.53</v>
          </cell>
          <cell r="I60">
            <v>0.53</v>
          </cell>
          <cell r="J60">
            <v>0.56699999999999995</v>
          </cell>
          <cell r="K60">
            <v>0.48799999999999999</v>
          </cell>
          <cell r="L60">
            <v>0.52875000000000005</v>
          </cell>
          <cell r="M60">
            <v>0.14799999999999999</v>
          </cell>
          <cell r="N60">
            <v>0.14799999999999999</v>
          </cell>
          <cell r="O60">
            <v>0.1</v>
          </cell>
          <cell r="P60">
            <v>7.0000000000000007E-2</v>
          </cell>
          <cell r="Q60">
            <v>0.11650000000000001</v>
          </cell>
          <cell r="R60">
            <v>316.15652847733429</v>
          </cell>
          <cell r="S60">
            <v>0</v>
          </cell>
          <cell r="U60" t="str">
            <v/>
          </cell>
          <cell r="W60" t="str">
            <v>L</v>
          </cell>
        </row>
        <row r="61">
          <cell r="C61">
            <v>7210</v>
          </cell>
          <cell r="E61">
            <v>210</v>
          </cell>
          <cell r="F61" t="str">
            <v>leslokaal</v>
          </cell>
          <cell r="G61" t="str">
            <v>210 keer per jaar +  5 dagen Herfst en 5 dagen voorjaarvakantie</v>
          </cell>
          <cell r="H61">
            <v>0.77300000000000002</v>
          </cell>
          <cell r="I61">
            <v>0.77300000000000002</v>
          </cell>
          <cell r="J61">
            <v>0.81100000000000005</v>
          </cell>
          <cell r="K61">
            <v>0.72699999999999998</v>
          </cell>
          <cell r="L61">
            <v>0.77100000000000002</v>
          </cell>
          <cell r="M61">
            <v>0.14799999999999999</v>
          </cell>
          <cell r="N61">
            <v>0.14799999999999999</v>
          </cell>
          <cell r="O61">
            <v>0.1</v>
          </cell>
          <cell r="P61">
            <v>7.0000000000000007E-2</v>
          </cell>
          <cell r="Q61">
            <v>0.11650000000000001</v>
          </cell>
          <cell r="R61">
            <v>236.61971830985914</v>
          </cell>
          <cell r="S61">
            <v>237.16</v>
          </cell>
          <cell r="U61">
            <v>1.3891565059092783E-2</v>
          </cell>
          <cell r="W61" t="str">
            <v>L</v>
          </cell>
        </row>
        <row r="62">
          <cell r="C62">
            <v>7222</v>
          </cell>
          <cell r="E62">
            <v>222</v>
          </cell>
          <cell r="F62" t="str">
            <v>leslokaal</v>
          </cell>
          <cell r="G62" t="str">
            <v>222 keer per jaar</v>
          </cell>
          <cell r="H62">
            <v>0.57699999999999996</v>
          </cell>
          <cell r="I62">
            <v>0.57699999999999996</v>
          </cell>
          <cell r="J62">
            <v>0.61499999999999999</v>
          </cell>
          <cell r="K62">
            <v>0.53100000000000003</v>
          </cell>
          <cell r="L62">
            <v>0.57499999999999996</v>
          </cell>
          <cell r="M62">
            <v>0.14799999999999999</v>
          </cell>
          <cell r="N62">
            <v>0.14799999999999999</v>
          </cell>
          <cell r="O62">
            <v>0.1</v>
          </cell>
          <cell r="P62">
            <v>7.0000000000000007E-2</v>
          </cell>
          <cell r="Q62">
            <v>0.11650000000000001</v>
          </cell>
          <cell r="R62">
            <v>321.04121475054228</v>
          </cell>
          <cell r="S62">
            <v>0</v>
          </cell>
          <cell r="U62" t="str">
            <v/>
          </cell>
          <cell r="W62" t="str">
            <v>L</v>
          </cell>
        </row>
        <row r="63">
          <cell r="C63">
            <v>7233</v>
          </cell>
          <cell r="E63">
            <v>233</v>
          </cell>
          <cell r="F63" t="str">
            <v>leslokaal</v>
          </cell>
          <cell r="G63" t="str">
            <v>233 keer per jaar</v>
          </cell>
          <cell r="H63">
            <v>0.52300000000000002</v>
          </cell>
          <cell r="I63">
            <v>0.52300000000000002</v>
          </cell>
          <cell r="J63">
            <v>0.64500000000000002</v>
          </cell>
          <cell r="K63">
            <v>0.55700000000000005</v>
          </cell>
          <cell r="L63">
            <v>0.56200000000000006</v>
          </cell>
          <cell r="M63">
            <v>0.14799999999999999</v>
          </cell>
          <cell r="N63">
            <v>0.14799999999999999</v>
          </cell>
          <cell r="O63">
            <v>0.1</v>
          </cell>
          <cell r="P63">
            <v>7.0000000000000007E-2</v>
          </cell>
          <cell r="Q63">
            <v>0.11650000000000001</v>
          </cell>
          <cell r="R63">
            <v>343.40456890198965</v>
          </cell>
          <cell r="S63">
            <v>0</v>
          </cell>
          <cell r="U63" t="str">
            <v/>
          </cell>
          <cell r="W63" t="str">
            <v>L</v>
          </cell>
        </row>
        <row r="64">
          <cell r="C64">
            <v>7251</v>
          </cell>
          <cell r="E64">
            <v>251</v>
          </cell>
          <cell r="F64" t="str">
            <v>leslokaal</v>
          </cell>
          <cell r="G64" t="str">
            <v>251 keer per jaar</v>
          </cell>
          <cell r="H64">
            <v>0.65300000000000002</v>
          </cell>
          <cell r="I64">
            <v>0.65300000000000002</v>
          </cell>
          <cell r="J64">
            <v>0.69499999999999995</v>
          </cell>
          <cell r="K64">
            <v>0.6</v>
          </cell>
          <cell r="L64">
            <v>0.65024999999999999</v>
          </cell>
          <cell r="M64">
            <v>0.14799999999999999</v>
          </cell>
          <cell r="N64">
            <v>0.14799999999999999</v>
          </cell>
          <cell r="O64">
            <v>0.1</v>
          </cell>
          <cell r="P64">
            <v>7.0000000000000007E-2</v>
          </cell>
          <cell r="Q64">
            <v>0.11650000000000001</v>
          </cell>
          <cell r="R64">
            <v>327.35572220410825</v>
          </cell>
          <cell r="S64">
            <v>539.41000000000008</v>
          </cell>
          <cell r="U64">
            <v>3.1595754379006746E-2</v>
          </cell>
          <cell r="W64" t="str">
            <v>L</v>
          </cell>
        </row>
        <row r="65">
          <cell r="C65">
            <v>8005</v>
          </cell>
          <cell r="E65">
            <v>5</v>
          </cell>
          <cell r="F65" t="str">
            <v>speellokaal (berging)</v>
          </cell>
          <cell r="G65" t="str">
            <v>5 keer per jaar</v>
          </cell>
          <cell r="H65">
            <v>1.6E-2</v>
          </cell>
          <cell r="I65">
            <v>1.6E-2</v>
          </cell>
          <cell r="J65">
            <v>1.6E-2</v>
          </cell>
          <cell r="K65">
            <v>1.6E-2</v>
          </cell>
          <cell r="L65">
            <v>1.6E-2</v>
          </cell>
          <cell r="M65">
            <v>8.5000000000000006E-2</v>
          </cell>
          <cell r="N65">
            <v>8.5000000000000006E-2</v>
          </cell>
          <cell r="O65">
            <v>8.5000000000000006E-2</v>
          </cell>
          <cell r="P65">
            <v>8.5000000000000006E-2</v>
          </cell>
          <cell r="Q65">
            <v>8.5000000000000006E-2</v>
          </cell>
          <cell r="R65">
            <v>49.504950495049499</v>
          </cell>
          <cell r="S65">
            <v>14.8</v>
          </cell>
          <cell r="U65">
            <v>8.6690488646725078E-4</v>
          </cell>
        </row>
        <row r="66">
          <cell r="C66">
            <v>8020</v>
          </cell>
          <cell r="E66">
            <v>20</v>
          </cell>
          <cell r="F66" t="str">
            <v>speellokaal (peuterspeelzaal)</v>
          </cell>
          <cell r="G66" t="str">
            <v>20 keer per jaar</v>
          </cell>
          <cell r="H66">
            <v>5.3999999999999999E-2</v>
          </cell>
          <cell r="I66">
            <v>5.3999999999999999E-2</v>
          </cell>
          <cell r="J66">
            <v>4.7E-2</v>
          </cell>
          <cell r="K66">
            <v>5.0999999999999997E-2</v>
          </cell>
          <cell r="L66">
            <v>5.1499999999999997E-2</v>
          </cell>
          <cell r="M66">
            <v>8.5000000000000006E-2</v>
          </cell>
          <cell r="N66">
            <v>8.5000000000000006E-2</v>
          </cell>
          <cell r="O66">
            <v>0.05</v>
          </cell>
          <cell r="P66">
            <v>0.12</v>
          </cell>
          <cell r="Q66">
            <v>8.5000000000000006E-2</v>
          </cell>
          <cell r="R66">
            <v>146.52014652014651</v>
          </cell>
          <cell r="S66">
            <v>84.15</v>
          </cell>
          <cell r="U66">
            <v>4.9290571754202137E-3</v>
          </cell>
        </row>
        <row r="67">
          <cell r="C67">
            <v>8040</v>
          </cell>
          <cell r="E67">
            <v>40</v>
          </cell>
          <cell r="F67" t="str">
            <v>speellokaal (peuterspeelzaal)</v>
          </cell>
          <cell r="G67" t="str">
            <v>40 keer per jaar</v>
          </cell>
          <cell r="H67">
            <v>9.9000000000000005E-2</v>
          </cell>
          <cell r="I67">
            <v>9.9000000000000005E-2</v>
          </cell>
          <cell r="J67">
            <v>8.5999999999999993E-2</v>
          </cell>
          <cell r="K67">
            <v>9.1999999999999998E-2</v>
          </cell>
          <cell r="L67">
            <v>9.4E-2</v>
          </cell>
          <cell r="M67">
            <v>8.5000000000000006E-2</v>
          </cell>
          <cell r="N67">
            <v>8.5000000000000006E-2</v>
          </cell>
          <cell r="O67">
            <v>0.05</v>
          </cell>
          <cell r="P67">
            <v>0.12</v>
          </cell>
          <cell r="Q67">
            <v>8.5000000000000006E-2</v>
          </cell>
          <cell r="R67">
            <v>223.46368715083798</v>
          </cell>
          <cell r="S67">
            <v>0</v>
          </cell>
          <cell r="U67" t="str">
            <v/>
          </cell>
          <cell r="W67" t="str">
            <v>L</v>
          </cell>
        </row>
        <row r="68">
          <cell r="C68">
            <v>8080</v>
          </cell>
          <cell r="E68">
            <v>80</v>
          </cell>
          <cell r="F68" t="str">
            <v>speellokaal (peuterspeelzaal)</v>
          </cell>
          <cell r="G68" t="str">
            <v>80 keer per jaar</v>
          </cell>
          <cell r="H68">
            <v>0.17799999999999999</v>
          </cell>
          <cell r="I68">
            <v>0.17799999999999999</v>
          </cell>
          <cell r="J68">
            <v>0.156</v>
          </cell>
          <cell r="K68">
            <v>0.16700000000000001</v>
          </cell>
          <cell r="L68">
            <v>0.16975000000000001</v>
          </cell>
          <cell r="M68">
            <v>8.5000000000000006E-2</v>
          </cell>
          <cell r="N68">
            <v>8.5000000000000006E-2</v>
          </cell>
          <cell r="O68">
            <v>0.05</v>
          </cell>
          <cell r="P68">
            <v>0.12</v>
          </cell>
          <cell r="Q68">
            <v>8.5000000000000006E-2</v>
          </cell>
          <cell r="R68">
            <v>314.03336604514226</v>
          </cell>
          <cell r="S68">
            <v>81.099999999999994</v>
          </cell>
          <cell r="U68">
            <v>4.7504044792225694E-3</v>
          </cell>
          <cell r="W68" t="str">
            <v>L</v>
          </cell>
        </row>
        <row r="69">
          <cell r="C69">
            <v>8147</v>
          </cell>
          <cell r="E69">
            <v>147</v>
          </cell>
          <cell r="F69" t="str">
            <v>speellokaal (peuterspeelzaal)</v>
          </cell>
          <cell r="G69" t="str">
            <v>147 keer per jaar 49 weken</v>
          </cell>
          <cell r="H69">
            <v>0.29499999999999998</v>
          </cell>
          <cell r="I69">
            <v>0.29499999999999998</v>
          </cell>
          <cell r="J69">
            <v>0.254</v>
          </cell>
          <cell r="K69">
            <v>0.27100000000000002</v>
          </cell>
          <cell r="L69">
            <v>0.27875</v>
          </cell>
          <cell r="M69">
            <v>8.5000000000000006E-2</v>
          </cell>
          <cell r="N69">
            <v>8.5000000000000006E-2</v>
          </cell>
          <cell r="O69">
            <v>0.05</v>
          </cell>
          <cell r="P69">
            <v>0.12</v>
          </cell>
          <cell r="Q69">
            <v>8.5000000000000006E-2</v>
          </cell>
          <cell r="R69">
            <v>404.12371134020617</v>
          </cell>
          <cell r="S69">
            <v>0</v>
          </cell>
          <cell r="U69" t="str">
            <v/>
          </cell>
          <cell r="W69" t="str">
            <v>L</v>
          </cell>
        </row>
        <row r="70">
          <cell r="C70">
            <v>8160</v>
          </cell>
          <cell r="E70">
            <v>160</v>
          </cell>
          <cell r="F70" t="str">
            <v>speellokaal (peuterspeelzaal)</v>
          </cell>
          <cell r="G70" t="str">
            <v>160 keer per jaar</v>
          </cell>
          <cell r="H70">
            <v>0.315</v>
          </cell>
          <cell r="I70">
            <v>0.315</v>
          </cell>
          <cell r="J70">
            <v>0.27600000000000002</v>
          </cell>
          <cell r="K70">
            <v>0.29499999999999998</v>
          </cell>
          <cell r="L70">
            <v>0.30025000000000002</v>
          </cell>
          <cell r="M70">
            <v>8.5000000000000006E-2</v>
          </cell>
          <cell r="N70">
            <v>8.5000000000000006E-2</v>
          </cell>
          <cell r="O70">
            <v>0.05</v>
          </cell>
          <cell r="P70">
            <v>0.12</v>
          </cell>
          <cell r="Q70">
            <v>8.5000000000000006E-2</v>
          </cell>
          <cell r="R70">
            <v>415.3147306943543</v>
          </cell>
          <cell r="S70">
            <v>0</v>
          </cell>
          <cell r="U70" t="str">
            <v/>
          </cell>
          <cell r="W70" t="str">
            <v>L</v>
          </cell>
        </row>
        <row r="71">
          <cell r="C71">
            <v>8196</v>
          </cell>
          <cell r="E71">
            <v>196</v>
          </cell>
          <cell r="F71" t="str">
            <v>speellokaal (peuterspeelzaal)</v>
          </cell>
          <cell r="G71" t="str">
            <v>196 keer per jaar 49 weken</v>
          </cell>
          <cell r="H71">
            <v>0.35799999999999998</v>
          </cell>
          <cell r="I71">
            <v>0.35799999999999998</v>
          </cell>
          <cell r="J71">
            <v>0.313</v>
          </cell>
          <cell r="K71">
            <v>0.33400000000000002</v>
          </cell>
          <cell r="L71">
            <v>0.34075</v>
          </cell>
          <cell r="M71">
            <v>8.5000000000000006E-2</v>
          </cell>
          <cell r="N71">
            <v>8.5000000000000006E-2</v>
          </cell>
          <cell r="O71">
            <v>0.05</v>
          </cell>
          <cell r="P71">
            <v>0.12</v>
          </cell>
          <cell r="Q71">
            <v>8.5000000000000006E-2</v>
          </cell>
          <cell r="R71">
            <v>460.36406341749853</v>
          </cell>
          <cell r="S71">
            <v>0</v>
          </cell>
          <cell r="U71" t="str">
            <v/>
          </cell>
          <cell r="W71" t="str">
            <v>L</v>
          </cell>
        </row>
        <row r="72">
          <cell r="C72">
            <v>8200</v>
          </cell>
          <cell r="E72">
            <v>200</v>
          </cell>
          <cell r="F72" t="str">
            <v>speellokaal (peuterspeelzaal)</v>
          </cell>
          <cell r="G72" t="str">
            <v>200 keer per jaar</v>
          </cell>
          <cell r="H72">
            <v>0.36499999999999999</v>
          </cell>
          <cell r="I72">
            <v>0.36499999999999999</v>
          </cell>
          <cell r="J72">
            <v>0.31900000000000001</v>
          </cell>
          <cell r="K72">
            <v>0.34100000000000003</v>
          </cell>
          <cell r="L72">
            <v>0.34749999999999998</v>
          </cell>
          <cell r="M72">
            <v>8.5000000000000006E-2</v>
          </cell>
          <cell r="N72">
            <v>8.5000000000000006E-2</v>
          </cell>
          <cell r="O72">
            <v>0.05</v>
          </cell>
          <cell r="P72">
            <v>0.12</v>
          </cell>
          <cell r="Q72">
            <v>8.5000000000000006E-2</v>
          </cell>
          <cell r="R72">
            <v>462.42774566473992</v>
          </cell>
          <cell r="S72">
            <v>342.6</v>
          </cell>
          <cell r="U72">
            <v>2.0067676628627035E-2</v>
          </cell>
          <cell r="W72" t="str">
            <v>L</v>
          </cell>
        </row>
        <row r="73">
          <cell r="C73">
            <v>8210</v>
          </cell>
          <cell r="E73">
            <v>210</v>
          </cell>
          <cell r="F73" t="str">
            <v>speellokaal (peuterspeelzaal)</v>
          </cell>
          <cell r="G73" t="str">
            <v>210 keer per jaar +  5 dagen Herfst en 5 dagen voorjaarvakantie</v>
          </cell>
          <cell r="H73">
            <v>0.60199999999999998</v>
          </cell>
          <cell r="I73">
            <v>0.60199999999999998</v>
          </cell>
          <cell r="J73">
            <v>0.55200000000000005</v>
          </cell>
          <cell r="K73">
            <v>0.57599999999999996</v>
          </cell>
          <cell r="L73">
            <v>0.58299999999999996</v>
          </cell>
          <cell r="M73">
            <v>8.5000000000000006E-2</v>
          </cell>
          <cell r="N73">
            <v>8.5000000000000006E-2</v>
          </cell>
          <cell r="O73">
            <v>0.05</v>
          </cell>
          <cell r="P73">
            <v>0.12</v>
          </cell>
          <cell r="Q73">
            <v>8.5000000000000006E-2</v>
          </cell>
          <cell r="R73">
            <v>314.37125748502996</v>
          </cell>
          <cell r="S73">
            <v>84.5</v>
          </cell>
          <cell r="U73">
            <v>4.9495583044920737E-3</v>
          </cell>
          <cell r="W73" t="str">
            <v>L</v>
          </cell>
        </row>
        <row r="74">
          <cell r="C74">
            <v>8251</v>
          </cell>
          <cell r="E74">
            <v>251</v>
          </cell>
          <cell r="F74" t="str">
            <v>speellokaal (peuterspeelzaal)</v>
          </cell>
          <cell r="G74" t="str">
            <v>251 keer per jaar</v>
          </cell>
          <cell r="H74">
            <v>0.45800000000000002</v>
          </cell>
          <cell r="I74">
            <v>0.45800000000000002</v>
          </cell>
          <cell r="J74">
            <v>0.4</v>
          </cell>
          <cell r="K74">
            <v>0.42799999999999999</v>
          </cell>
          <cell r="L74">
            <v>0.436</v>
          </cell>
          <cell r="M74">
            <v>8.5000000000000006E-2</v>
          </cell>
          <cell r="N74">
            <v>8.5000000000000006E-2</v>
          </cell>
          <cell r="O74">
            <v>0.05</v>
          </cell>
          <cell r="P74">
            <v>0.12</v>
          </cell>
          <cell r="Q74">
            <v>8.5000000000000006E-2</v>
          </cell>
          <cell r="R74">
            <v>481.76583493282146</v>
          </cell>
          <cell r="S74">
            <v>161.42000000000002</v>
          </cell>
          <cell r="U74">
            <v>9.455120727942138E-3</v>
          </cell>
          <cell r="W74" t="str">
            <v>L</v>
          </cell>
        </row>
        <row r="75">
          <cell r="C75">
            <v>9040</v>
          </cell>
          <cell r="E75">
            <v>40</v>
          </cell>
          <cell r="F75" t="str">
            <v>trappenhuis</v>
          </cell>
          <cell r="G75" t="str">
            <v>40 keer per jaar</v>
          </cell>
          <cell r="H75">
            <v>0.317</v>
          </cell>
          <cell r="I75">
            <v>0.317</v>
          </cell>
          <cell r="J75">
            <v>3.4000000000000002E-2</v>
          </cell>
          <cell r="K75">
            <v>0.28799999999999998</v>
          </cell>
          <cell r="L75">
            <v>0.23899999999999999</v>
          </cell>
          <cell r="M75">
            <v>0.159</v>
          </cell>
          <cell r="N75">
            <v>0.159</v>
          </cell>
          <cell r="O75">
            <v>0.13900000000000001</v>
          </cell>
          <cell r="P75">
            <v>0.125</v>
          </cell>
          <cell r="Q75">
            <v>0.14550000000000002</v>
          </cell>
          <cell r="R75">
            <v>104.03120936280884</v>
          </cell>
          <cell r="S75">
            <v>0</v>
          </cell>
          <cell r="U75" t="str">
            <v/>
          </cell>
          <cell r="W75" t="str">
            <v>V</v>
          </cell>
        </row>
        <row r="76">
          <cell r="C76">
            <v>9080</v>
          </cell>
          <cell r="E76">
            <v>80</v>
          </cell>
          <cell r="F76" t="str">
            <v>trappenhuis</v>
          </cell>
          <cell r="G76" t="str">
            <v>80 keer per jaar</v>
          </cell>
          <cell r="H76">
            <v>0.57199999999999995</v>
          </cell>
          <cell r="I76">
            <v>0.57199999999999995</v>
          </cell>
          <cell r="J76">
            <v>0.61299999999999999</v>
          </cell>
          <cell r="K76">
            <v>0.52100000000000002</v>
          </cell>
          <cell r="L76">
            <v>0.56950000000000001</v>
          </cell>
          <cell r="M76">
            <v>0.159</v>
          </cell>
          <cell r="N76">
            <v>0.159</v>
          </cell>
          <cell r="O76">
            <v>0.13900000000000001</v>
          </cell>
          <cell r="P76">
            <v>0.125</v>
          </cell>
          <cell r="Q76">
            <v>0.14550000000000002</v>
          </cell>
          <cell r="R76">
            <v>111.88811188811188</v>
          </cell>
          <cell r="S76">
            <v>8</v>
          </cell>
          <cell r="U76">
            <v>4.6859723592824364E-4</v>
          </cell>
          <cell r="W76" t="str">
            <v>V</v>
          </cell>
        </row>
        <row r="77">
          <cell r="C77">
            <v>9200</v>
          </cell>
          <cell r="E77">
            <v>200</v>
          </cell>
          <cell r="F77" t="str">
            <v>trappenhuis</v>
          </cell>
          <cell r="G77" t="str">
            <v>200 keer per jaar</v>
          </cell>
          <cell r="H77">
            <v>1.173</v>
          </cell>
          <cell r="I77">
            <v>1.173</v>
          </cell>
          <cell r="J77">
            <v>1.256</v>
          </cell>
          <cell r="K77">
            <v>1.0680000000000001</v>
          </cell>
          <cell r="L77">
            <v>1.1675</v>
          </cell>
          <cell r="M77">
            <v>0.159</v>
          </cell>
          <cell r="N77">
            <v>0.159</v>
          </cell>
          <cell r="O77">
            <v>0.13900000000000001</v>
          </cell>
          <cell r="P77">
            <v>0.125</v>
          </cell>
          <cell r="Q77">
            <v>0.14550000000000002</v>
          </cell>
          <cell r="R77">
            <v>152.32292460015233</v>
          </cell>
          <cell r="S77">
            <v>0</v>
          </cell>
          <cell r="U77" t="str">
            <v/>
          </cell>
          <cell r="W77" t="str">
            <v>V</v>
          </cell>
        </row>
        <row r="78">
          <cell r="C78">
            <v>9251</v>
          </cell>
          <cell r="E78">
            <v>251</v>
          </cell>
          <cell r="F78" t="str">
            <v>trappenhuis</v>
          </cell>
          <cell r="G78" t="str">
            <v>251 keer per jaar</v>
          </cell>
          <cell r="H78">
            <v>1.472</v>
          </cell>
          <cell r="I78">
            <v>1.472</v>
          </cell>
          <cell r="J78">
            <v>1.5760000000000001</v>
          </cell>
          <cell r="K78">
            <v>1.34</v>
          </cell>
          <cell r="L78">
            <v>1.4649999999999999</v>
          </cell>
          <cell r="M78">
            <v>0.159</v>
          </cell>
          <cell r="N78">
            <v>0.159</v>
          </cell>
          <cell r="O78">
            <v>0.13900000000000001</v>
          </cell>
          <cell r="P78">
            <v>0.125</v>
          </cell>
          <cell r="Q78">
            <v>0.14550000000000002</v>
          </cell>
          <cell r="R78">
            <v>155.85221980751322</v>
          </cell>
          <cell r="S78">
            <v>0</v>
          </cell>
          <cell r="U78" t="str">
            <v/>
          </cell>
          <cell r="W78" t="str">
            <v>V</v>
          </cell>
        </row>
        <row r="79">
          <cell r="C79">
            <v>10200</v>
          </cell>
          <cell r="E79">
            <v>200</v>
          </cell>
          <cell r="F79" t="str">
            <v>kleedruimten</v>
          </cell>
          <cell r="G79" t="str">
            <v>200 keer per jaar</v>
          </cell>
          <cell r="H79">
            <v>1.173</v>
          </cell>
          <cell r="I79">
            <v>1.173</v>
          </cell>
          <cell r="J79">
            <v>1.2190000000000001</v>
          </cell>
          <cell r="K79">
            <v>0.92</v>
          </cell>
          <cell r="L79">
            <v>1.1212500000000001</v>
          </cell>
          <cell r="M79">
            <v>0.159</v>
          </cell>
          <cell r="N79">
            <v>0.159</v>
          </cell>
          <cell r="O79">
            <v>0.159</v>
          </cell>
          <cell r="P79">
            <v>0.14499999999999999</v>
          </cell>
          <cell r="Q79">
            <v>0.1555</v>
          </cell>
          <cell r="R79">
            <v>156.64773839827686</v>
          </cell>
          <cell r="S79">
            <v>0</v>
          </cell>
          <cell r="U79" t="str">
            <v/>
          </cell>
          <cell r="W79" t="str">
            <v>V</v>
          </cell>
        </row>
        <row r="80">
          <cell r="C80">
            <v>10251</v>
          </cell>
          <cell r="E80">
            <v>251</v>
          </cell>
          <cell r="F80" t="str">
            <v>kleedruimten</v>
          </cell>
          <cell r="G80" t="str">
            <v>251 keer per jaar</v>
          </cell>
          <cell r="H80">
            <v>1.472</v>
          </cell>
          <cell r="I80">
            <v>1.472</v>
          </cell>
          <cell r="J80">
            <v>1.53</v>
          </cell>
          <cell r="K80">
            <v>1.155</v>
          </cell>
          <cell r="L80">
            <v>1.4072500000000001</v>
          </cell>
          <cell r="M80">
            <v>0.159</v>
          </cell>
          <cell r="N80">
            <v>0.159</v>
          </cell>
          <cell r="O80">
            <v>0.159</v>
          </cell>
          <cell r="P80">
            <v>0.14499999999999999</v>
          </cell>
          <cell r="Q80">
            <v>0.1555</v>
          </cell>
          <cell r="R80">
            <v>160.61430171172611</v>
          </cell>
          <cell r="S80">
            <v>63.1</v>
          </cell>
          <cell r="U80">
            <v>3.6960606983840218E-3</v>
          </cell>
          <cell r="W80" t="str">
            <v>V</v>
          </cell>
        </row>
        <row r="81">
          <cell r="C81">
            <v>11040</v>
          </cell>
          <cell r="E81">
            <v>40</v>
          </cell>
          <cell r="F81" t="str">
            <v>gymzaal (toestelberging)</v>
          </cell>
          <cell r="G81" t="str">
            <v>40 keer per jaar</v>
          </cell>
          <cell r="H81">
            <v>9.9000000000000005E-2</v>
          </cell>
          <cell r="I81">
            <v>9.9000000000000005E-2</v>
          </cell>
          <cell r="J81">
            <v>9.9000000000000005E-2</v>
          </cell>
          <cell r="K81">
            <v>9.9000000000000005E-2</v>
          </cell>
          <cell r="L81">
            <v>9.9000000000000005E-2</v>
          </cell>
          <cell r="M81">
            <v>8.5000000000000006E-2</v>
          </cell>
          <cell r="N81">
            <v>8.5000000000000006E-2</v>
          </cell>
          <cell r="O81">
            <v>8.5000000000000006E-2</v>
          </cell>
          <cell r="P81">
            <v>8.5000000000000006E-2</v>
          </cell>
          <cell r="Q81">
            <v>8.5000000000000006E-2</v>
          </cell>
          <cell r="R81">
            <v>217.39130434782609</v>
          </cell>
          <cell r="S81">
            <v>83</v>
          </cell>
          <cell r="U81">
            <v>4.8616963227555276E-3</v>
          </cell>
          <cell r="W81" t="str">
            <v>Sp</v>
          </cell>
        </row>
        <row r="82">
          <cell r="C82">
            <v>11051</v>
          </cell>
          <cell r="E82">
            <v>51</v>
          </cell>
          <cell r="F82" t="str">
            <v>gymzaal (toestelberging)</v>
          </cell>
          <cell r="G82" t="str">
            <v>51 keer per jaar</v>
          </cell>
          <cell r="H82">
            <v>0.126</v>
          </cell>
          <cell r="I82">
            <v>0.126</v>
          </cell>
          <cell r="J82">
            <v>0.126</v>
          </cell>
          <cell r="K82">
            <v>0.126</v>
          </cell>
          <cell r="L82">
            <v>0.126</v>
          </cell>
          <cell r="M82">
            <v>8.5000000000000006E-2</v>
          </cell>
          <cell r="N82">
            <v>8.5000000000000006E-2</v>
          </cell>
          <cell r="O82">
            <v>8.5000000000000006E-2</v>
          </cell>
          <cell r="P82">
            <v>8.5000000000000006E-2</v>
          </cell>
          <cell r="Q82">
            <v>8.5000000000000006E-2</v>
          </cell>
          <cell r="R82">
            <v>241.70616113744074</v>
          </cell>
          <cell r="S82">
            <v>0</v>
          </cell>
          <cell r="U82" t="str">
            <v/>
          </cell>
          <cell r="W82" t="str">
            <v>Sp</v>
          </cell>
        </row>
        <row r="83">
          <cell r="C83">
            <v>11120</v>
          </cell>
          <cell r="E83">
            <v>120</v>
          </cell>
          <cell r="F83" t="str">
            <v>gymzaal</v>
          </cell>
          <cell r="G83" t="str">
            <v>120 keer per jaar</v>
          </cell>
          <cell r="H83">
            <v>0.252</v>
          </cell>
          <cell r="I83">
            <v>0.252</v>
          </cell>
          <cell r="J83">
            <v>0.22</v>
          </cell>
          <cell r="K83">
            <v>0.23499999999999999</v>
          </cell>
          <cell r="L83">
            <v>0.23974999999999999</v>
          </cell>
          <cell r="M83">
            <v>8.5000000000000006E-2</v>
          </cell>
          <cell r="N83">
            <v>8.5000000000000006E-2</v>
          </cell>
          <cell r="O83">
            <v>8.5000000000000006E-2</v>
          </cell>
          <cell r="P83">
            <v>8.5000000000000006E-2</v>
          </cell>
          <cell r="Q83">
            <v>8.5000000000000006E-2</v>
          </cell>
          <cell r="R83">
            <v>369.5150115473441</v>
          </cell>
          <cell r="S83">
            <v>0</v>
          </cell>
          <cell r="U83" t="str">
            <v/>
          </cell>
          <cell r="W83" t="str">
            <v>Sp</v>
          </cell>
        </row>
        <row r="84">
          <cell r="C84">
            <v>11200</v>
          </cell>
          <cell r="E84">
            <v>200</v>
          </cell>
          <cell r="F84" t="str">
            <v>gymzaal</v>
          </cell>
          <cell r="G84" t="str">
            <v>200 keer per jaar</v>
          </cell>
          <cell r="H84">
            <v>0.36499999999999999</v>
          </cell>
          <cell r="I84">
            <v>0.36499999999999999</v>
          </cell>
          <cell r="J84">
            <v>0.31900000000000001</v>
          </cell>
          <cell r="K84">
            <v>0.34100000000000003</v>
          </cell>
          <cell r="L84">
            <v>0.34749999999999998</v>
          </cell>
          <cell r="M84">
            <v>8.5000000000000006E-2</v>
          </cell>
          <cell r="N84">
            <v>8.5000000000000006E-2</v>
          </cell>
          <cell r="O84">
            <v>8.5000000000000006E-2</v>
          </cell>
          <cell r="P84">
            <v>8.5000000000000006E-2</v>
          </cell>
          <cell r="Q84">
            <v>8.5000000000000006E-2</v>
          </cell>
          <cell r="R84">
            <v>462.42774566473992</v>
          </cell>
          <cell r="S84">
            <v>319.54000000000002</v>
          </cell>
          <cell r="U84">
            <v>1.8716945096063874E-2</v>
          </cell>
          <cell r="W84" t="str">
            <v>Sp</v>
          </cell>
        </row>
        <row r="85">
          <cell r="C85">
            <v>12200</v>
          </cell>
          <cell r="E85">
            <v>200</v>
          </cell>
          <cell r="F85" t="str">
            <v>buitenbordes</v>
          </cell>
          <cell r="G85" t="str">
            <v>200 keer per jaar</v>
          </cell>
          <cell r="H85">
            <v>0.185</v>
          </cell>
          <cell r="I85">
            <v>0.185</v>
          </cell>
          <cell r="J85">
            <v>0.185</v>
          </cell>
          <cell r="K85">
            <v>0.185</v>
          </cell>
          <cell r="L85">
            <v>0.185</v>
          </cell>
          <cell r="M85">
            <v>0.185</v>
          </cell>
          <cell r="N85">
            <v>0.185</v>
          </cell>
          <cell r="O85">
            <v>0.185</v>
          </cell>
          <cell r="P85">
            <v>0.185</v>
          </cell>
          <cell r="Q85">
            <v>0.185</v>
          </cell>
          <cell r="R85">
            <v>540.54054054054052</v>
          </cell>
          <cell r="S85">
            <v>0</v>
          </cell>
          <cell r="U85" t="str">
            <v/>
          </cell>
          <cell r="W85" t="str">
            <v>V</v>
          </cell>
        </row>
        <row r="86">
          <cell r="C86">
            <v>14200</v>
          </cell>
          <cell r="E86">
            <v>200</v>
          </cell>
          <cell r="F86" t="str">
            <v>lift</v>
          </cell>
          <cell r="G86" t="str">
            <v>200 keer per jaar</v>
          </cell>
          <cell r="H86">
            <v>1.345</v>
          </cell>
          <cell r="I86">
            <v>1.345</v>
          </cell>
          <cell r="J86">
            <v>1.345</v>
          </cell>
          <cell r="K86">
            <v>1.345</v>
          </cell>
          <cell r="L86">
            <v>1.345</v>
          </cell>
          <cell r="M86">
            <v>0.32</v>
          </cell>
          <cell r="N86">
            <v>0.32</v>
          </cell>
          <cell r="O86">
            <v>0.32</v>
          </cell>
          <cell r="P86">
            <v>0.32</v>
          </cell>
          <cell r="Q86">
            <v>0.32</v>
          </cell>
          <cell r="R86">
            <v>120.12012012012012</v>
          </cell>
          <cell r="S86">
            <v>1.9800000000000002</v>
          </cell>
          <cell r="U86">
            <v>1.1597781589224032E-4</v>
          </cell>
          <cell r="W86" t="str">
            <v>V</v>
          </cell>
        </row>
        <row r="87">
          <cell r="C87">
            <v>15200</v>
          </cell>
          <cell r="E87">
            <v>200</v>
          </cell>
          <cell r="F87" t="str">
            <v>verblijfsruimte</v>
          </cell>
          <cell r="G87" t="str">
            <v>200 keer per jaar</v>
          </cell>
          <cell r="H87">
            <v>0.38100000000000001</v>
          </cell>
          <cell r="I87">
            <v>0.38100000000000001</v>
          </cell>
          <cell r="J87">
            <v>0.41299999999999998</v>
          </cell>
          <cell r="K87">
            <v>0.33600000000000002</v>
          </cell>
          <cell r="L87">
            <v>0.37775000000000003</v>
          </cell>
          <cell r="M87">
            <v>0.107</v>
          </cell>
          <cell r="N87">
            <v>0.107</v>
          </cell>
          <cell r="O87">
            <v>0.107</v>
          </cell>
          <cell r="P87">
            <v>0.107</v>
          </cell>
          <cell r="Q87">
            <v>0.107</v>
          </cell>
          <cell r="R87">
            <v>412.58380608561112</v>
          </cell>
          <cell r="S87">
            <v>0</v>
          </cell>
          <cell r="U87" t="str">
            <v/>
          </cell>
          <cell r="W87" t="str">
            <v>V</v>
          </cell>
        </row>
        <row r="88">
          <cell r="C88">
            <v>15251</v>
          </cell>
          <cell r="E88">
            <v>251</v>
          </cell>
          <cell r="F88" t="str">
            <v>verblijfsruimte</v>
          </cell>
          <cell r="G88" t="str">
            <v>251 keer per jaar</v>
          </cell>
          <cell r="H88">
            <v>0.47799999999999998</v>
          </cell>
          <cell r="I88">
            <v>0.47799999999999998</v>
          </cell>
          <cell r="J88">
            <v>0.51800000000000002</v>
          </cell>
          <cell r="K88">
            <v>0.42199999999999999</v>
          </cell>
          <cell r="L88">
            <v>0.47399999999999998</v>
          </cell>
          <cell r="M88">
            <v>0.107</v>
          </cell>
          <cell r="N88">
            <v>0.107</v>
          </cell>
          <cell r="O88">
            <v>0.107</v>
          </cell>
          <cell r="P88">
            <v>0.107</v>
          </cell>
          <cell r="Q88">
            <v>0.107</v>
          </cell>
          <cell r="R88">
            <v>432.013769363167</v>
          </cell>
          <cell r="S88">
            <v>16.5</v>
          </cell>
          <cell r="U88">
            <v>9.664817991020025E-4</v>
          </cell>
          <cell r="W88" t="str">
            <v>V</v>
          </cell>
        </row>
        <row r="89">
          <cell r="C89" t="str">
            <v>Periodiek</v>
          </cell>
          <cell r="E89">
            <v>1</v>
          </cell>
          <cell r="F89" t="str">
            <v>Periodiek</v>
          </cell>
          <cell r="G89" t="str">
            <v>1 keer per jaar</v>
          </cell>
          <cell r="H89">
            <v>0</v>
          </cell>
          <cell r="I89">
            <v>0</v>
          </cell>
          <cell r="J89">
            <v>0</v>
          </cell>
          <cell r="K89">
            <v>4.2862E-4</v>
          </cell>
          <cell r="L89">
            <v>0</v>
          </cell>
          <cell r="M89">
            <v>0.14799999999999999</v>
          </cell>
          <cell r="N89">
            <v>0.14799999999999999</v>
          </cell>
          <cell r="Q89">
            <v>0.14799999999999999</v>
          </cell>
          <cell r="R89">
            <v>6.756756756756757</v>
          </cell>
          <cell r="S89">
            <v>54.207000000000001</v>
          </cell>
          <cell r="U89" t="str">
            <v/>
          </cell>
        </row>
        <row r="90">
          <cell r="C90" t="str">
            <v>op afroep</v>
          </cell>
          <cell r="F90" t="str">
            <v>op afroep</v>
          </cell>
          <cell r="L90">
            <v>0</v>
          </cell>
          <cell r="Q90">
            <v>0</v>
          </cell>
          <cell r="R90">
            <v>0</v>
          </cell>
          <cell r="S90">
            <v>0</v>
          </cell>
          <cell r="U90" t="str">
            <v/>
          </cell>
          <cell r="W90" t="str">
            <v>V</v>
          </cell>
        </row>
        <row r="91">
          <cell r="C91" t="str">
            <v>nvt</v>
          </cell>
          <cell r="F91" t="str">
            <v>niet van toepassing</v>
          </cell>
          <cell r="L91">
            <v>0</v>
          </cell>
          <cell r="Q91">
            <v>0</v>
          </cell>
          <cell r="R91">
            <v>0</v>
          </cell>
          <cell r="S91">
            <v>0</v>
          </cell>
          <cell r="T91">
            <v>860.57344999999987</v>
          </cell>
          <cell r="U91">
            <v>5.0407792497904065E-2</v>
          </cell>
        </row>
        <row r="92">
          <cell r="C92" t="str">
            <v>Vervallen</v>
          </cell>
          <cell r="F92" t="str">
            <v>Vervallen (mutatie)</v>
          </cell>
          <cell r="L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/>
          </cell>
        </row>
        <row r="93">
          <cell r="C93" t="str">
            <v>tijdlk nvt</v>
          </cell>
          <cell r="F93" t="str">
            <v>Tijdelijk vervallen</v>
          </cell>
          <cell r="L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/>
          </cell>
        </row>
        <row r="95">
          <cell r="G95" t="str">
            <v>Vloerafwerking</v>
          </cell>
          <cell r="H95" t="str">
            <v>Code</v>
          </cell>
        </row>
        <row r="96">
          <cell r="G96" t="str">
            <v>op afroep</v>
          </cell>
          <cell r="H96">
            <v>0</v>
          </cell>
        </row>
        <row r="97">
          <cell r="G97" t="str">
            <v>Gietvloer</v>
          </cell>
          <cell r="H97">
            <v>7</v>
          </cell>
        </row>
        <row r="98">
          <cell r="G98" t="str">
            <v>Tegel</v>
          </cell>
          <cell r="H98">
            <v>8</v>
          </cell>
        </row>
        <row r="99">
          <cell r="G99" t="str">
            <v>Glas</v>
          </cell>
          <cell r="H99">
            <v>8</v>
          </cell>
        </row>
        <row r="100">
          <cell r="G100" t="str">
            <v>Lino</v>
          </cell>
          <cell r="H100">
            <v>6</v>
          </cell>
        </row>
        <row r="101">
          <cell r="G101" t="str">
            <v>Hout-Gietvloer</v>
          </cell>
          <cell r="H101">
            <v>7</v>
          </cell>
        </row>
        <row r="102">
          <cell r="G102" t="str">
            <v>Beton</v>
          </cell>
          <cell r="H102">
            <v>8</v>
          </cell>
        </row>
        <row r="103">
          <cell r="G103" t="str">
            <v>beton-hout</v>
          </cell>
          <cell r="H103">
            <v>8</v>
          </cell>
        </row>
        <row r="104">
          <cell r="G104" t="str">
            <v>Tapijt</v>
          </cell>
          <cell r="H104">
            <v>9</v>
          </cell>
        </row>
        <row r="105">
          <cell r="G105" t="str">
            <v>Mat</v>
          </cell>
          <cell r="H105">
            <v>9</v>
          </cell>
        </row>
        <row r="106">
          <cell r="G106" t="str">
            <v>Bamboe</v>
          </cell>
          <cell r="H106">
            <v>7</v>
          </cell>
        </row>
        <row r="107">
          <cell r="G107" t="str">
            <v>geen</v>
          </cell>
          <cell r="H107">
            <v>7</v>
          </cell>
        </row>
        <row r="108">
          <cell r="G108" t="str">
            <v>Hout</v>
          </cell>
          <cell r="H108">
            <v>7</v>
          </cell>
        </row>
        <row r="109">
          <cell r="G109" t="str">
            <v>Hout-Lino</v>
          </cell>
          <cell r="H109">
            <v>6</v>
          </cell>
        </row>
        <row r="110">
          <cell r="G110" t="str">
            <v>hout-pvc</v>
          </cell>
          <cell r="H110">
            <v>6</v>
          </cell>
        </row>
        <row r="111">
          <cell r="G111" t="str">
            <v>Hout-Natuursteen</v>
          </cell>
          <cell r="H111">
            <v>8</v>
          </cell>
        </row>
        <row r="112">
          <cell r="G112" t="str">
            <v>inloop/coral</v>
          </cell>
          <cell r="H112">
            <v>9</v>
          </cell>
        </row>
        <row r="113">
          <cell r="G113" t="str">
            <v>Staal/coral</v>
          </cell>
          <cell r="H113">
            <v>9</v>
          </cell>
        </row>
        <row r="114">
          <cell r="G114" t="str">
            <v>Hout-Tapijt</v>
          </cell>
          <cell r="H114">
            <v>7</v>
          </cell>
        </row>
        <row r="115">
          <cell r="G115" t="str">
            <v>Lino-RVS</v>
          </cell>
          <cell r="H115">
            <v>6</v>
          </cell>
        </row>
        <row r="116">
          <cell r="G116" t="str">
            <v>Lino-beton</v>
          </cell>
          <cell r="H116">
            <v>8</v>
          </cell>
        </row>
        <row r="117">
          <cell r="G117" t="str">
            <v>Natuursteen</v>
          </cell>
          <cell r="H117">
            <v>8</v>
          </cell>
        </row>
        <row r="118">
          <cell r="G118" t="str">
            <v>Nvt</v>
          </cell>
          <cell r="H118">
            <v>5</v>
          </cell>
        </row>
        <row r="119">
          <cell r="G119" t="str">
            <v>PVC/Noppen</v>
          </cell>
          <cell r="H119">
            <v>7</v>
          </cell>
        </row>
        <row r="120">
          <cell r="G120" t="str">
            <v>RVS</v>
          </cell>
          <cell r="H120">
            <v>7</v>
          </cell>
        </row>
        <row r="121">
          <cell r="G121" t="str">
            <v>staal</v>
          </cell>
          <cell r="H121">
            <v>6</v>
          </cell>
        </row>
        <row r="122">
          <cell r="G122" t="str">
            <v>Sportvloer</v>
          </cell>
          <cell r="H122">
            <v>7</v>
          </cell>
        </row>
        <row r="123">
          <cell r="G123" t="str">
            <v>computervloer</v>
          </cell>
          <cell r="H123">
            <v>7</v>
          </cell>
        </row>
        <row r="124">
          <cell r="G124" t="str">
            <v>sure step</v>
          </cell>
          <cell r="H124">
            <v>8</v>
          </cell>
        </row>
        <row r="125">
          <cell r="G125" t="str">
            <v>Leisteen</v>
          </cell>
          <cell r="H125">
            <v>8</v>
          </cell>
        </row>
        <row r="126">
          <cell r="G126" t="str">
            <v>pvc</v>
          </cell>
          <cell r="H126">
            <v>7</v>
          </cell>
        </row>
        <row r="127">
          <cell r="G127" t="str">
            <v>tapijttegel</v>
          </cell>
          <cell r="H127">
            <v>9</v>
          </cell>
        </row>
        <row r="128">
          <cell r="G128" t="str">
            <v>Gietvloer-Beton</v>
          </cell>
          <cell r="H128">
            <v>7</v>
          </cell>
        </row>
        <row r="129">
          <cell r="G129" t="str">
            <v>Lino-RVS-Glas</v>
          </cell>
          <cell r="H129">
            <v>6</v>
          </cell>
        </row>
        <row r="130">
          <cell r="G130" t="str">
            <v>Steen</v>
          </cell>
          <cell r="H130">
            <v>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Aangrenzing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tabSelected="1" zoomScaleNormal="100" workbookViewId="0"/>
  </sheetViews>
  <sheetFormatPr baseColWidth="10" defaultColWidth="10.796875" defaultRowHeight="13"/>
  <cols>
    <col min="1" max="1" width="10.796875" style="1"/>
    <col min="2" max="2" width="14" style="1" customWidth="1"/>
    <col min="3" max="5" width="10.796875" style="1"/>
    <col min="6" max="6" width="18.796875" style="155" customWidth="1"/>
    <col min="7" max="7" width="23.19921875" customWidth="1"/>
    <col min="10" max="10" width="23.19921875" style="1" customWidth="1"/>
    <col min="11" max="11" width="15.19921875" style="1" customWidth="1"/>
    <col min="12" max="13" width="10.796875" style="1"/>
    <col min="14" max="14" width="13.796875" style="1" customWidth="1"/>
    <col min="15" max="15" width="32.796875" style="1" customWidth="1"/>
    <col min="16" max="16384" width="10.796875" style="1"/>
  </cols>
  <sheetData>
    <row r="3" spans="6:15">
      <c r="F3" s="298" t="s">
        <v>223</v>
      </c>
      <c r="J3" s="298" t="s">
        <v>224</v>
      </c>
      <c r="K3"/>
      <c r="N3" s="298" t="s">
        <v>225</v>
      </c>
      <c r="O3"/>
    </row>
    <row r="4" spans="6:15" ht="13" customHeight="1">
      <c r="J4" s="155"/>
      <c r="K4"/>
      <c r="N4" s="299"/>
      <c r="O4"/>
    </row>
    <row r="5" spans="6:15" ht="16" customHeight="1">
      <c r="F5" s="894" t="s">
        <v>253</v>
      </c>
      <c r="G5" s="895"/>
      <c r="J5" s="894" t="s">
        <v>254</v>
      </c>
      <c r="K5" s="895"/>
      <c r="N5" s="894" t="s">
        <v>255</v>
      </c>
      <c r="O5" s="895"/>
    </row>
    <row r="6" spans="6:15" ht="16" customHeight="1">
      <c r="F6" s="896"/>
      <c r="G6" s="897"/>
      <c r="J6" s="896"/>
      <c r="K6" s="897"/>
      <c r="N6" s="896"/>
      <c r="O6" s="897"/>
    </row>
    <row r="7" spans="6:15" ht="16" customHeight="1">
      <c r="F7" s="896"/>
      <c r="G7" s="897"/>
      <c r="J7" s="896"/>
      <c r="K7" s="897"/>
      <c r="N7" s="896"/>
      <c r="O7" s="897"/>
    </row>
    <row r="8" spans="6:15" ht="16" customHeight="1">
      <c r="F8" s="896"/>
      <c r="G8" s="897"/>
      <c r="J8" s="896"/>
      <c r="K8" s="897"/>
      <c r="N8" s="896"/>
      <c r="O8" s="897"/>
    </row>
    <row r="9" spans="6:15" ht="16" customHeight="1">
      <c r="F9" s="896"/>
      <c r="G9" s="897"/>
      <c r="J9" s="896"/>
      <c r="K9" s="897"/>
      <c r="N9" s="896"/>
      <c r="O9" s="897"/>
    </row>
    <row r="10" spans="6:15" ht="16" customHeight="1">
      <c r="F10" s="896"/>
      <c r="G10" s="897"/>
      <c r="J10" s="896"/>
      <c r="K10" s="897"/>
      <c r="N10" s="896"/>
      <c r="O10" s="897"/>
    </row>
    <row r="11" spans="6:15" ht="16" customHeight="1">
      <c r="F11" s="896"/>
      <c r="G11" s="897"/>
      <c r="J11" s="896"/>
      <c r="K11" s="897"/>
      <c r="N11" s="896"/>
      <c r="O11" s="897"/>
    </row>
    <row r="12" spans="6:15" ht="16" customHeight="1">
      <c r="F12" s="896"/>
      <c r="G12" s="897"/>
      <c r="J12" s="896"/>
      <c r="K12" s="897"/>
      <c r="N12" s="896"/>
      <c r="O12" s="897"/>
    </row>
    <row r="13" spans="6:15" ht="16" customHeight="1">
      <c r="F13" s="896"/>
      <c r="G13" s="897"/>
      <c r="J13" s="896"/>
      <c r="K13" s="897"/>
      <c r="N13" s="896"/>
      <c r="O13" s="897"/>
    </row>
    <row r="14" spans="6:15" ht="16" customHeight="1">
      <c r="F14" s="896"/>
      <c r="G14" s="897"/>
      <c r="J14" s="896"/>
      <c r="K14" s="897"/>
      <c r="N14" s="896"/>
      <c r="O14" s="897"/>
    </row>
    <row r="15" spans="6:15" ht="16" customHeight="1">
      <c r="F15" s="898"/>
      <c r="G15" s="899"/>
      <c r="J15" s="898"/>
      <c r="K15" s="899"/>
      <c r="N15" s="898"/>
      <c r="O15" s="899"/>
    </row>
    <row r="19" spans="2:15">
      <c r="B19" s="1" t="s">
        <v>256</v>
      </c>
      <c r="F19" s="298" t="s">
        <v>226</v>
      </c>
      <c r="J19" s="298" t="s">
        <v>229</v>
      </c>
      <c r="K19"/>
      <c r="N19" s="298" t="s">
        <v>227</v>
      </c>
    </row>
    <row r="20" spans="2:15">
      <c r="B20" s="1" t="s">
        <v>257</v>
      </c>
      <c r="F20" s="299"/>
      <c r="J20" s="299"/>
      <c r="K20"/>
    </row>
    <row r="21" spans="2:15" ht="16" customHeight="1">
      <c r="F21" s="894" t="s">
        <v>258</v>
      </c>
      <c r="G21" s="895"/>
      <c r="J21" s="894" t="s">
        <v>259</v>
      </c>
      <c r="K21" s="895"/>
      <c r="N21" s="894" t="s">
        <v>260</v>
      </c>
      <c r="O21" s="895"/>
    </row>
    <row r="22" spans="2:15" ht="16" customHeight="1">
      <c r="B22" s="1" t="s">
        <v>261</v>
      </c>
      <c r="F22" s="896"/>
      <c r="G22" s="897"/>
      <c r="J22" s="896"/>
      <c r="K22" s="897"/>
      <c r="N22" s="896"/>
      <c r="O22" s="897"/>
    </row>
    <row r="23" spans="2:15" ht="16" customHeight="1">
      <c r="B23" s="1" t="s">
        <v>262</v>
      </c>
      <c r="F23" s="896"/>
      <c r="G23" s="897"/>
      <c r="J23" s="896"/>
      <c r="K23" s="897"/>
      <c r="N23" s="896"/>
      <c r="O23" s="897"/>
    </row>
    <row r="24" spans="2:15" ht="16" customHeight="1">
      <c r="B24" s="1" t="s">
        <v>263</v>
      </c>
      <c r="F24" s="896"/>
      <c r="G24" s="897"/>
      <c r="J24" s="896"/>
      <c r="K24" s="897"/>
      <c r="N24" s="896"/>
      <c r="O24" s="897"/>
    </row>
    <row r="25" spans="2:15" ht="16" customHeight="1">
      <c r="F25" s="896"/>
      <c r="G25" s="897"/>
      <c r="J25" s="896"/>
      <c r="K25" s="897"/>
      <c r="N25" s="896"/>
      <c r="O25" s="897"/>
    </row>
    <row r="26" spans="2:15" ht="16" customHeight="1">
      <c r="B26" s="199" t="s">
        <v>243</v>
      </c>
      <c r="C26" s="122"/>
      <c r="F26" s="896"/>
      <c r="G26" s="897"/>
      <c r="J26" s="896"/>
      <c r="K26" s="897"/>
      <c r="N26" s="896"/>
      <c r="O26" s="897"/>
    </row>
    <row r="27" spans="2:15" ht="16" customHeight="1">
      <c r="B27" s="199"/>
      <c r="C27" s="157" t="s">
        <v>235</v>
      </c>
      <c r="F27" s="896"/>
      <c r="G27" s="897"/>
      <c r="J27" s="896"/>
      <c r="K27" s="897"/>
      <c r="N27" s="896"/>
      <c r="O27" s="897"/>
    </row>
    <row r="28" spans="2:15" ht="16" customHeight="1">
      <c r="F28" s="896"/>
      <c r="G28" s="897"/>
      <c r="J28" s="896"/>
      <c r="K28" s="897"/>
      <c r="N28" s="896"/>
      <c r="O28" s="897"/>
    </row>
    <row r="29" spans="2:15" ht="16" customHeight="1">
      <c r="F29" s="896"/>
      <c r="G29" s="897"/>
      <c r="J29" s="896"/>
      <c r="K29" s="897"/>
      <c r="N29" s="896"/>
      <c r="O29" s="897"/>
    </row>
    <row r="30" spans="2:15" ht="16" customHeight="1">
      <c r="F30" s="896"/>
      <c r="G30" s="897"/>
      <c r="J30" s="896"/>
      <c r="K30" s="897"/>
      <c r="N30" s="896"/>
      <c r="O30" s="897"/>
    </row>
    <row r="31" spans="2:15" ht="16" customHeight="1">
      <c r="F31" s="898"/>
      <c r="G31" s="899"/>
      <c r="J31" s="898"/>
      <c r="K31" s="899"/>
      <c r="N31" s="898"/>
      <c r="O31" s="899"/>
    </row>
    <row r="34" spans="2:16">
      <c r="F34" s="298" t="s">
        <v>228</v>
      </c>
      <c r="J34" s="298" t="s">
        <v>230</v>
      </c>
    </row>
    <row r="35" spans="2:16">
      <c r="M35" s="906"/>
      <c r="N35" s="906"/>
      <c r="O35" s="906"/>
      <c r="P35" s="906"/>
    </row>
    <row r="36" spans="2:16" ht="13" customHeight="1">
      <c r="F36" s="894" t="s">
        <v>264</v>
      </c>
      <c r="G36" s="895"/>
      <c r="J36" s="900" t="s">
        <v>265</v>
      </c>
      <c r="K36" s="901"/>
      <c r="M36" s="906"/>
      <c r="N36" s="906"/>
      <c r="O36" s="906"/>
      <c r="P36" s="906"/>
    </row>
    <row r="37" spans="2:16">
      <c r="F37" s="896"/>
      <c r="G37" s="897"/>
      <c r="J37" s="902"/>
      <c r="K37" s="903"/>
      <c r="M37" s="906"/>
      <c r="N37" s="906"/>
      <c r="O37" s="906"/>
      <c r="P37" s="906"/>
    </row>
    <row r="38" spans="2:16">
      <c r="F38" s="896"/>
      <c r="G38" s="897"/>
      <c r="J38" s="902"/>
      <c r="K38" s="903"/>
      <c r="M38" s="906"/>
      <c r="N38" s="906"/>
      <c r="O38" s="906"/>
      <c r="P38" s="906"/>
    </row>
    <row r="39" spans="2:16">
      <c r="B39" s="893" t="s">
        <v>341</v>
      </c>
      <c r="C39" s="893"/>
      <c r="D39" s="893"/>
      <c r="F39" s="896"/>
      <c r="G39" s="897"/>
      <c r="J39" s="902"/>
      <c r="K39" s="903"/>
      <c r="M39" s="906"/>
      <c r="N39" s="906"/>
      <c r="O39" s="906"/>
      <c r="P39" s="906"/>
    </row>
    <row r="40" spans="2:16">
      <c r="B40" s="893"/>
      <c r="C40" s="893"/>
      <c r="D40" s="893"/>
      <c r="F40" s="896"/>
      <c r="G40" s="897"/>
      <c r="J40" s="902"/>
      <c r="K40" s="903"/>
      <c r="M40" s="906"/>
      <c r="N40" s="906"/>
      <c r="O40" s="906"/>
      <c r="P40" s="906"/>
    </row>
    <row r="41" spans="2:16">
      <c r="B41" s="893"/>
      <c r="C41" s="893"/>
      <c r="D41" s="893"/>
      <c r="F41" s="896"/>
      <c r="G41" s="897"/>
      <c r="J41" s="902"/>
      <c r="K41" s="903"/>
      <c r="M41" s="906"/>
      <c r="N41" s="906"/>
      <c r="O41" s="906"/>
      <c r="P41" s="906"/>
    </row>
    <row r="42" spans="2:16">
      <c r="B42" s="893"/>
      <c r="C42" s="893"/>
      <c r="D42" s="893"/>
      <c r="F42" s="896"/>
      <c r="G42" s="897"/>
      <c r="J42" s="902"/>
      <c r="K42" s="903"/>
      <c r="M42" s="906"/>
      <c r="N42" s="906"/>
      <c r="O42" s="906"/>
      <c r="P42" s="906"/>
    </row>
    <row r="43" spans="2:16">
      <c r="B43" s="893"/>
      <c r="C43" s="893"/>
      <c r="D43" s="893"/>
      <c r="F43" s="896"/>
      <c r="G43" s="897"/>
      <c r="J43" s="902"/>
      <c r="K43" s="903"/>
    </row>
    <row r="44" spans="2:16">
      <c r="B44" s="893"/>
      <c r="C44" s="893"/>
      <c r="D44" s="893"/>
      <c r="F44" s="896"/>
      <c r="G44" s="897"/>
      <c r="J44" s="902"/>
      <c r="K44" s="903"/>
    </row>
    <row r="45" spans="2:16">
      <c r="B45" s="893"/>
      <c r="C45" s="893"/>
      <c r="D45" s="893"/>
      <c r="F45" s="896"/>
      <c r="G45" s="897"/>
      <c r="J45" s="902"/>
      <c r="K45" s="903"/>
    </row>
    <row r="46" spans="2:16">
      <c r="B46" s="893"/>
      <c r="C46" s="893"/>
      <c r="D46" s="893"/>
      <c r="F46" s="898"/>
      <c r="G46" s="899"/>
      <c r="J46" s="904"/>
      <c r="K46" s="905"/>
    </row>
    <row r="47" spans="2:16">
      <c r="B47" s="893"/>
      <c r="C47" s="893"/>
      <c r="D47" s="893"/>
    </row>
    <row r="48" spans="2:16">
      <c r="B48" s="893"/>
      <c r="C48" s="893"/>
      <c r="D48" s="893"/>
    </row>
    <row r="49" spans="2:13">
      <c r="B49" s="893"/>
      <c r="C49" s="893"/>
      <c r="D49" s="893"/>
    </row>
    <row r="50" spans="2:13" ht="16">
      <c r="B50" s="893"/>
      <c r="C50" s="893"/>
      <c r="D50" s="893"/>
      <c r="F50" s="298" t="s">
        <v>231</v>
      </c>
      <c r="J50" s="298" t="s">
        <v>266</v>
      </c>
      <c r="M50" s="300" t="s">
        <v>48</v>
      </c>
    </row>
    <row r="51" spans="2:13" ht="16">
      <c r="B51" s="893"/>
      <c r="C51" s="893"/>
      <c r="D51" s="893"/>
      <c r="F51" s="299"/>
      <c r="M51" s="301" t="s">
        <v>374</v>
      </c>
    </row>
    <row r="52" spans="2:13" ht="16">
      <c r="F52" s="894" t="s">
        <v>267</v>
      </c>
      <c r="G52" s="895"/>
      <c r="J52" s="894" t="s">
        <v>268</v>
      </c>
      <c r="K52" s="895"/>
      <c r="M52" s="301"/>
    </row>
    <row r="53" spans="2:13" ht="16">
      <c r="F53" s="896"/>
      <c r="G53" s="897"/>
      <c r="J53" s="896"/>
      <c r="K53" s="897"/>
      <c r="M53" s="301" t="s">
        <v>232</v>
      </c>
    </row>
    <row r="54" spans="2:13" ht="16">
      <c r="F54" s="896"/>
      <c r="G54" s="897"/>
      <c r="J54" s="896"/>
      <c r="K54" s="897"/>
      <c r="M54" s="301" t="s">
        <v>233</v>
      </c>
    </row>
    <row r="55" spans="2:13" ht="16">
      <c r="F55" s="896"/>
      <c r="G55" s="897"/>
      <c r="J55" s="896"/>
      <c r="K55" s="897"/>
      <c r="M55" s="301"/>
    </row>
    <row r="56" spans="2:13" ht="16">
      <c r="F56" s="896"/>
      <c r="G56" s="897"/>
      <c r="J56" s="896"/>
      <c r="K56" s="897"/>
      <c r="M56" s="301" t="s">
        <v>269</v>
      </c>
    </row>
    <row r="57" spans="2:13">
      <c r="F57" s="896"/>
      <c r="G57" s="897"/>
      <c r="J57" s="896"/>
      <c r="K57" s="897"/>
    </row>
    <row r="58" spans="2:13" ht="16">
      <c r="F58" s="896"/>
      <c r="G58" s="897"/>
      <c r="J58" s="896"/>
      <c r="K58" s="897"/>
      <c r="M58" s="301" t="s">
        <v>270</v>
      </c>
    </row>
    <row r="59" spans="2:13">
      <c r="F59" s="896"/>
      <c r="G59" s="897"/>
      <c r="J59" s="896"/>
      <c r="K59" s="897"/>
    </row>
    <row r="60" spans="2:13">
      <c r="F60" s="896"/>
      <c r="G60" s="897"/>
      <c r="J60" s="896"/>
      <c r="K60" s="897"/>
      <c r="M60" s="299"/>
    </row>
    <row r="61" spans="2:13">
      <c r="F61" s="896"/>
      <c r="G61" s="897"/>
      <c r="J61" s="896"/>
      <c r="K61" s="897"/>
    </row>
    <row r="62" spans="2:13">
      <c r="F62" s="898"/>
      <c r="G62" s="899"/>
      <c r="J62" s="898"/>
      <c r="K62" s="899"/>
    </row>
    <row r="63" spans="2:13" ht="13" customHeight="1">
      <c r="F63" s="299"/>
    </row>
    <row r="64" spans="2:13">
      <c r="F64" s="299"/>
    </row>
    <row r="65" spans="6:6">
      <c r="F65" s="299"/>
    </row>
    <row r="66" spans="6:6">
      <c r="F66" s="299"/>
    </row>
    <row r="67" spans="6:6">
      <c r="F67" s="299"/>
    </row>
    <row r="68" spans="6:6">
      <c r="F68" s="299"/>
    </row>
    <row r="77" spans="6:6">
      <c r="F77" s="299"/>
    </row>
    <row r="78" spans="6:6">
      <c r="F78" s="299"/>
    </row>
    <row r="79" spans="6:6">
      <c r="F79" s="299"/>
    </row>
    <row r="80" spans="6:6">
      <c r="F80" s="299"/>
    </row>
    <row r="81" spans="6:6">
      <c r="F81" s="299"/>
    </row>
    <row r="82" spans="6:6">
      <c r="F82" s="299"/>
    </row>
    <row r="83" spans="6:6">
      <c r="F83" s="299"/>
    </row>
    <row r="84" spans="6:6">
      <c r="F84" s="299"/>
    </row>
    <row r="85" spans="6:6">
      <c r="F85" s="299"/>
    </row>
    <row r="86" spans="6:6">
      <c r="F86" s="299"/>
    </row>
    <row r="87" spans="6:6">
      <c r="F87" s="299"/>
    </row>
    <row r="88" spans="6:6">
      <c r="F88" s="299"/>
    </row>
    <row r="89" spans="6:6">
      <c r="F89" s="299"/>
    </row>
    <row r="90" spans="6:6">
      <c r="F90" s="299"/>
    </row>
    <row r="91" spans="6:6">
      <c r="F91" s="299"/>
    </row>
    <row r="92" spans="6:6">
      <c r="F92" s="299"/>
    </row>
    <row r="93" spans="6:6">
      <c r="F93" s="299"/>
    </row>
    <row r="94" spans="6:6">
      <c r="F94" s="299"/>
    </row>
    <row r="95" spans="6:6">
      <c r="F95" s="299"/>
    </row>
    <row r="96" spans="6:6">
      <c r="F96" s="299"/>
    </row>
    <row r="97" spans="6:6" ht="13" customHeight="1">
      <c r="F97" s="299"/>
    </row>
    <row r="98" spans="6:6">
      <c r="F98" s="299"/>
    </row>
    <row r="99" spans="6:6">
      <c r="F99" s="299"/>
    </row>
    <row r="100" spans="6:6">
      <c r="F100" s="299"/>
    </row>
    <row r="101" spans="6:6">
      <c r="F101" s="299"/>
    </row>
    <row r="102" spans="6:6">
      <c r="F102" s="299"/>
    </row>
    <row r="103" spans="6:6">
      <c r="F103" s="299"/>
    </row>
    <row r="104" spans="6:6">
      <c r="F104" s="299"/>
    </row>
    <row r="105" spans="6:6">
      <c r="F105" s="299"/>
    </row>
    <row r="106" spans="6:6">
      <c r="F106" s="299"/>
    </row>
    <row r="107" spans="6:6">
      <c r="F107" s="299"/>
    </row>
    <row r="108" spans="6:6">
      <c r="F108" s="299"/>
    </row>
    <row r="109" spans="6:6">
      <c r="F109" s="299"/>
    </row>
    <row r="110" spans="6:6">
      <c r="F110" s="299"/>
    </row>
    <row r="111" spans="6:6">
      <c r="F111" s="299"/>
    </row>
    <row r="112" spans="6:6">
      <c r="F112" s="299"/>
    </row>
    <row r="113" spans="6:6">
      <c r="F113" s="299"/>
    </row>
    <row r="114" spans="6:6">
      <c r="F114" s="299"/>
    </row>
    <row r="115" spans="6:6">
      <c r="F115" s="299"/>
    </row>
    <row r="116" spans="6:6">
      <c r="F116" s="299"/>
    </row>
    <row r="117" spans="6:6">
      <c r="F117" s="299"/>
    </row>
    <row r="118" spans="6:6">
      <c r="F118" s="299"/>
    </row>
    <row r="119" spans="6:6">
      <c r="F119" s="299"/>
    </row>
    <row r="120" spans="6:6">
      <c r="F120" s="299"/>
    </row>
    <row r="121" spans="6:6">
      <c r="F121" s="299"/>
    </row>
    <row r="122" spans="6:6">
      <c r="F122" s="299"/>
    </row>
    <row r="123" spans="6:6">
      <c r="F123" s="299"/>
    </row>
    <row r="152" spans="6:6">
      <c r="F152" s="299"/>
    </row>
    <row r="153" spans="6:6">
      <c r="F153" s="299"/>
    </row>
    <row r="154" spans="6:6">
      <c r="F154" s="299"/>
    </row>
    <row r="155" spans="6:6">
      <c r="F155" s="299"/>
    </row>
    <row r="156" spans="6:6">
      <c r="F156" s="299"/>
    </row>
    <row r="157" spans="6:6">
      <c r="F157" s="299"/>
    </row>
    <row r="158" spans="6:6">
      <c r="F158" s="299"/>
    </row>
    <row r="159" spans="6:6">
      <c r="F159" s="299"/>
    </row>
  </sheetData>
  <mergeCells count="12">
    <mergeCell ref="N5:O15"/>
    <mergeCell ref="F21:G31"/>
    <mergeCell ref="J21:K31"/>
    <mergeCell ref="N21:O31"/>
    <mergeCell ref="F36:G46"/>
    <mergeCell ref="J36:K46"/>
    <mergeCell ref="M35:P42"/>
    <mergeCell ref="B39:D51"/>
    <mergeCell ref="F52:G62"/>
    <mergeCell ref="J52:K62"/>
    <mergeCell ref="F5:G15"/>
    <mergeCell ref="J5:K15"/>
  </mergeCells>
  <conditionalFormatting sqref="B27">
    <cfRule type="cellIs" dxfId="587" priority="2" operator="greaterThan">
      <formula>0</formula>
    </cfRule>
  </conditionalFormatting>
  <conditionalFormatting sqref="B26">
    <cfRule type="cellIs" dxfId="586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26" xr:uid="{00000000-0002-0000-0000-000000000000}"/>
  </dataValidations>
  <pageMargins left="0.75" right="0.75" top="1" bottom="1" header="0.5" footer="0.5"/>
  <pageSetup paperSize="9" scale="94" orientation="portrait" horizontalDpi="4294967292" verticalDpi="4294967292"/>
  <rowBreaks count="2" manualBreakCount="2">
    <brk id="45" min="5" max="7" man="1"/>
    <brk id="93" min="5" max="7" man="1"/>
  </rowBreaks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C157"/>
  <sheetViews>
    <sheetView showGridLines="0" showRowColHeaders="0" showZeros="0" showOutlineSymbols="0" zoomScaleNormal="100" zoomScaleSheetLayoutView="75" workbookViewId="0">
      <pane ySplit="12" topLeftCell="A13" activePane="bottomLeft" state="frozenSplit"/>
      <selection pane="bottomLeft"/>
    </sheetView>
  </sheetViews>
  <sheetFormatPr baseColWidth="10" defaultColWidth="0" defaultRowHeight="0" customHeight="1" zeroHeight="1"/>
  <cols>
    <col min="1" max="1" width="2.59765625" style="701" customWidth="1"/>
    <col min="2" max="2" width="48.3984375" style="701" customWidth="1"/>
    <col min="3" max="3" width="13.59765625" style="701" customWidth="1"/>
    <col min="4" max="4" width="14" style="701" customWidth="1"/>
    <col min="5" max="5" width="3.59765625" style="701" customWidth="1"/>
    <col min="6" max="6" width="13.59765625" style="701" customWidth="1"/>
    <col min="7" max="7" width="14.3984375" style="701" customWidth="1"/>
    <col min="8" max="8" width="48.59765625" style="701" customWidth="1"/>
    <col min="9" max="9" width="4.59765625" style="701" customWidth="1"/>
    <col min="10" max="10" width="13.3984375" style="701" customWidth="1"/>
    <col min="11" max="15" width="14.796875" style="701" customWidth="1"/>
    <col min="16" max="16" width="0.59765625" style="701" customWidth="1"/>
    <col min="17" max="21" width="14.59765625" style="701" customWidth="1"/>
    <col min="22" max="22" width="0.59765625" style="701" customWidth="1"/>
    <col min="23" max="26" width="16" style="701" customWidth="1"/>
    <col min="27" max="27" width="31.3984375" style="701" hidden="1" customWidth="1"/>
    <col min="28" max="29" width="0" style="701" hidden="1" customWidth="1"/>
    <col min="30" max="16384" width="10.59765625" style="701" hidden="1"/>
  </cols>
  <sheetData>
    <row r="1" spans="2:29" ht="7.25" customHeight="1">
      <c r="H1" s="702"/>
      <c r="I1" s="703"/>
    </row>
    <row r="2" spans="2:29" ht="20" customHeight="1">
      <c r="B2" s="704" t="s">
        <v>29</v>
      </c>
      <c r="C2" s="77" t="s">
        <v>318</v>
      </c>
      <c r="D2" s="203"/>
      <c r="E2" s="705"/>
      <c r="F2" s="705"/>
      <c r="G2" s="705"/>
      <c r="H2" s="705"/>
      <c r="I2" s="703"/>
      <c r="K2" s="706"/>
      <c r="L2" s="707"/>
      <c r="M2" s="707"/>
      <c r="N2" s="707"/>
      <c r="O2" s="707"/>
      <c r="P2" s="708"/>
    </row>
    <row r="3" spans="2:29" ht="16">
      <c r="B3" s="709" t="s">
        <v>101</v>
      </c>
      <c r="C3" s="224" t="str">
        <f>Voorblad!$E$16</f>
        <v>Hoogheemraadschap Hollands Noorderkwartier Perceel 2</v>
      </c>
      <c r="D3" s="204"/>
      <c r="E3" s="696"/>
      <c r="F3" s="705"/>
      <c r="G3" s="705"/>
      <c r="H3" s="705"/>
      <c r="I3" s="703"/>
      <c r="K3" s="706"/>
      <c r="L3" s="707"/>
      <c r="M3" s="707"/>
      <c r="N3" s="707"/>
      <c r="O3" s="707"/>
      <c r="P3" s="708"/>
    </row>
    <row r="4" spans="2:29" ht="16">
      <c r="B4" s="709" t="s">
        <v>36</v>
      </c>
      <c r="C4" s="224" t="str">
        <f>'1.0-Contractblad'!$D$4</f>
        <v>Heerhugowaard</v>
      </c>
      <c r="D4" s="77"/>
      <c r="E4" s="710"/>
      <c r="F4" s="711"/>
      <c r="G4" s="712"/>
      <c r="H4" s="71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</row>
    <row r="5" spans="2:29" ht="20" customHeight="1">
      <c r="B5" s="709" t="s">
        <v>137</v>
      </c>
      <c r="C5" s="240" t="str">
        <f>Voorblad!$E$24</f>
        <v>1112-10-2019</v>
      </c>
      <c r="D5" s="205"/>
      <c r="E5" s="710"/>
      <c r="F5" s="711"/>
      <c r="G5" s="712"/>
      <c r="H5" s="713"/>
      <c r="I5" s="703"/>
      <c r="J5" s="703"/>
      <c r="K5" s="703"/>
      <c r="L5" s="703"/>
      <c r="M5" s="703"/>
      <c r="N5" s="703"/>
      <c r="O5" s="703"/>
      <c r="P5" s="703"/>
      <c r="Q5" s="703"/>
      <c r="R5" s="703"/>
      <c r="S5" s="703"/>
      <c r="T5" s="703"/>
      <c r="U5" s="703"/>
      <c r="V5" s="703"/>
      <c r="W5" s="703"/>
      <c r="X5" s="703"/>
      <c r="Y5" s="703"/>
    </row>
    <row r="6" spans="2:29" ht="20" customHeight="1">
      <c r="B6" s="709" t="s">
        <v>222</v>
      </c>
      <c r="C6" s="536" t="str">
        <f>Voorblad!$E$26</f>
        <v>V1 12-mrt-2020</v>
      </c>
      <c r="D6" s="205"/>
      <c r="E6" s="715"/>
      <c r="F6" s="711"/>
      <c r="G6" s="712"/>
      <c r="H6" s="71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3"/>
      <c r="W6" s="703"/>
      <c r="X6" s="703"/>
      <c r="Y6" s="703"/>
    </row>
    <row r="7" spans="2:29" ht="20" customHeight="1">
      <c r="B7" s="709" t="s">
        <v>99</v>
      </c>
      <c r="C7" s="224" t="str">
        <f>Voorblad!$E$19</f>
        <v>[voer naam in]</v>
      </c>
      <c r="D7" s="85"/>
      <c r="E7" s="715"/>
      <c r="F7" s="711"/>
      <c r="G7" s="712"/>
      <c r="H7" s="713"/>
      <c r="I7" s="703"/>
      <c r="J7" s="703"/>
      <c r="K7" s="703"/>
      <c r="L7" s="703"/>
      <c r="M7" s="703"/>
      <c r="N7" s="703"/>
      <c r="O7" s="703"/>
      <c r="P7" s="703"/>
      <c r="Q7" s="703"/>
      <c r="R7" s="703"/>
      <c r="S7" s="703"/>
      <c r="T7" s="703"/>
      <c r="U7" s="703"/>
      <c r="V7" s="703"/>
      <c r="W7" s="703"/>
      <c r="X7" s="703"/>
      <c r="Y7" s="703"/>
    </row>
    <row r="8" spans="2:29" ht="20" customHeight="1">
      <c r="B8" s="709" t="s">
        <v>6</v>
      </c>
      <c r="C8" s="913">
        <f>Voorblad!$E$22</f>
        <v>44013</v>
      </c>
      <c r="D8" s="913"/>
      <c r="E8" s="715"/>
      <c r="F8" s="711"/>
      <c r="G8" s="712"/>
      <c r="H8" s="713"/>
      <c r="I8" s="703"/>
      <c r="J8" s="703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</row>
    <row r="9" spans="2:29" ht="20" customHeight="1">
      <c r="B9" s="704"/>
      <c r="C9" s="911"/>
      <c r="D9" s="911"/>
      <c r="E9" s="715"/>
      <c r="F9" s="711"/>
      <c r="G9" s="712"/>
      <c r="H9" s="713"/>
      <c r="I9" s="703"/>
      <c r="J9" s="703"/>
      <c r="K9" s="703"/>
      <c r="L9" s="703"/>
      <c r="M9" s="703"/>
      <c r="N9" s="703"/>
      <c r="O9" s="703"/>
      <c r="P9" s="703"/>
      <c r="Q9" s="703"/>
      <c r="R9" s="703"/>
      <c r="S9" s="703"/>
      <c r="T9" s="703"/>
      <c r="U9" s="703"/>
      <c r="V9" s="703"/>
      <c r="W9" s="703"/>
      <c r="X9" s="703"/>
      <c r="Y9" s="703"/>
    </row>
    <row r="10" spans="2:29" ht="20" customHeight="1">
      <c r="B10" s="704"/>
      <c r="C10" s="717"/>
      <c r="D10" s="715"/>
      <c r="E10" s="715"/>
      <c r="F10" s="711"/>
      <c r="G10" s="712"/>
      <c r="H10" s="713"/>
      <c r="I10" s="703"/>
      <c r="J10" s="703"/>
      <c r="K10" s="703"/>
      <c r="L10" s="703"/>
      <c r="M10" s="703"/>
      <c r="N10" s="703"/>
      <c r="O10" s="703"/>
      <c r="P10" s="703"/>
      <c r="Q10" s="703"/>
      <c r="R10" s="703"/>
      <c r="S10" s="703"/>
      <c r="T10" s="703"/>
      <c r="U10" s="703"/>
      <c r="V10" s="703"/>
      <c r="W10" s="703"/>
      <c r="X10" s="703"/>
      <c r="Y10" s="703"/>
    </row>
    <row r="11" spans="2:29" ht="16">
      <c r="B11" s="704"/>
      <c r="C11" s="719"/>
      <c r="D11" s="711"/>
      <c r="E11" s="711"/>
      <c r="G11" s="716" t="s">
        <v>243</v>
      </c>
      <c r="H11" s="122"/>
      <c r="J11" s="121"/>
      <c r="K11" s="121"/>
      <c r="L11" s="121"/>
      <c r="M11" s="121"/>
      <c r="N11" s="121"/>
      <c r="O11" s="121"/>
      <c r="P11" s="714"/>
      <c r="Q11" s="121"/>
      <c r="R11" s="121"/>
      <c r="S11" s="121"/>
      <c r="T11" s="121"/>
      <c r="U11" s="121"/>
      <c r="V11" s="122"/>
      <c r="W11" s="121"/>
      <c r="X11" s="121"/>
      <c r="Y11" s="121"/>
    </row>
    <row r="12" spans="2:29" ht="31" customHeight="1">
      <c r="B12" s="704"/>
      <c r="C12" s="720"/>
      <c r="D12" s="711"/>
      <c r="E12" s="711"/>
      <c r="G12" s="716">
        <v>0</v>
      </c>
      <c r="H12" s="157" t="s">
        <v>235</v>
      </c>
      <c r="J12" s="121"/>
      <c r="K12" s="912" t="s">
        <v>1106</v>
      </c>
      <c r="L12" s="912"/>
      <c r="M12" s="912"/>
      <c r="N12" s="912"/>
      <c r="O12" s="912"/>
      <c r="P12" s="714"/>
      <c r="Q12" s="912" t="s">
        <v>1107</v>
      </c>
      <c r="R12" s="912"/>
      <c r="S12" s="912"/>
      <c r="T12" s="912"/>
      <c r="U12" s="912"/>
      <c r="V12" s="122"/>
      <c r="W12" s="912" t="s">
        <v>1108</v>
      </c>
      <c r="X12" s="912"/>
      <c r="Y12" s="912"/>
    </row>
    <row r="13" spans="2:29" ht="16">
      <c r="B13" s="704"/>
      <c r="C13" s="721"/>
      <c r="D13" s="711"/>
      <c r="E13" s="711"/>
      <c r="F13" s="711"/>
      <c r="G13" s="712"/>
      <c r="H13" s="121"/>
      <c r="I13" s="121"/>
      <c r="J13" s="121"/>
      <c r="K13" s="121"/>
      <c r="L13" s="121"/>
      <c r="M13" s="121"/>
      <c r="N13" s="121"/>
      <c r="O13" s="121"/>
      <c r="P13" s="714"/>
      <c r="Q13" s="121"/>
      <c r="R13" s="121"/>
      <c r="S13" s="121"/>
      <c r="T13" s="121"/>
      <c r="U13" s="122"/>
      <c r="V13" s="122"/>
      <c r="W13" s="122"/>
      <c r="X13" s="122"/>
      <c r="Y13" s="121"/>
    </row>
    <row r="14" spans="2:29" ht="49.25" customHeight="1">
      <c r="E14" s="722"/>
      <c r="F14" s="722"/>
      <c r="G14" s="712"/>
      <c r="H14" s="152"/>
      <c r="I14" s="105"/>
      <c r="J14" s="707"/>
      <c r="K14" s="201" t="s">
        <v>242</v>
      </c>
      <c r="L14" s="201" t="s">
        <v>242</v>
      </c>
      <c r="M14" s="201" t="s">
        <v>242</v>
      </c>
      <c r="N14" s="201" t="s">
        <v>242</v>
      </c>
      <c r="O14" s="201" t="s">
        <v>242</v>
      </c>
      <c r="P14" s="714"/>
      <c r="Q14" s="201" t="s">
        <v>242</v>
      </c>
      <c r="R14" s="201" t="s">
        <v>242</v>
      </c>
      <c r="S14" s="201" t="s">
        <v>242</v>
      </c>
      <c r="T14" s="201" t="s">
        <v>242</v>
      </c>
      <c r="U14" s="201" t="s">
        <v>242</v>
      </c>
      <c r="V14" s="122"/>
      <c r="W14" s="201" t="s">
        <v>242</v>
      </c>
      <c r="X14" s="201" t="s">
        <v>242</v>
      </c>
      <c r="Y14" s="201" t="s">
        <v>242</v>
      </c>
    </row>
    <row r="15" spans="2:29" ht="8" customHeight="1">
      <c r="E15" s="722"/>
      <c r="F15" s="722"/>
      <c r="G15" s="712"/>
      <c r="H15" s="152"/>
      <c r="I15" s="105"/>
      <c r="J15" s="105"/>
      <c r="K15" s="105"/>
      <c r="L15" s="105"/>
      <c r="M15" s="105"/>
      <c r="N15" s="105"/>
      <c r="O15" s="105"/>
      <c r="P15" s="714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2:29" s="707" customFormat="1" ht="44" customHeight="1">
      <c r="B16" s="701"/>
      <c r="E16" s="723"/>
      <c r="F16" s="723"/>
      <c r="G16" s="724"/>
      <c r="H16" s="725"/>
      <c r="I16" s="695"/>
      <c r="J16" s="725"/>
      <c r="K16" s="726" t="s">
        <v>282</v>
      </c>
      <c r="L16" s="726" t="s">
        <v>282</v>
      </c>
      <c r="M16" s="726" t="s">
        <v>282</v>
      </c>
      <c r="N16" s="726" t="s">
        <v>282</v>
      </c>
      <c r="O16" s="726" t="s">
        <v>282</v>
      </c>
      <c r="P16" s="714"/>
      <c r="Q16" s="726" t="s">
        <v>282</v>
      </c>
      <c r="R16" s="726" t="s">
        <v>282</v>
      </c>
      <c r="S16" s="726" t="s">
        <v>282</v>
      </c>
      <c r="T16" s="726" t="s">
        <v>282</v>
      </c>
      <c r="U16" s="726" t="s">
        <v>282</v>
      </c>
      <c r="V16" s="695"/>
      <c r="W16" s="726" t="s">
        <v>282</v>
      </c>
      <c r="X16" s="726" t="s">
        <v>282</v>
      </c>
      <c r="Y16" s="726" t="s">
        <v>282</v>
      </c>
      <c r="Z16" s="695"/>
      <c r="AB16" s="727"/>
      <c r="AC16" s="727"/>
    </row>
    <row r="17" spans="2:29" ht="7.25" customHeight="1">
      <c r="C17" s="728"/>
      <c r="D17" s="728"/>
      <c r="E17" s="728"/>
      <c r="F17" s="728"/>
      <c r="G17" s="728"/>
      <c r="H17" s="729"/>
      <c r="I17" s="730"/>
      <c r="J17" s="731" t="s">
        <v>1009</v>
      </c>
      <c r="K17" s="732" t="str">
        <f>IF(K18=0,"Selecteer cel",CONCATENATE(K14," Dienstjaar ",K16))</f>
        <v>Selecteer cel</v>
      </c>
      <c r="L17" s="732" t="str">
        <f>IF(L18=0,"Selecteer cel",CONCATENATE(L14," Dienstjaar ",L16))</f>
        <v>Selecteer cel</v>
      </c>
      <c r="M17" s="732" t="str">
        <f>IF(M18=0,"Selecteer cel",CONCATENATE(M14," Dienstjaar ",M16))</f>
        <v>Selecteer cel</v>
      </c>
      <c r="N17" s="732" t="str">
        <f>IF(N18=0,"Selecteer cel",CONCATENATE(N14,"tz"," Dienstjaar ",N16))</f>
        <v>Selecteer cel</v>
      </c>
      <c r="O17" s="732" t="str">
        <f>IF(O18=0,"Selecteer cel",CONCATENATE(O14," Dienstjaar ",O16))</f>
        <v>Selecteer cel</v>
      </c>
      <c r="P17" s="731" t="s">
        <v>1008</v>
      </c>
      <c r="Q17" s="732" t="str">
        <f>IF(Q18=0,"Selecteer cel",CONCATENATE(Q14," Dienstjaar ",Q16))</f>
        <v>Selecteer cel</v>
      </c>
      <c r="R17" s="732" t="str">
        <f>IF(R18=0,"Selecteer cel",CONCATENATE(R14," Dienstjaar ",R16))</f>
        <v>Selecteer cel</v>
      </c>
      <c r="S17" s="732" t="str">
        <f>IF(S18=0,"Selecteer cel",CONCATENATE(S14," Dienstjaar ",S16))</f>
        <v>Selecteer cel</v>
      </c>
      <c r="T17" s="732" t="str">
        <f>IF(T18=0,"Selecteer cel",CONCATENATE(T14," Dienstjaar ",T16))</f>
        <v>Selecteer cel</v>
      </c>
      <c r="U17" s="732" t="str">
        <f>IF(U18=0,"Selecteer cel",CONCATENATE(U14," Dienstjaar ",U16))</f>
        <v>Selecteer cel</v>
      </c>
      <c r="V17" s="732" t="s">
        <v>1110</v>
      </c>
      <c r="W17" s="732" t="str">
        <f>IF(W18=0,"Selecteer cel",CONCATENATE(W14," Dienstjaar ",W16))</f>
        <v>Selecteer cel</v>
      </c>
      <c r="X17" s="732" t="str">
        <f>IF(X18=0,"Selecteer cel",CONCATENATE(X14," Dienstjaar ",X16))</f>
        <v>Selecteer cel</v>
      </c>
      <c r="Y17" s="732" t="str">
        <f>IF(Y18=0,"Selecteer cel",CONCATENATE(Y14," Dienstjaar ",Y16))</f>
        <v>Selecteer cel</v>
      </c>
      <c r="AB17" s="733"/>
      <c r="AC17" s="733"/>
    </row>
    <row r="18" spans="2:29" ht="19.25" customHeight="1" thickBot="1">
      <c r="C18" s="696"/>
      <c r="E18" s="734"/>
      <c r="F18" s="734"/>
      <c r="G18" s="712"/>
      <c r="H18" s="695"/>
      <c r="I18" s="735" t="s">
        <v>1244</v>
      </c>
      <c r="J18" s="105"/>
      <c r="K18" s="322"/>
      <c r="L18" s="322"/>
      <c r="M18" s="322"/>
      <c r="N18" s="322">
        <v>0</v>
      </c>
      <c r="O18" s="322">
        <v>0</v>
      </c>
      <c r="P18" s="714"/>
      <c r="Q18" s="322"/>
      <c r="R18" s="322">
        <v>0</v>
      </c>
      <c r="S18" s="322">
        <v>0</v>
      </c>
      <c r="T18" s="322">
        <v>0</v>
      </c>
      <c r="U18" s="322">
        <v>0</v>
      </c>
      <c r="V18" s="695"/>
      <c r="W18" s="322"/>
      <c r="X18" s="322"/>
      <c r="Y18" s="322">
        <v>0</v>
      </c>
      <c r="AB18" s="733"/>
      <c r="AC18" s="733"/>
    </row>
    <row r="19" spans="2:29" ht="15" thickTop="1">
      <c r="C19" s="696"/>
      <c r="E19" s="734"/>
      <c r="F19" s="734"/>
      <c r="G19" s="712"/>
      <c r="H19" s="695"/>
      <c r="I19" s="736"/>
      <c r="J19" s="105"/>
      <c r="K19" s="105"/>
      <c r="L19" s="105"/>
      <c r="M19" s="105"/>
      <c r="N19" s="105"/>
      <c r="O19" s="105"/>
      <c r="P19" s="714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B19" s="733"/>
      <c r="AC19" s="733"/>
    </row>
    <row r="20" spans="2:29" ht="14" hidden="1">
      <c r="C20" s="696"/>
      <c r="E20" s="734"/>
      <c r="F20" s="734"/>
      <c r="G20" s="712"/>
      <c r="H20" s="695"/>
      <c r="I20" s="736"/>
      <c r="J20" s="105"/>
      <c r="K20" s="716"/>
      <c r="L20" s="716">
        <v>0</v>
      </c>
      <c r="M20" s="716">
        <v>0</v>
      </c>
      <c r="N20" s="716"/>
      <c r="O20" s="716"/>
      <c r="P20" s="714"/>
      <c r="Q20" s="716"/>
      <c r="R20" s="716"/>
      <c r="S20" s="716"/>
      <c r="T20" s="716"/>
      <c r="U20" s="716"/>
      <c r="V20" s="122"/>
      <c r="W20" s="716"/>
      <c r="X20" s="716"/>
      <c r="Y20" s="716"/>
    </row>
    <row r="21" spans="2:29" ht="16">
      <c r="B21" s="737" t="s">
        <v>115</v>
      </c>
      <c r="D21" s="738" t="s">
        <v>1109</v>
      </c>
      <c r="E21" s="734"/>
      <c r="F21" s="712"/>
      <c r="G21" s="713"/>
      <c r="H21" s="695"/>
      <c r="I21" s="736"/>
      <c r="J21" s="105"/>
      <c r="K21" s="105"/>
      <c r="L21" s="105"/>
      <c r="M21" s="105"/>
      <c r="N21" s="105"/>
      <c r="O21" s="105"/>
      <c r="P21" s="714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2:29" ht="14" hidden="1">
      <c r="D22" s="739">
        <f>IF(C22="x",C87,0)</f>
        <v>0</v>
      </c>
      <c r="E22" s="734"/>
      <c r="F22" s="712"/>
      <c r="G22" s="713"/>
      <c r="H22" s="695"/>
      <c r="I22" s="735"/>
      <c r="J22" s="105"/>
      <c r="K22" s="740">
        <f>K20+K18</f>
        <v>0</v>
      </c>
      <c r="L22" s="740">
        <f>L20+L18</f>
        <v>0</v>
      </c>
      <c r="M22" s="740">
        <f>M20+M18</f>
        <v>0</v>
      </c>
      <c r="N22" s="740">
        <f>N20+N18</f>
        <v>0</v>
      </c>
      <c r="O22" s="740">
        <f>O20+O18</f>
        <v>0</v>
      </c>
      <c r="P22" s="714"/>
      <c r="Q22" s="740">
        <f>Q20+Q18</f>
        <v>0</v>
      </c>
      <c r="R22" s="740">
        <f>R20+R18</f>
        <v>0</v>
      </c>
      <c r="S22" s="740">
        <f>S20+S18</f>
        <v>0</v>
      </c>
      <c r="T22" s="740">
        <f>T20+T18</f>
        <v>0</v>
      </c>
      <c r="U22" s="740">
        <f>U20+U18</f>
        <v>0</v>
      </c>
      <c r="V22" s="122"/>
      <c r="W22" s="740">
        <f>W20+W18</f>
        <v>0</v>
      </c>
      <c r="X22" s="740">
        <f>X20+X18</f>
        <v>0</v>
      </c>
      <c r="Y22" s="740">
        <f>Y20+Y18</f>
        <v>0</v>
      </c>
    </row>
    <row r="23" spans="2:29" ht="14">
      <c r="B23" s="121" t="s">
        <v>1101</v>
      </c>
      <c r="C23" s="696"/>
      <c r="D23" s="697"/>
      <c r="E23" s="741"/>
      <c r="F23" s="712"/>
      <c r="G23" s="713"/>
      <c r="H23" s="695"/>
      <c r="I23" s="736"/>
      <c r="J23" s="105"/>
      <c r="K23" s="742">
        <f>K13*$J$28</f>
        <v>0</v>
      </c>
      <c r="L23" s="742">
        <f>L13*$J$28</f>
        <v>0</v>
      </c>
      <c r="M23" s="742">
        <f>M13*$J$28</f>
        <v>0</v>
      </c>
      <c r="N23" s="742">
        <f>N13*$J$28</f>
        <v>0</v>
      </c>
      <c r="O23" s="742">
        <f>O13*$J$28</f>
        <v>0</v>
      </c>
      <c r="P23" s="714"/>
      <c r="Q23" s="742">
        <f>Q13*$J$28</f>
        <v>0</v>
      </c>
      <c r="R23" s="742">
        <f>R13*$J$28</f>
        <v>0</v>
      </c>
      <c r="S23" s="742">
        <f>S13*$J$28</f>
        <v>0</v>
      </c>
      <c r="T23" s="742">
        <f>T13*$J$28</f>
        <v>0</v>
      </c>
      <c r="U23" s="742">
        <f>U13*$J$28</f>
        <v>0</v>
      </c>
      <c r="V23" s="122"/>
      <c r="W23" s="742">
        <f>W13*$J$28</f>
        <v>0</v>
      </c>
      <c r="X23" s="742">
        <f>X13*$J$28</f>
        <v>0</v>
      </c>
      <c r="Y23" s="742">
        <f>Y13*$J$28</f>
        <v>0</v>
      </c>
    </row>
    <row r="24" spans="2:29" ht="14">
      <c r="B24" s="698" t="s">
        <v>1102</v>
      </c>
      <c r="C24" s="696"/>
      <c r="D24" s="699"/>
      <c r="E24" s="734"/>
      <c r="F24" s="712"/>
      <c r="G24" s="713"/>
      <c r="H24" s="152"/>
      <c r="I24" s="152"/>
      <c r="J24" s="743" t="s">
        <v>240</v>
      </c>
      <c r="K24" s="152"/>
      <c r="L24" s="152"/>
      <c r="M24" s="152"/>
      <c r="N24" s="152"/>
      <c r="O24" s="152"/>
      <c r="P24" s="714"/>
      <c r="Q24" s="744"/>
      <c r="R24" s="152"/>
      <c r="S24" s="152"/>
      <c r="T24" s="152"/>
      <c r="U24" s="152"/>
      <c r="V24" s="122"/>
      <c r="W24" s="152"/>
      <c r="X24" s="152"/>
      <c r="Y24" s="152"/>
    </row>
    <row r="25" spans="2:29" ht="14">
      <c r="B25" s="121" t="s">
        <v>1103</v>
      </c>
      <c r="C25" s="696"/>
      <c r="D25" s="699"/>
      <c r="E25" s="734"/>
      <c r="F25" s="712"/>
      <c r="G25" s="713"/>
      <c r="H25" s="105"/>
      <c r="I25" s="745" t="s">
        <v>271</v>
      </c>
      <c r="J25" s="105"/>
      <c r="K25" s="716">
        <v>0</v>
      </c>
      <c r="L25" s="716">
        <v>0</v>
      </c>
      <c r="M25" s="716">
        <v>0</v>
      </c>
      <c r="N25" s="716">
        <v>0</v>
      </c>
      <c r="O25" s="716">
        <v>0</v>
      </c>
      <c r="P25" s="714"/>
      <c r="Q25" s="716">
        <v>0</v>
      </c>
      <c r="R25" s="716">
        <v>0</v>
      </c>
      <c r="S25" s="716">
        <v>0</v>
      </c>
      <c r="T25" s="716">
        <v>0</v>
      </c>
      <c r="U25" s="716">
        <v>0</v>
      </c>
      <c r="V25" s="122"/>
      <c r="W25" s="716"/>
      <c r="X25" s="716"/>
      <c r="Y25" s="716">
        <v>0</v>
      </c>
    </row>
    <row r="26" spans="2:29" ht="14">
      <c r="B26" s="700" t="s">
        <v>1104</v>
      </c>
      <c r="C26" s="696"/>
      <c r="D26" s="323">
        <f>SUM(D22:D25)</f>
        <v>0</v>
      </c>
      <c r="E26" s="734"/>
      <c r="F26" s="712"/>
      <c r="G26" s="713"/>
      <c r="H26" s="152"/>
      <c r="I26" s="746" t="s">
        <v>241</v>
      </c>
      <c r="J26" s="105"/>
      <c r="K26" s="716">
        <v>0</v>
      </c>
      <c r="L26" s="716">
        <v>0</v>
      </c>
      <c r="M26" s="716">
        <v>0</v>
      </c>
      <c r="N26" s="716">
        <v>0</v>
      </c>
      <c r="O26" s="716">
        <v>0</v>
      </c>
      <c r="P26" s="714"/>
      <c r="Q26" s="716">
        <v>0</v>
      </c>
      <c r="R26" s="716">
        <v>0</v>
      </c>
      <c r="S26" s="716">
        <v>0</v>
      </c>
      <c r="T26" s="716">
        <v>0</v>
      </c>
      <c r="U26" s="716">
        <v>0</v>
      </c>
      <c r="V26" s="122"/>
      <c r="W26" s="716">
        <v>0</v>
      </c>
      <c r="X26" s="716">
        <v>0</v>
      </c>
      <c r="Y26" s="716">
        <v>0</v>
      </c>
    </row>
    <row r="27" spans="2:29" ht="14">
      <c r="B27" s="747"/>
      <c r="C27" s="696"/>
      <c r="D27" s="305"/>
      <c r="E27" s="741"/>
      <c r="F27" s="305"/>
      <c r="G27" s="713"/>
      <c r="H27" s="152"/>
      <c r="I27" s="736" t="s">
        <v>320</v>
      </c>
      <c r="J27" s="105"/>
      <c r="K27" s="716">
        <v>0</v>
      </c>
      <c r="L27" s="716"/>
      <c r="M27" s="716">
        <v>0</v>
      </c>
      <c r="N27" s="716">
        <v>0</v>
      </c>
      <c r="O27" s="716">
        <v>0</v>
      </c>
      <c r="P27" s="714"/>
      <c r="Q27" s="716">
        <v>0</v>
      </c>
      <c r="R27" s="716">
        <v>0</v>
      </c>
      <c r="S27" s="716">
        <v>0</v>
      </c>
      <c r="T27" s="716">
        <v>0</v>
      </c>
      <c r="U27" s="716">
        <v>0</v>
      </c>
      <c r="V27" s="122"/>
      <c r="W27" s="716">
        <v>0</v>
      </c>
      <c r="X27" s="716">
        <v>0</v>
      </c>
      <c r="Y27" s="716">
        <v>0</v>
      </c>
    </row>
    <row r="28" spans="2:29" ht="14">
      <c r="B28" s="696"/>
      <c r="C28" s="748"/>
      <c r="D28" s="748"/>
      <c r="E28" s="696"/>
      <c r="F28" s="712"/>
      <c r="G28" s="713"/>
      <c r="H28" s="152"/>
      <c r="I28" s="746" t="s">
        <v>143</v>
      </c>
      <c r="J28" s="749"/>
      <c r="K28" s="742">
        <f>K22*$J$28</f>
        <v>0</v>
      </c>
      <c r="L28" s="742">
        <f>L22*$J$28</f>
        <v>0</v>
      </c>
      <c r="M28" s="742">
        <f>M22*$J$28</f>
        <v>0</v>
      </c>
      <c r="N28" s="742">
        <f>N22*$J$28</f>
        <v>0</v>
      </c>
      <c r="O28" s="742">
        <f>O22*$J$28</f>
        <v>0</v>
      </c>
      <c r="P28" s="714"/>
      <c r="Q28" s="742">
        <f>Q18*$J$28</f>
        <v>0</v>
      </c>
      <c r="R28" s="742">
        <f>R18*$J$28</f>
        <v>0</v>
      </c>
      <c r="S28" s="742">
        <f>S18*$J$28</f>
        <v>0</v>
      </c>
      <c r="T28" s="742">
        <f>T18*$J$28</f>
        <v>0</v>
      </c>
      <c r="U28" s="742">
        <f>U18*$J$28</f>
        <v>0</v>
      </c>
      <c r="V28" s="122"/>
      <c r="W28" s="742">
        <f>W22*$J$28</f>
        <v>0</v>
      </c>
      <c r="X28" s="742">
        <f>X22*$J$28</f>
        <v>0</v>
      </c>
      <c r="Y28" s="742">
        <f>Y22*$J$28</f>
        <v>0</v>
      </c>
    </row>
    <row r="29" spans="2:29" ht="13">
      <c r="B29" s="696" t="s">
        <v>1105</v>
      </c>
      <c r="D29" s="699"/>
      <c r="E29" s="734"/>
      <c r="F29" s="712"/>
      <c r="G29" s="713"/>
      <c r="H29" s="152"/>
      <c r="I29" s="746"/>
      <c r="J29" s="746"/>
      <c r="K29" s="750"/>
      <c r="L29" s="750"/>
      <c r="M29" s="750"/>
      <c r="N29" s="152"/>
      <c r="O29" s="152"/>
      <c r="P29" s="152"/>
      <c r="Q29" s="152"/>
      <c r="R29" s="152"/>
      <c r="S29" s="152"/>
      <c r="T29" s="152"/>
      <c r="U29" s="152"/>
      <c r="V29" s="105"/>
      <c r="W29" s="152"/>
      <c r="X29" s="152"/>
      <c r="Y29" s="152"/>
    </row>
    <row r="30" spans="2:29" ht="13">
      <c r="B30" s="121" t="s">
        <v>14</v>
      </c>
      <c r="C30" s="696"/>
      <c r="D30" s="699"/>
      <c r="E30" s="734"/>
      <c r="F30" s="712"/>
      <c r="G30" s="713"/>
      <c r="H30" s="713"/>
      <c r="I30" s="746"/>
      <c r="J30" s="746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05"/>
      <c r="W30" s="152"/>
      <c r="X30" s="152"/>
      <c r="Y30" s="152"/>
    </row>
    <row r="31" spans="2:29" ht="13">
      <c r="B31" s="698" t="s">
        <v>207</v>
      </c>
      <c r="C31" s="696"/>
      <c r="D31" s="323">
        <f>D47</f>
        <v>0</v>
      </c>
      <c r="E31" s="734"/>
      <c r="F31" s="712"/>
      <c r="G31" s="713"/>
      <c r="H31" s="152"/>
      <c r="I31" s="713" t="s">
        <v>23</v>
      </c>
      <c r="J31" s="105"/>
      <c r="K31" s="718">
        <f>SUM(K22:K29)</f>
        <v>0</v>
      </c>
      <c r="L31" s="718">
        <f>SUM(L22:L29)</f>
        <v>0</v>
      </c>
      <c r="M31" s="718">
        <f>SUM(M22:M29)</f>
        <v>0</v>
      </c>
      <c r="N31" s="718">
        <f>SUM(N22:N29)</f>
        <v>0</v>
      </c>
      <c r="O31" s="718">
        <f>SUM(O22:O29)</f>
        <v>0</v>
      </c>
      <c r="P31" s="718"/>
      <c r="Q31" s="718">
        <f>SUM(Q22:Q29)</f>
        <v>0</v>
      </c>
      <c r="R31" s="718">
        <f>SUM(R22:R29)</f>
        <v>0</v>
      </c>
      <c r="S31" s="718">
        <f>SUM(S22:S29)</f>
        <v>0</v>
      </c>
      <c r="T31" s="718">
        <f>SUM(T22:T29)</f>
        <v>0</v>
      </c>
      <c r="U31" s="718">
        <f>SUM(U22:U29)</f>
        <v>0</v>
      </c>
      <c r="V31" s="751"/>
      <c r="W31" s="718">
        <f>SUM(W22:W29)</f>
        <v>0</v>
      </c>
      <c r="X31" s="718">
        <f>SUM(X22:X29)</f>
        <v>0</v>
      </c>
      <c r="Y31" s="718">
        <f>SUM(Y22:Y29)</f>
        <v>0</v>
      </c>
    </row>
    <row r="32" spans="2:29" ht="13">
      <c r="B32" s="698" t="s">
        <v>84</v>
      </c>
      <c r="C32" s="696"/>
      <c r="D32" s="699"/>
      <c r="E32" s="734"/>
      <c r="F32" s="712"/>
      <c r="G32" s="713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05"/>
      <c r="W32" s="152"/>
      <c r="X32" s="152"/>
      <c r="Y32" s="152"/>
    </row>
    <row r="33" spans="2:25" ht="13">
      <c r="B33" s="698" t="s">
        <v>118</v>
      </c>
      <c r="C33" s="696"/>
      <c r="D33" s="696"/>
      <c r="E33" s="734"/>
      <c r="F33" s="712"/>
      <c r="G33" s="713"/>
      <c r="H33" s="152"/>
      <c r="I33" s="746" t="s">
        <v>1</v>
      </c>
      <c r="J33" s="749"/>
      <c r="K33" s="742">
        <f>K31*$J$33</f>
        <v>0</v>
      </c>
      <c r="L33" s="742">
        <f>L31*$J$33</f>
        <v>0</v>
      </c>
      <c r="M33" s="742">
        <f>M31*$J$33</f>
        <v>0</v>
      </c>
      <c r="N33" s="742">
        <f>N31*$J$33</f>
        <v>0</v>
      </c>
      <c r="O33" s="742">
        <f>O31*$J$33</f>
        <v>0</v>
      </c>
      <c r="P33" s="742"/>
      <c r="Q33" s="742">
        <f>Q31*$J$33</f>
        <v>0</v>
      </c>
      <c r="R33" s="742">
        <f>R31*$J$33</f>
        <v>0</v>
      </c>
      <c r="S33" s="742">
        <f>S31*$J$33</f>
        <v>0</v>
      </c>
      <c r="T33" s="742">
        <f>T31*$J$33</f>
        <v>0</v>
      </c>
      <c r="U33" s="742">
        <f>U31*$J$33</f>
        <v>0</v>
      </c>
      <c r="V33" s="105"/>
      <c r="W33" s="742">
        <f>W31*$J$33</f>
        <v>0</v>
      </c>
      <c r="X33" s="742">
        <f>X31*$J$33</f>
        <v>0</v>
      </c>
      <c r="Y33" s="742">
        <f>Y31*$J$33</f>
        <v>0</v>
      </c>
    </row>
    <row r="34" spans="2:25" ht="18" customHeight="1">
      <c r="B34" s="698" t="s">
        <v>85</v>
      </c>
      <c r="C34" s="696"/>
      <c r="D34" s="699"/>
      <c r="E34" s="734"/>
      <c r="F34" s="712"/>
      <c r="G34" s="713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05"/>
      <c r="W34" s="152"/>
      <c r="X34" s="152"/>
      <c r="Y34" s="152"/>
    </row>
    <row r="35" spans="2:25" ht="13">
      <c r="B35" s="698" t="s">
        <v>102</v>
      </c>
      <c r="C35" s="696"/>
      <c r="D35" s="699"/>
      <c r="E35" s="734"/>
      <c r="F35" s="712"/>
      <c r="G35" s="713"/>
      <c r="H35" s="152"/>
      <c r="I35" s="713" t="s">
        <v>57</v>
      </c>
      <c r="J35" s="105"/>
      <c r="K35" s="718">
        <f>SUM(K31:K33)</f>
        <v>0</v>
      </c>
      <c r="L35" s="718">
        <f>SUM(L31:L33)</f>
        <v>0</v>
      </c>
      <c r="M35" s="718">
        <f>SUM(M31:M33)</f>
        <v>0</v>
      </c>
      <c r="N35" s="718">
        <f>SUM(N31:N33)</f>
        <v>0</v>
      </c>
      <c r="O35" s="718">
        <f>SUM(O31:O33)</f>
        <v>0</v>
      </c>
      <c r="P35" s="718"/>
      <c r="Q35" s="718">
        <f>SUM(Q31:Q33)</f>
        <v>0</v>
      </c>
      <c r="R35" s="718">
        <f>SUM(R31:R33)</f>
        <v>0</v>
      </c>
      <c r="S35" s="718">
        <f>SUM(S31:S33)</f>
        <v>0</v>
      </c>
      <c r="T35" s="718">
        <f>SUM(T31:T33)</f>
        <v>0</v>
      </c>
      <c r="U35" s="718">
        <f>SUM(U31:U33)</f>
        <v>0</v>
      </c>
      <c r="V35" s="105"/>
      <c r="W35" s="718">
        <f>SUM(W31:W33)</f>
        <v>0</v>
      </c>
      <c r="X35" s="718">
        <f>SUM(X31:X33)</f>
        <v>0</v>
      </c>
      <c r="Y35" s="718">
        <f>SUM(Y31:Y33)</f>
        <v>0</v>
      </c>
    </row>
    <row r="36" spans="2:25" ht="13">
      <c r="B36" s="698"/>
      <c r="D36" s="752"/>
      <c r="E36" s="734"/>
      <c r="F36" s="712"/>
      <c r="G36" s="713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05"/>
      <c r="W36" s="152"/>
      <c r="X36" s="152"/>
      <c r="Y36" s="152"/>
    </row>
    <row r="37" spans="2:25" ht="13">
      <c r="B37" s="713"/>
      <c r="C37" s="713" t="s">
        <v>319</v>
      </c>
      <c r="D37" s="753">
        <f>SUM(D26:D36)</f>
        <v>0</v>
      </c>
      <c r="E37" s="734"/>
      <c r="F37" s="712"/>
      <c r="G37" s="713"/>
      <c r="H37" s="152"/>
      <c r="I37" s="754" t="s">
        <v>135</v>
      </c>
      <c r="J37" s="105"/>
      <c r="K37" s="755">
        <f>K35*0.995</f>
        <v>0</v>
      </c>
      <c r="L37" s="755">
        <f>L35*0.995</f>
        <v>0</v>
      </c>
      <c r="M37" s="755">
        <f>M35*0.995</f>
        <v>0</v>
      </c>
      <c r="N37" s="755">
        <f>N35*0.995</f>
        <v>0</v>
      </c>
      <c r="O37" s="755">
        <f>O35*0.995</f>
        <v>0</v>
      </c>
      <c r="P37" s="755"/>
      <c r="Q37" s="755">
        <f>Q35*0.995</f>
        <v>0</v>
      </c>
      <c r="R37" s="755">
        <f>R35*0.995</f>
        <v>0</v>
      </c>
      <c r="S37" s="755">
        <f>S35*0.995</f>
        <v>0</v>
      </c>
      <c r="T37" s="755">
        <f>T35*0.995</f>
        <v>0</v>
      </c>
      <c r="U37" s="755">
        <f>U35*0.995</f>
        <v>0</v>
      </c>
      <c r="V37" s="105"/>
      <c r="W37" s="755">
        <f>W35*0.995</f>
        <v>0</v>
      </c>
      <c r="X37" s="755">
        <f>X35*0.995</f>
        <v>0</v>
      </c>
      <c r="Y37" s="755">
        <f>Y35*0.995</f>
        <v>0</v>
      </c>
    </row>
    <row r="38" spans="2:25" ht="13">
      <c r="E38" s="741"/>
      <c r="F38" s="712"/>
      <c r="G38" s="713"/>
      <c r="H38" s="152"/>
      <c r="I38" s="746" t="s">
        <v>122</v>
      </c>
      <c r="J38" s="756">
        <f>'1.5-Opbouw uurtarieven'!D37</f>
        <v>0</v>
      </c>
      <c r="K38" s="742">
        <f>IF(K37=0,0,K37*'1.5-Opbouw uurtarieven'!$D$37)</f>
        <v>0</v>
      </c>
      <c r="L38" s="742">
        <f>IF(L37=0,0,L37*'1.5-Opbouw uurtarieven'!$D$37)</f>
        <v>0</v>
      </c>
      <c r="M38" s="742">
        <f>IF(M37=0,0,M37*'1.5-Opbouw uurtarieven'!$D$37)</f>
        <v>0</v>
      </c>
      <c r="N38" s="742">
        <f>IF(N37=0,0,N37*'1.5-Opbouw uurtarieven'!$D$37)</f>
        <v>0</v>
      </c>
      <c r="O38" s="742">
        <f>IF(O37=0,0,O37*'1.5-Opbouw uurtarieven'!$D$37)</f>
        <v>0</v>
      </c>
      <c r="P38" s="742"/>
      <c r="Q38" s="742">
        <f>IF(Q37=0,0,Q37*'1.5-Opbouw uurtarieven'!$D$37)</f>
        <v>0</v>
      </c>
      <c r="R38" s="742">
        <f>IF(R37=0,0,R37*'1.5-Opbouw uurtarieven'!$D$37)</f>
        <v>0</v>
      </c>
      <c r="S38" s="742">
        <f>IF(S37=0,0,S37*'1.5-Opbouw uurtarieven'!$D$37)</f>
        <v>0</v>
      </c>
      <c r="T38" s="742">
        <f>IF(T37=0,0,T37*'1.5-Opbouw uurtarieven'!$D$37)</f>
        <v>0</v>
      </c>
      <c r="U38" s="742">
        <f>IF(U37=0,0,U37*'1.5-Opbouw uurtarieven'!$D$37)</f>
        <v>0</v>
      </c>
      <c r="V38" s="105"/>
      <c r="W38" s="742">
        <f>IF(W37=0,0,W37*'1.5-Opbouw uurtarieven'!$D$37)</f>
        <v>0</v>
      </c>
      <c r="X38" s="742">
        <f>IF(X37=0,0,X37*'1.5-Opbouw uurtarieven'!$D$37)</f>
        <v>0</v>
      </c>
      <c r="Y38" s="742">
        <f>IF(Y37=0,0,Y37*'1.5-Opbouw uurtarieven'!$D$37)</f>
        <v>0</v>
      </c>
    </row>
    <row r="39" spans="2:25" ht="16">
      <c r="B39" s="737" t="s">
        <v>88</v>
      </c>
      <c r="C39" s="722"/>
      <c r="D39" s="757"/>
      <c r="E39" s="734"/>
      <c r="F39" s="712"/>
      <c r="G39" s="713"/>
      <c r="H39" s="152"/>
      <c r="I39" s="152"/>
      <c r="J39" s="304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05"/>
      <c r="W39" s="152"/>
      <c r="X39" s="152"/>
      <c r="Y39" s="152"/>
    </row>
    <row r="40" spans="2:25" ht="13">
      <c r="B40" s="734"/>
      <c r="C40" s="734"/>
      <c r="D40" s="758"/>
      <c r="E40" s="734"/>
      <c r="F40" s="712"/>
      <c r="G40" s="713"/>
      <c r="H40" s="152"/>
      <c r="I40" s="713" t="s">
        <v>2</v>
      </c>
      <c r="J40" s="305"/>
      <c r="K40" s="718">
        <f>K38+K35</f>
        <v>0</v>
      </c>
      <c r="L40" s="718">
        <f>L38+L35</f>
        <v>0</v>
      </c>
      <c r="M40" s="718">
        <f>M38+M35</f>
        <v>0</v>
      </c>
      <c r="N40" s="718">
        <f>N38+N35</f>
        <v>0</v>
      </c>
      <c r="O40" s="718">
        <f>O38+O35</f>
        <v>0</v>
      </c>
      <c r="P40" s="718"/>
      <c r="Q40" s="718">
        <f>Q38+Q35</f>
        <v>0</v>
      </c>
      <c r="R40" s="718">
        <f>R38+R35</f>
        <v>0</v>
      </c>
      <c r="S40" s="718">
        <f>S38+S35</f>
        <v>0</v>
      </c>
      <c r="T40" s="718">
        <f>T38+T35</f>
        <v>0</v>
      </c>
      <c r="U40" s="718">
        <f>U38+U35</f>
        <v>0</v>
      </c>
      <c r="V40" s="105"/>
      <c r="W40" s="718">
        <f>W38+W35</f>
        <v>0</v>
      </c>
      <c r="X40" s="718">
        <f>X38+X35</f>
        <v>0</v>
      </c>
      <c r="Y40" s="718">
        <f>Y38+Y35</f>
        <v>0</v>
      </c>
    </row>
    <row r="41" spans="2:25" ht="13">
      <c r="B41" s="734"/>
      <c r="C41" s="734"/>
      <c r="D41" s="738" t="s">
        <v>86</v>
      </c>
      <c r="E41" s="734"/>
      <c r="F41" s="712"/>
      <c r="G41" s="713"/>
      <c r="H41" s="152"/>
      <c r="I41" s="152"/>
      <c r="J41" s="304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05"/>
      <c r="W41" s="152"/>
      <c r="X41" s="152"/>
      <c r="Y41" s="152"/>
    </row>
    <row r="42" spans="2:25" ht="13">
      <c r="B42" s="696" t="s">
        <v>87</v>
      </c>
      <c r="D42" s="759">
        <f>K81</f>
        <v>0</v>
      </c>
      <c r="E42" s="734"/>
      <c r="F42" s="712"/>
      <c r="G42" s="713"/>
      <c r="H42" s="152"/>
      <c r="I42" s="746" t="s">
        <v>3</v>
      </c>
      <c r="J42" s="756">
        <f>'1.5-Opbouw uurtarieven'!D67</f>
        <v>0</v>
      </c>
      <c r="K42" s="742">
        <f>K40*'1.5-Opbouw uurtarieven'!$D$67</f>
        <v>0</v>
      </c>
      <c r="L42" s="742">
        <f>L40*'1.5-Opbouw uurtarieven'!$D$67</f>
        <v>0</v>
      </c>
      <c r="M42" s="742">
        <f>M40*'1.5-Opbouw uurtarieven'!$D$67</f>
        <v>0</v>
      </c>
      <c r="N42" s="742">
        <f>N40*'1.5-Opbouw uurtarieven'!$D$67</f>
        <v>0</v>
      </c>
      <c r="O42" s="742">
        <f>O40*'1.5-Opbouw uurtarieven'!$D$67</f>
        <v>0</v>
      </c>
      <c r="P42" s="742"/>
      <c r="Q42" s="742">
        <f>Q40*'1.5-Opbouw uurtarieven'!$D$67</f>
        <v>0</v>
      </c>
      <c r="R42" s="742">
        <f>R40*'1.5-Opbouw uurtarieven'!$D$67</f>
        <v>0</v>
      </c>
      <c r="S42" s="742">
        <f>S40*'1.5-Opbouw uurtarieven'!$D$67</f>
        <v>0</v>
      </c>
      <c r="T42" s="742">
        <f>T40*'1.5-Opbouw uurtarieven'!$D$67</f>
        <v>0</v>
      </c>
      <c r="U42" s="742">
        <f>U40*'1.5-Opbouw uurtarieven'!$D$67</f>
        <v>0</v>
      </c>
      <c r="V42" s="105"/>
      <c r="W42" s="742">
        <f>W40*'1.5-Opbouw uurtarieven'!$G$67</f>
        <v>0</v>
      </c>
      <c r="X42" s="742">
        <f>X40*'1.5-Opbouw uurtarieven'!$G$67</f>
        <v>0</v>
      </c>
      <c r="Y42" s="742">
        <f>Y40*'1.5-Opbouw uurtarieven'!$G$67</f>
        <v>0</v>
      </c>
    </row>
    <row r="43" spans="2:25" ht="13">
      <c r="B43" s="696" t="s">
        <v>74</v>
      </c>
      <c r="C43" s="760"/>
      <c r="D43" s="761"/>
      <c r="E43" s="762"/>
      <c r="F43" s="762"/>
      <c r="G43" s="713"/>
      <c r="H43" s="152"/>
      <c r="I43" s="713" t="s">
        <v>50</v>
      </c>
      <c r="J43" s="105"/>
      <c r="K43" s="718">
        <f>SUM(K40:K42)</f>
        <v>0</v>
      </c>
      <c r="L43" s="718">
        <f>SUM(L40:L42)</f>
        <v>0</v>
      </c>
      <c r="M43" s="718">
        <f>SUM(M40:M42)</f>
        <v>0</v>
      </c>
      <c r="N43" s="718">
        <f>SUM(N40:N42)</f>
        <v>0</v>
      </c>
      <c r="O43" s="718">
        <f>SUM(O40:O42)</f>
        <v>0</v>
      </c>
      <c r="P43" s="718"/>
      <c r="Q43" s="718">
        <f>SUM(Q40:Q42)</f>
        <v>0</v>
      </c>
      <c r="R43" s="718">
        <f>SUM(R40:R42)</f>
        <v>0</v>
      </c>
      <c r="S43" s="718">
        <f>SUM(S40:S42)</f>
        <v>0</v>
      </c>
      <c r="T43" s="718">
        <f>SUM(T40:T42)</f>
        <v>0</v>
      </c>
      <c r="U43" s="718">
        <f>SUM(U40:U42)</f>
        <v>0</v>
      </c>
      <c r="V43" s="105"/>
      <c r="W43" s="718">
        <f>SUM(W40:W42)</f>
        <v>0</v>
      </c>
      <c r="X43" s="718">
        <f>SUM(X40:X42)</f>
        <v>0</v>
      </c>
      <c r="Y43" s="718">
        <f>SUM(Y40:Y42)</f>
        <v>0</v>
      </c>
    </row>
    <row r="44" spans="2:25" ht="13">
      <c r="B44" s="696" t="s">
        <v>20</v>
      </c>
      <c r="D44" s="759">
        <f>D42-D43</f>
        <v>0</v>
      </c>
      <c r="E44" s="734"/>
      <c r="F44" s="712"/>
      <c r="G44" s="763"/>
      <c r="H44" s="152"/>
      <c r="I44" s="152"/>
      <c r="J44" s="152"/>
      <c r="K44" s="152"/>
      <c r="L44" s="152"/>
      <c r="M44" s="152"/>
      <c r="N44" s="152"/>
      <c r="O44" s="152"/>
      <c r="P44" s="718"/>
      <c r="Q44" s="152"/>
      <c r="R44" s="152"/>
      <c r="S44" s="152"/>
      <c r="T44" s="152"/>
      <c r="U44" s="152"/>
      <c r="V44" s="105"/>
      <c r="W44" s="152"/>
      <c r="X44" s="152"/>
      <c r="Y44" s="152"/>
    </row>
    <row r="45" spans="2:25" ht="21.75" customHeight="1">
      <c r="B45" s="698" t="s">
        <v>21</v>
      </c>
      <c r="D45" s="699"/>
      <c r="E45" s="711"/>
      <c r="F45" s="711"/>
      <c r="G45" s="713"/>
      <c r="H45" s="152"/>
      <c r="I45" s="746" t="s">
        <v>105</v>
      </c>
      <c r="J45" s="105"/>
      <c r="K45" s="199"/>
      <c r="L45" s="199"/>
      <c r="M45" s="199"/>
      <c r="N45" s="716"/>
      <c r="O45" s="716"/>
      <c r="P45" s="718"/>
      <c r="Q45" s="152"/>
      <c r="R45" s="152"/>
      <c r="S45" s="152"/>
      <c r="T45" s="152"/>
      <c r="U45" s="152"/>
      <c r="V45" s="105"/>
      <c r="W45" s="716"/>
      <c r="X45" s="716"/>
      <c r="Y45" s="716">
        <v>0</v>
      </c>
    </row>
    <row r="46" spans="2:25" ht="13">
      <c r="B46" s="734"/>
      <c r="D46" s="758"/>
      <c r="E46" s="711"/>
      <c r="F46" s="711"/>
      <c r="G46" s="713"/>
      <c r="H46" s="152"/>
      <c r="I46" s="746" t="s">
        <v>18</v>
      </c>
      <c r="J46" s="105"/>
      <c r="K46" s="199"/>
      <c r="L46" s="199"/>
      <c r="M46" s="199"/>
      <c r="N46" s="716"/>
      <c r="O46" s="716"/>
      <c r="P46" s="718"/>
      <c r="Q46" s="199"/>
      <c r="R46" s="716"/>
      <c r="S46" s="716"/>
      <c r="T46" s="716"/>
      <c r="U46" s="716"/>
      <c r="V46" s="105"/>
      <c r="W46" s="716"/>
      <c r="X46" s="716"/>
      <c r="Y46" s="716">
        <v>0</v>
      </c>
    </row>
    <row r="47" spans="2:25" ht="13">
      <c r="B47" s="713"/>
      <c r="C47" s="713" t="s">
        <v>75</v>
      </c>
      <c r="D47" s="892">
        <f>IF(D42=0,0,(D44/D42)*D45)</f>
        <v>0</v>
      </c>
      <c r="E47" s="711"/>
      <c r="F47" s="764">
        <f>IF(F42=0,0,(F44/F42)*F45)</f>
        <v>0</v>
      </c>
      <c r="G47" s="713"/>
      <c r="H47" s="152"/>
      <c r="I47" s="152"/>
      <c r="J47" s="152"/>
      <c r="K47" s="152"/>
      <c r="L47" s="152"/>
      <c r="M47" s="152"/>
      <c r="N47" s="152"/>
      <c r="O47" s="152"/>
      <c r="P47" s="718"/>
      <c r="Q47" s="152"/>
      <c r="R47" s="152"/>
      <c r="S47" s="152"/>
      <c r="T47" s="152"/>
      <c r="U47" s="152"/>
      <c r="V47" s="105"/>
      <c r="W47" s="152"/>
      <c r="X47" s="152"/>
      <c r="Y47" s="152"/>
    </row>
    <row r="48" spans="2:25" ht="13">
      <c r="B48" s="765"/>
      <c r="D48" s="766"/>
      <c r="E48" s="711"/>
      <c r="F48" s="711"/>
      <c r="G48" s="712"/>
      <c r="H48" s="152"/>
      <c r="I48" s="713" t="s">
        <v>106</v>
      </c>
      <c r="J48" s="105"/>
      <c r="K48" s="718">
        <f>SUM(K43:K46)</f>
        <v>0</v>
      </c>
      <c r="L48" s="718">
        <f>SUM(L43:L46)</f>
        <v>0</v>
      </c>
      <c r="M48" s="718">
        <f>SUM(M43:M46)</f>
        <v>0</v>
      </c>
      <c r="N48" s="718">
        <f>SUM(N43:N46)</f>
        <v>0</v>
      </c>
      <c r="O48" s="718">
        <f>SUM(O43:O46)</f>
        <v>0</v>
      </c>
      <c r="P48" s="718"/>
      <c r="Q48" s="718">
        <f>SUM(Q43:Q46)</f>
        <v>0</v>
      </c>
      <c r="R48" s="718">
        <f>SUM(R43:R46)</f>
        <v>0</v>
      </c>
      <c r="S48" s="718">
        <f>SUM(S43:S46)</f>
        <v>0</v>
      </c>
      <c r="T48" s="718">
        <f>SUM(T43:T46)</f>
        <v>0</v>
      </c>
      <c r="U48" s="718">
        <f>SUM(U43:U46)</f>
        <v>0</v>
      </c>
      <c r="V48" s="105"/>
      <c r="W48" s="718">
        <f>SUM(W43:W46)</f>
        <v>0</v>
      </c>
      <c r="X48" s="718">
        <f>SUM(X43:X46)</f>
        <v>0</v>
      </c>
      <c r="Y48" s="718">
        <f>SUM(Y43:Y46)</f>
        <v>0</v>
      </c>
    </row>
    <row r="49" spans="2:25" ht="13">
      <c r="G49" s="705"/>
      <c r="H49" s="152"/>
      <c r="I49" s="152"/>
      <c r="J49" s="152"/>
      <c r="K49" s="152"/>
      <c r="L49" s="152"/>
      <c r="M49" s="152"/>
      <c r="N49" s="152"/>
      <c r="O49" s="152"/>
      <c r="P49" s="718"/>
      <c r="Q49" s="152"/>
      <c r="R49" s="152"/>
      <c r="S49" s="152"/>
      <c r="T49" s="152"/>
      <c r="U49" s="152"/>
      <c r="V49" s="105"/>
      <c r="W49" s="152"/>
      <c r="X49" s="152"/>
      <c r="Y49" s="152"/>
    </row>
    <row r="50" spans="2:25" ht="16">
      <c r="C50" s="767" t="s">
        <v>234</v>
      </c>
      <c r="D50" s="768"/>
      <c r="E50" s="711"/>
      <c r="F50" s="769" t="s">
        <v>46</v>
      </c>
      <c r="G50" s="705"/>
      <c r="H50" s="152"/>
      <c r="I50" s="746" t="s">
        <v>116</v>
      </c>
      <c r="J50" s="770"/>
      <c r="K50" s="199"/>
      <c r="L50" s="199"/>
      <c r="M50" s="199"/>
      <c r="N50" s="716"/>
      <c r="O50" s="716"/>
      <c r="P50" s="718"/>
      <c r="Q50" s="199"/>
      <c r="R50" s="716"/>
      <c r="S50" s="716"/>
      <c r="T50" s="716"/>
      <c r="U50" s="716"/>
      <c r="V50" s="105"/>
      <c r="W50" s="716"/>
      <c r="X50" s="716"/>
      <c r="Y50" s="716">
        <v>0</v>
      </c>
    </row>
    <row r="51" spans="2:25" ht="16">
      <c r="B51" s="771" t="s">
        <v>9</v>
      </c>
      <c r="C51" s="696"/>
      <c r="D51" s="772"/>
      <c r="E51" s="711"/>
      <c r="F51" s="711"/>
      <c r="G51" s="705"/>
      <c r="H51" s="152"/>
      <c r="I51" s="746" t="s">
        <v>95</v>
      </c>
      <c r="J51" s="770"/>
      <c r="K51" s="199"/>
      <c r="L51" s="199"/>
      <c r="M51" s="199"/>
      <c r="N51" s="716"/>
      <c r="O51" s="716"/>
      <c r="P51" s="718"/>
      <c r="Q51" s="199"/>
      <c r="R51" s="716"/>
      <c r="S51" s="716"/>
      <c r="T51" s="716"/>
      <c r="U51" s="716"/>
      <c r="V51" s="105"/>
      <c r="W51" s="716"/>
      <c r="X51" s="716"/>
      <c r="Y51" s="716">
        <v>0</v>
      </c>
    </row>
    <row r="52" spans="2:25" ht="13">
      <c r="B52" s="772"/>
      <c r="C52" s="712" t="s">
        <v>217</v>
      </c>
      <c r="D52" s="772"/>
      <c r="E52" s="711"/>
      <c r="F52" s="712" t="s">
        <v>217</v>
      </c>
      <c r="G52" s="772"/>
      <c r="H52" s="152"/>
      <c r="I52" s="746" t="s">
        <v>63</v>
      </c>
      <c r="J52" s="770"/>
      <c r="K52" s="199"/>
      <c r="L52" s="199"/>
      <c r="M52" s="199"/>
      <c r="N52" s="716"/>
      <c r="O52" s="716"/>
      <c r="P52" s="718"/>
      <c r="Q52" s="199"/>
      <c r="R52" s="716"/>
      <c r="S52" s="716"/>
      <c r="T52" s="716"/>
      <c r="U52" s="716"/>
      <c r="V52" s="105"/>
      <c r="W52" s="716"/>
      <c r="X52" s="716"/>
      <c r="Y52" s="716">
        <v>0</v>
      </c>
    </row>
    <row r="53" spans="2:25" ht="13">
      <c r="B53" s="773" t="s">
        <v>10</v>
      </c>
      <c r="C53" s="199"/>
      <c r="D53" s="774"/>
      <c r="E53" s="775"/>
      <c r="F53" s="199"/>
      <c r="G53" s="772"/>
      <c r="H53" s="152"/>
      <c r="I53" s="746" t="s">
        <v>64</v>
      </c>
      <c r="J53" s="770"/>
      <c r="K53" s="199"/>
      <c r="L53" s="199"/>
      <c r="M53" s="199"/>
      <c r="N53" s="716"/>
      <c r="O53" s="716"/>
      <c r="P53" s="718"/>
      <c r="Q53" s="199"/>
      <c r="R53" s="716"/>
      <c r="S53" s="716"/>
      <c r="T53" s="716"/>
      <c r="U53" s="716"/>
      <c r="V53" s="105"/>
      <c r="W53" s="716"/>
      <c r="X53" s="716"/>
      <c r="Y53" s="716">
        <v>0</v>
      </c>
    </row>
    <row r="54" spans="2:25" ht="13">
      <c r="B54" s="773" t="s">
        <v>11</v>
      </c>
      <c r="C54" s="199"/>
      <c r="D54" s="776"/>
      <c r="E54" s="777"/>
      <c r="F54" s="199"/>
      <c r="G54" s="776"/>
      <c r="H54" s="152"/>
      <c r="I54" s="746" t="s">
        <v>7</v>
      </c>
      <c r="J54" s="770"/>
      <c r="K54" s="199"/>
      <c r="L54" s="199"/>
      <c r="M54" s="199"/>
      <c r="N54" s="716"/>
      <c r="O54" s="716"/>
      <c r="P54" s="718"/>
      <c r="Q54" s="199"/>
      <c r="R54" s="716"/>
      <c r="S54" s="716"/>
      <c r="T54" s="716"/>
      <c r="U54" s="716"/>
      <c r="V54" s="105"/>
      <c r="W54" s="716"/>
      <c r="X54" s="716"/>
      <c r="Y54" s="716">
        <v>0</v>
      </c>
    </row>
    <row r="55" spans="2:25" ht="21.75" customHeight="1">
      <c r="B55" s="765" t="s">
        <v>12</v>
      </c>
      <c r="C55" s="778"/>
      <c r="D55" s="718">
        <f>C53-C54</f>
        <v>0</v>
      </c>
      <c r="E55" s="777"/>
      <c r="F55" s="778"/>
      <c r="G55" s="718">
        <f>F53-F54</f>
        <v>0</v>
      </c>
      <c r="H55" s="152"/>
      <c r="I55" s="746" t="s">
        <v>8</v>
      </c>
      <c r="J55" s="770"/>
      <c r="K55" s="199"/>
      <c r="L55" s="199"/>
      <c r="M55" s="199"/>
      <c r="N55" s="716"/>
      <c r="O55" s="716"/>
      <c r="P55" s="718"/>
      <c r="Q55" s="199"/>
      <c r="R55" s="716"/>
      <c r="S55" s="716"/>
      <c r="T55" s="716"/>
      <c r="U55" s="716"/>
      <c r="V55" s="105"/>
      <c r="W55" s="716"/>
      <c r="X55" s="716"/>
      <c r="Y55" s="716">
        <v>0</v>
      </c>
    </row>
    <row r="56" spans="2:25" ht="13">
      <c r="B56" s="765"/>
      <c r="C56" s="778"/>
      <c r="D56" s="779"/>
      <c r="E56" s="777"/>
      <c r="F56" s="778"/>
      <c r="G56" s="779"/>
      <c r="H56" s="152"/>
      <c r="I56" s="746" t="s">
        <v>321</v>
      </c>
      <c r="J56" s="770"/>
      <c r="K56" s="199"/>
      <c r="L56" s="199"/>
      <c r="M56" s="199"/>
      <c r="N56" s="716"/>
      <c r="O56" s="716"/>
      <c r="P56" s="718"/>
      <c r="Q56" s="199"/>
      <c r="R56" s="716"/>
      <c r="S56" s="716"/>
      <c r="T56" s="716"/>
      <c r="U56" s="716"/>
      <c r="V56" s="105"/>
      <c r="W56" s="716"/>
      <c r="X56" s="716"/>
      <c r="Y56" s="716">
        <v>0</v>
      </c>
    </row>
    <row r="57" spans="2:25" ht="13">
      <c r="B57" s="773" t="s">
        <v>67</v>
      </c>
      <c r="C57" s="199"/>
      <c r="D57" s="780"/>
      <c r="E57" s="777"/>
      <c r="F57" s="199"/>
      <c r="G57" s="780"/>
      <c r="H57" s="781"/>
      <c r="I57" s="746" t="s">
        <v>283</v>
      </c>
      <c r="J57" s="770"/>
      <c r="K57" s="716"/>
      <c r="L57" s="716"/>
      <c r="M57" s="716"/>
      <c r="N57" s="716"/>
      <c r="O57" s="716"/>
      <c r="P57" s="718"/>
      <c r="Q57" s="716"/>
      <c r="R57" s="716"/>
      <c r="S57" s="716"/>
      <c r="T57" s="716"/>
      <c r="U57" s="716"/>
      <c r="V57" s="105"/>
      <c r="W57" s="716"/>
      <c r="X57" s="716">
        <v>0</v>
      </c>
      <c r="Y57" s="716">
        <v>0</v>
      </c>
    </row>
    <row r="58" spans="2:25" ht="13">
      <c r="B58" s="773" t="s">
        <v>32</v>
      </c>
      <c r="C58" s="199"/>
      <c r="D58" s="780"/>
      <c r="E58" s="777"/>
      <c r="F58" s="199"/>
      <c r="G58" s="780"/>
      <c r="H58" s="152"/>
      <c r="I58" s="152"/>
      <c r="J58" s="152"/>
      <c r="K58" s="152"/>
      <c r="L58" s="152"/>
      <c r="M58" s="152"/>
      <c r="N58" s="152"/>
      <c r="O58" s="152"/>
      <c r="P58" s="718"/>
      <c r="Q58" s="152"/>
      <c r="R58" s="152"/>
      <c r="S58" s="152"/>
      <c r="T58" s="152"/>
      <c r="U58" s="152"/>
      <c r="V58" s="105"/>
      <c r="W58" s="152"/>
      <c r="X58" s="152"/>
      <c r="Y58" s="152"/>
    </row>
    <row r="59" spans="2:25" ht="13">
      <c r="B59" s="773" t="s">
        <v>68</v>
      </c>
      <c r="C59" s="199"/>
      <c r="D59" s="782"/>
      <c r="E59" s="777"/>
      <c r="F59" s="199"/>
      <c r="G59" s="780"/>
      <c r="H59" s="152"/>
      <c r="I59" s="713" t="s">
        <v>130</v>
      </c>
      <c r="J59" s="105"/>
      <c r="K59" s="718">
        <f>SUM(K48:K58)</f>
        <v>0</v>
      </c>
      <c r="L59" s="718">
        <f>SUM(L48:L58)</f>
        <v>0</v>
      </c>
      <c r="M59" s="718">
        <f>SUM(M48:M58)</f>
        <v>0</v>
      </c>
      <c r="N59" s="718">
        <f>SUM(N48:N58)</f>
        <v>0</v>
      </c>
      <c r="O59" s="718">
        <f>SUM(O48:O58)</f>
        <v>0</v>
      </c>
      <c r="P59" s="718"/>
      <c r="Q59" s="718">
        <f>SUM(Q48:Q58)</f>
        <v>0</v>
      </c>
      <c r="R59" s="718">
        <f>SUM(R48:R58)</f>
        <v>0</v>
      </c>
      <c r="S59" s="718">
        <f>SUM(S48:S58)</f>
        <v>0</v>
      </c>
      <c r="T59" s="718">
        <f>SUM(T48:T58)</f>
        <v>0</v>
      </c>
      <c r="U59" s="718">
        <f>SUM(U48:U58)</f>
        <v>0</v>
      </c>
      <c r="V59" s="105"/>
      <c r="W59" s="718">
        <f>SUM(W48:W58)</f>
        <v>0</v>
      </c>
      <c r="X59" s="718">
        <f>SUM(X48:X58)</f>
        <v>0</v>
      </c>
      <c r="Y59" s="718">
        <f>SUM(Y48:Y58)</f>
        <v>0</v>
      </c>
    </row>
    <row r="60" spans="2:25" ht="13">
      <c r="B60" s="773" t="s">
        <v>69</v>
      </c>
      <c r="C60" s="783"/>
      <c r="D60" s="780"/>
      <c r="E60" s="777"/>
      <c r="F60" s="199"/>
      <c r="G60" s="780"/>
      <c r="H60" s="152"/>
      <c r="I60" s="152"/>
      <c r="J60" s="152"/>
      <c r="K60" s="152"/>
      <c r="L60" s="152"/>
      <c r="M60" s="152"/>
      <c r="N60" s="152"/>
      <c r="O60" s="152"/>
      <c r="P60" s="718"/>
      <c r="Q60" s="152"/>
      <c r="R60" s="152"/>
      <c r="S60" s="152"/>
      <c r="T60" s="152"/>
      <c r="U60" s="152"/>
      <c r="V60" s="105"/>
      <c r="W60" s="152"/>
      <c r="X60" s="152"/>
      <c r="Y60" s="152"/>
    </row>
    <row r="61" spans="2:25" ht="13">
      <c r="B61" s="765" t="s">
        <v>39</v>
      </c>
      <c r="C61" s="778"/>
      <c r="D61" s="718">
        <f>D55-C57-C58-C59</f>
        <v>0</v>
      </c>
      <c r="E61" s="777"/>
      <c r="F61" s="778"/>
      <c r="G61" s="718">
        <f>G55-F57-F58-F59-F60</f>
        <v>0</v>
      </c>
      <c r="H61" s="152"/>
      <c r="I61" s="746" t="s">
        <v>89</v>
      </c>
      <c r="J61" s="749"/>
      <c r="K61" s="784">
        <f>K59*$J$61</f>
        <v>0</v>
      </c>
      <c r="L61" s="784">
        <f>L59*$J$61</f>
        <v>0</v>
      </c>
      <c r="M61" s="784">
        <f>M59*$J$61</f>
        <v>0</v>
      </c>
      <c r="N61" s="784">
        <f>N59*$J$61</f>
        <v>0</v>
      </c>
      <c r="O61" s="784">
        <f>O59*$J$61</f>
        <v>0</v>
      </c>
      <c r="P61" s="718"/>
      <c r="Q61" s="784">
        <f>Q59*$J$61</f>
        <v>0</v>
      </c>
      <c r="R61" s="784">
        <f>R59*$J$61</f>
        <v>0</v>
      </c>
      <c r="S61" s="784">
        <f>S59*$J$61</f>
        <v>0</v>
      </c>
      <c r="T61" s="784">
        <f>T59*$J$61</f>
        <v>0</v>
      </c>
      <c r="U61" s="784">
        <f>U59*$J$61</f>
        <v>0</v>
      </c>
      <c r="V61" s="105"/>
      <c r="W61" s="784">
        <f>W59*$J$61</f>
        <v>0</v>
      </c>
      <c r="X61" s="784">
        <f>X59*$J$61</f>
        <v>0</v>
      </c>
      <c r="Y61" s="784">
        <f>Y59*$J$61</f>
        <v>0</v>
      </c>
    </row>
    <row r="62" spans="2:25" ht="13">
      <c r="B62" s="765"/>
      <c r="C62" s="785"/>
      <c r="D62" s="772"/>
      <c r="E62" s="711"/>
      <c r="F62" s="785"/>
      <c r="G62" s="772"/>
      <c r="H62" s="152"/>
      <c r="I62" s="152"/>
      <c r="J62" s="152"/>
      <c r="K62" s="152"/>
      <c r="L62" s="152"/>
      <c r="M62" s="152"/>
      <c r="N62" s="152"/>
      <c r="O62" s="152"/>
      <c r="P62" s="718"/>
      <c r="Q62" s="152"/>
      <c r="R62" s="152"/>
      <c r="S62" s="152"/>
      <c r="T62" s="152"/>
      <c r="U62" s="152"/>
      <c r="V62" s="105"/>
      <c r="W62" s="152"/>
      <c r="X62" s="152"/>
      <c r="Y62" s="152"/>
    </row>
    <row r="63" spans="2:25" ht="13">
      <c r="B63" s="705" t="s">
        <v>80</v>
      </c>
      <c r="C63" s="786">
        <f>IF(C57=0,0,C57/$D$61)</f>
        <v>0</v>
      </c>
      <c r="D63" s="787"/>
      <c r="E63" s="711"/>
      <c r="F63" s="786">
        <f>IF(F57=0,0,F57/$G$61)</f>
        <v>0</v>
      </c>
      <c r="G63" s="787"/>
      <c r="H63" s="152"/>
      <c r="I63" s="746" t="s">
        <v>132</v>
      </c>
      <c r="J63" s="105"/>
      <c r="K63" s="788">
        <f>K61+K59</f>
        <v>0</v>
      </c>
      <c r="L63" s="788">
        <f>L61+L59</f>
        <v>0</v>
      </c>
      <c r="M63" s="788">
        <f>M61+M59</f>
        <v>0</v>
      </c>
      <c r="N63" s="788">
        <f>N61+N59</f>
        <v>0</v>
      </c>
      <c r="O63" s="788">
        <f>O61+O59</f>
        <v>0</v>
      </c>
      <c r="P63" s="718"/>
      <c r="Q63" s="788">
        <f>Q61+Q59</f>
        <v>0</v>
      </c>
      <c r="R63" s="788">
        <f>R61+R59</f>
        <v>0</v>
      </c>
      <c r="S63" s="788">
        <f>S61+S59</f>
        <v>0</v>
      </c>
      <c r="T63" s="788">
        <f>T61+T59</f>
        <v>0</v>
      </c>
      <c r="U63" s="788">
        <f>U61+U59</f>
        <v>0</v>
      </c>
      <c r="V63" s="105"/>
      <c r="W63" s="788">
        <f>W61+W59</f>
        <v>0</v>
      </c>
      <c r="X63" s="788">
        <f>X61+X59</f>
        <v>0</v>
      </c>
      <c r="Y63" s="788">
        <f>Y61+Y59</f>
        <v>0</v>
      </c>
    </row>
    <row r="64" spans="2:25" ht="13">
      <c r="B64" s="705" t="s">
        <v>32</v>
      </c>
      <c r="C64" s="786">
        <f>IF(C58=0,0,C58/$D$61)</f>
        <v>0</v>
      </c>
      <c r="D64" s="787"/>
      <c r="E64" s="711"/>
      <c r="F64" s="786">
        <f>IF(F58=0,0,F58/$G$61)</f>
        <v>0</v>
      </c>
      <c r="G64" s="787"/>
      <c r="H64" s="152"/>
      <c r="I64" s="789"/>
      <c r="J64" s="105"/>
      <c r="K64" s="105"/>
      <c r="L64" s="105"/>
      <c r="M64" s="105"/>
      <c r="N64" s="105"/>
      <c r="O64" s="105"/>
      <c r="P64" s="718"/>
      <c r="Q64" s="105"/>
      <c r="R64" s="105"/>
      <c r="S64" s="105"/>
      <c r="T64" s="105"/>
      <c r="U64" s="105"/>
      <c r="V64" s="105"/>
      <c r="W64" s="105"/>
      <c r="X64" s="105"/>
      <c r="Y64" s="105"/>
    </row>
    <row r="65" spans="2:25" ht="13">
      <c r="B65" s="705" t="s">
        <v>136</v>
      </c>
      <c r="C65" s="786">
        <f>IF(C59=0,0,C59/$D$61)</f>
        <v>0</v>
      </c>
      <c r="D65" s="787"/>
      <c r="E65" s="711"/>
      <c r="F65" s="786">
        <f>IF(F59=0,0,F59/$G$61)</f>
        <v>0</v>
      </c>
      <c r="G65" s="787"/>
      <c r="H65" s="152"/>
      <c r="I65" s="746" t="s">
        <v>1250</v>
      </c>
      <c r="J65" s="105"/>
      <c r="K65" s="788">
        <f>K$43*30%+K63</f>
        <v>0</v>
      </c>
      <c r="L65" s="788">
        <f>L$43*30%+L63</f>
        <v>0</v>
      </c>
      <c r="M65" s="788">
        <f>M$43*30%+M63</f>
        <v>0</v>
      </c>
      <c r="N65" s="788">
        <f>N$43*30%+N63</f>
        <v>0</v>
      </c>
      <c r="O65" s="788">
        <f>O$43*30%+O63</f>
        <v>0</v>
      </c>
      <c r="P65" s="718"/>
      <c r="Q65" s="788">
        <f>Q$43*30%+Q63</f>
        <v>0</v>
      </c>
      <c r="R65" s="788">
        <f>R$43*30%+R63</f>
        <v>0</v>
      </c>
      <c r="S65" s="788">
        <f>S$43*30%+S63</f>
        <v>0</v>
      </c>
      <c r="T65" s="788">
        <f>T$43*30%+T63</f>
        <v>0</v>
      </c>
      <c r="U65" s="788">
        <f>U$43*30%+U63</f>
        <v>0</v>
      </c>
      <c r="V65" s="105"/>
      <c r="W65" s="788">
        <f>W$43*30%+W63</f>
        <v>0</v>
      </c>
      <c r="X65" s="788">
        <f>X$43*30%+X63</f>
        <v>0</v>
      </c>
      <c r="Y65" s="788">
        <f>Y$43*30%+Y63</f>
        <v>0</v>
      </c>
    </row>
    <row r="66" spans="2:25" ht="13">
      <c r="B66" s="705" t="s">
        <v>69</v>
      </c>
      <c r="C66" s="790">
        <f>IF(C60=0,0,C60/$D$61)</f>
        <v>0</v>
      </c>
      <c r="D66" s="787"/>
      <c r="E66" s="711"/>
      <c r="F66" s="786">
        <f>IF(F60=0,0,F60/$G$61)</f>
        <v>0</v>
      </c>
      <c r="G66" s="787"/>
      <c r="H66" s="152"/>
      <c r="I66" s="789"/>
      <c r="J66" s="105"/>
      <c r="K66" s="105"/>
      <c r="L66" s="105"/>
      <c r="M66" s="105"/>
      <c r="N66" s="105"/>
      <c r="O66" s="105"/>
      <c r="P66" s="718"/>
      <c r="Q66" s="105"/>
      <c r="R66" s="105"/>
      <c r="S66" s="105"/>
      <c r="T66" s="105"/>
      <c r="U66" s="105"/>
      <c r="V66" s="105"/>
      <c r="W66" s="105"/>
      <c r="X66" s="105"/>
      <c r="Y66" s="105"/>
    </row>
    <row r="67" spans="2:25" ht="13">
      <c r="B67" s="713"/>
      <c r="C67" s="713" t="s">
        <v>0</v>
      </c>
      <c r="D67" s="753">
        <f>SUM(C63:C65)</f>
        <v>0</v>
      </c>
      <c r="E67" s="734"/>
      <c r="F67" s="713"/>
      <c r="G67" s="753">
        <f>SUM(F63:F65)</f>
        <v>0</v>
      </c>
      <c r="H67" s="152"/>
      <c r="I67" s="746" t="s">
        <v>1251</v>
      </c>
      <c r="J67" s="105"/>
      <c r="K67" s="788">
        <f>K$43*50%+K63</f>
        <v>0</v>
      </c>
      <c r="L67" s="788">
        <f>L$43*50%+L63</f>
        <v>0</v>
      </c>
      <c r="M67" s="788">
        <f>M$43*50%+M63</f>
        <v>0</v>
      </c>
      <c r="N67" s="788">
        <f>N$43*50%+N63</f>
        <v>0</v>
      </c>
      <c r="O67" s="788">
        <f>O$43*50%+O63</f>
        <v>0</v>
      </c>
      <c r="P67" s="718"/>
      <c r="Q67" s="788">
        <f>Q$43*50%+Q63</f>
        <v>0</v>
      </c>
      <c r="R67" s="788">
        <f>R$43*50%+R63</f>
        <v>0</v>
      </c>
      <c r="S67" s="788">
        <f>S$43*50%+S63</f>
        <v>0</v>
      </c>
      <c r="T67" s="788">
        <f>T$43*50%+T63</f>
        <v>0</v>
      </c>
      <c r="U67" s="788">
        <f>U$43*50%+U63</f>
        <v>0</v>
      </c>
      <c r="V67" s="105"/>
      <c r="W67" s="788">
        <f>W$43*50%+W63</f>
        <v>0</v>
      </c>
      <c r="X67" s="788">
        <f>X$43*50%+X63</f>
        <v>0</v>
      </c>
      <c r="Y67" s="788">
        <f>Y$43*50%+Y63</f>
        <v>0</v>
      </c>
    </row>
    <row r="68" spans="2:25" ht="13">
      <c r="H68" s="152"/>
      <c r="I68" s="789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</row>
    <row r="69" spans="2:25" ht="13">
      <c r="H69" s="152"/>
      <c r="I69" s="746" t="s">
        <v>1252</v>
      </c>
      <c r="J69" s="105"/>
      <c r="K69" s="788">
        <f>K$43*150%+K63</f>
        <v>0</v>
      </c>
      <c r="L69" s="788">
        <f>L$43*150%+L63</f>
        <v>0</v>
      </c>
      <c r="M69" s="788">
        <f>M$43*150%+M63</f>
        <v>0</v>
      </c>
      <c r="N69" s="788">
        <f>N$43*150%+N63</f>
        <v>0</v>
      </c>
      <c r="O69" s="788">
        <f>O$43*150%+O63</f>
        <v>0</v>
      </c>
      <c r="P69" s="788"/>
      <c r="Q69" s="788">
        <f>Q$43*150%+Q63</f>
        <v>0</v>
      </c>
      <c r="R69" s="788">
        <f>R$43*150%+R63</f>
        <v>0</v>
      </c>
      <c r="S69" s="788">
        <f>S$43*150%+S63</f>
        <v>0</v>
      </c>
      <c r="T69" s="788">
        <f>T$43*150%+T63</f>
        <v>0</v>
      </c>
      <c r="U69" s="788">
        <f>U$43*150%+U63</f>
        <v>0</v>
      </c>
      <c r="V69" s="105"/>
      <c r="W69" s="788">
        <f>W$43*150%+W63</f>
        <v>0</v>
      </c>
      <c r="X69" s="788">
        <f>X$43*150%+X63</f>
        <v>0</v>
      </c>
      <c r="Y69" s="788">
        <f>Y$43*150%+Y63</f>
        <v>0</v>
      </c>
    </row>
    <row r="70" spans="2:25" ht="13">
      <c r="H70" s="152"/>
      <c r="I70" s="152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</row>
    <row r="71" spans="2:25" ht="13">
      <c r="H71" s="791"/>
      <c r="I71" s="152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</row>
    <row r="72" spans="2:25" ht="13"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</row>
    <row r="73" spans="2:25" ht="13"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</row>
    <row r="74" spans="2:25" ht="13">
      <c r="H74" s="105"/>
      <c r="I74" s="105"/>
      <c r="J74" s="105"/>
      <c r="K74" s="792"/>
      <c r="L74" s="770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</row>
    <row r="75" spans="2:25" ht="13">
      <c r="H75" s="105"/>
      <c r="I75" s="105"/>
      <c r="J75" s="105"/>
      <c r="K75" s="793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</row>
    <row r="76" spans="2:25" ht="21.75" customHeight="1">
      <c r="H76" s="105"/>
      <c r="I76" s="105"/>
      <c r="J76" s="105"/>
      <c r="K76" s="794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</row>
    <row r="77" spans="2:25" ht="13" hidden="1">
      <c r="B77" s="765"/>
      <c r="C77" s="765"/>
      <c r="D77" s="734"/>
      <c r="E77" s="734"/>
      <c r="F77" s="734"/>
      <c r="G77" s="734"/>
      <c r="H77" s="105"/>
      <c r="I77" s="105"/>
      <c r="J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</row>
    <row r="78" spans="2:25" ht="11" hidden="1" customHeight="1">
      <c r="B78" s="705"/>
      <c r="C78" s="705"/>
      <c r="D78" s="705"/>
      <c r="E78" s="711"/>
      <c r="F78" s="711"/>
      <c r="G78" s="7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</row>
    <row r="79" spans="2:25" ht="13" hidden="1">
      <c r="B79" s="705"/>
      <c r="C79" s="705"/>
      <c r="D79" s="705"/>
      <c r="E79" s="711"/>
      <c r="F79" s="711"/>
      <c r="G79" s="705"/>
      <c r="H79" s="105"/>
      <c r="I79" s="105"/>
      <c r="J79" s="105"/>
      <c r="K79" s="202">
        <f>SUM(K37:U37)</f>
        <v>0</v>
      </c>
      <c r="L79" s="202">
        <f>SUM(W37:Y37)</f>
        <v>0</v>
      </c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</row>
    <row r="80" spans="2:25" ht="13" hidden="1">
      <c r="B80" s="705"/>
      <c r="C80" s="705"/>
      <c r="D80" s="705"/>
      <c r="E80" s="711"/>
      <c r="F80" s="711"/>
      <c r="G80" s="705"/>
      <c r="H80" s="105"/>
      <c r="I80" s="105"/>
      <c r="J80" s="105"/>
      <c r="K80" s="202">
        <f>COUNT(K37:U37)-COUNTIF(K37:U37,0)</f>
        <v>0</v>
      </c>
      <c r="L80" s="202">
        <f>COUNT(W37:Y37)-COUNTIF(W37:Y37,0)</f>
        <v>0</v>
      </c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</row>
    <row r="81" spans="2:25" ht="13" hidden="1">
      <c r="B81" s="705"/>
      <c r="C81" s="705"/>
      <c r="D81" s="705"/>
      <c r="E81" s="711"/>
      <c r="F81" s="711"/>
      <c r="G81" s="705"/>
      <c r="H81" s="105"/>
      <c r="I81" s="105"/>
      <c r="J81" s="105"/>
      <c r="K81" s="105">
        <f>IF(K79=0,0,K79/K80)</f>
        <v>0</v>
      </c>
      <c r="L81" s="105">
        <f>IF(L79=0,0,L79/L80)</f>
        <v>0</v>
      </c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</row>
    <row r="82" spans="2:25" ht="13" hidden="1">
      <c r="B82" s="705"/>
      <c r="C82" s="705"/>
      <c r="D82" s="705"/>
      <c r="E82" s="711"/>
      <c r="F82" s="711"/>
      <c r="G82" s="7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2:25" ht="13" hidden="1">
      <c r="B83" s="705"/>
      <c r="C83" s="705"/>
      <c r="D83" s="705"/>
      <c r="E83" s="711"/>
      <c r="F83" s="711"/>
      <c r="G83" s="7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</row>
    <row r="84" spans="2:25" ht="13" hidden="1">
      <c r="B84" s="696"/>
      <c r="C84" s="696" t="s">
        <v>244</v>
      </c>
      <c r="D84" s="696"/>
      <c r="E84" s="705"/>
      <c r="F84" s="705"/>
      <c r="G84" s="7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</row>
    <row r="85" spans="2:25" ht="13" hidden="1">
      <c r="C85" s="795" t="s">
        <v>209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</row>
    <row r="86" spans="2:25" ht="13" hidden="1">
      <c r="C86" s="795" t="s">
        <v>210</v>
      </c>
      <c r="H86" s="200" t="s">
        <v>242</v>
      </c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</row>
    <row r="87" spans="2:25" ht="13" hidden="1">
      <c r="C87" s="795" t="s">
        <v>211</v>
      </c>
      <c r="H87" s="703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</row>
    <row r="88" spans="2:25" ht="13" hidden="1">
      <c r="C88" s="795"/>
      <c r="H88" s="200" t="s">
        <v>280</v>
      </c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</row>
    <row r="89" spans="2:25" ht="13" hidden="1">
      <c r="C89" s="795"/>
      <c r="H89" s="200" t="s">
        <v>284</v>
      </c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</row>
    <row r="90" spans="2:25" ht="13" hidden="1">
      <c r="C90" s="795"/>
      <c r="H90" s="200" t="s">
        <v>285</v>
      </c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</row>
    <row r="91" spans="2:25" ht="13" hidden="1">
      <c r="C91" s="795"/>
      <c r="H91" s="200" t="s">
        <v>286</v>
      </c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</row>
    <row r="92" spans="2:25" ht="13" hidden="1">
      <c r="C92" s="795"/>
      <c r="H92" s="200" t="s">
        <v>287</v>
      </c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</row>
    <row r="93" spans="2:25" ht="13" hidden="1">
      <c r="C93" s="795"/>
      <c r="H93" s="200" t="s">
        <v>281</v>
      </c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</row>
    <row r="94" spans="2:25" ht="13" hidden="1">
      <c r="H94" s="200" t="s">
        <v>288</v>
      </c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</row>
    <row r="95" spans="2:25" ht="13" hidden="1">
      <c r="H95" s="200" t="s">
        <v>289</v>
      </c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</row>
    <row r="96" spans="2:25" ht="13" hidden="1">
      <c r="H96" s="200" t="s">
        <v>290</v>
      </c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</row>
    <row r="97" spans="8:25" ht="13" hidden="1">
      <c r="H97" s="200" t="s">
        <v>291</v>
      </c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</row>
    <row r="98" spans="8:25" ht="13" hidden="1">
      <c r="H98" s="200" t="s">
        <v>292</v>
      </c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</row>
    <row r="99" spans="8:25" ht="13" hidden="1">
      <c r="H99" s="200" t="s">
        <v>293</v>
      </c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</row>
    <row r="100" spans="8:25" ht="13" hidden="1">
      <c r="H100" s="200" t="s">
        <v>294</v>
      </c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</row>
    <row r="101" spans="8:25" ht="13" hidden="1">
      <c r="H101" s="200" t="s">
        <v>295</v>
      </c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</row>
    <row r="102" spans="8:25" ht="13" hidden="1">
      <c r="H102" s="200" t="s">
        <v>296</v>
      </c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</row>
    <row r="103" spans="8:25" ht="13" hidden="1">
      <c r="H103" s="200" t="s">
        <v>297</v>
      </c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</row>
    <row r="104" spans="8:25" ht="13" hidden="1">
      <c r="H104" s="200" t="s">
        <v>298</v>
      </c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</row>
    <row r="105" spans="8:25" ht="13" hidden="1">
      <c r="H105" s="200" t="s">
        <v>299</v>
      </c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</row>
    <row r="106" spans="8:25" ht="13" hidden="1">
      <c r="H106" s="200" t="s">
        <v>300</v>
      </c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</row>
    <row r="107" spans="8:25" ht="13" hidden="1">
      <c r="H107" s="200" t="s">
        <v>301</v>
      </c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</row>
    <row r="108" spans="8:25" ht="13.25" hidden="1" customHeight="1">
      <c r="H108" s="200" t="s">
        <v>302</v>
      </c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</row>
    <row r="109" spans="8:25" ht="13.25" hidden="1" customHeight="1">
      <c r="H109" s="200" t="s">
        <v>303</v>
      </c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</row>
    <row r="110" spans="8:25" ht="13.25" hidden="1" customHeight="1">
      <c r="H110" s="200" t="s">
        <v>304</v>
      </c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</row>
    <row r="111" spans="8:25" ht="13.25" hidden="1" customHeight="1">
      <c r="H111" s="200" t="s">
        <v>305</v>
      </c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</row>
    <row r="112" spans="8:25" ht="13.25" hidden="1" customHeight="1">
      <c r="H112" s="200" t="s">
        <v>306</v>
      </c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</row>
    <row r="113" spans="8:25" ht="13.25" hidden="1" customHeight="1">
      <c r="H113" s="200" t="s">
        <v>307</v>
      </c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</row>
    <row r="114" spans="8:25" ht="13.25" hidden="1" customHeight="1">
      <c r="H114" s="200" t="s">
        <v>308</v>
      </c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</row>
    <row r="115" spans="8:25" ht="13.25" hidden="1" customHeight="1">
      <c r="H115" s="200" t="s">
        <v>309</v>
      </c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8:25" ht="13.25" hidden="1" customHeight="1">
      <c r="H116" s="200" t="s">
        <v>310</v>
      </c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</row>
    <row r="117" spans="8:25" ht="13.25" hidden="1" customHeight="1">
      <c r="H117" s="200" t="s">
        <v>311</v>
      </c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</row>
    <row r="118" spans="8:25" ht="13.25" hidden="1" customHeight="1">
      <c r="H118" s="200" t="s">
        <v>312</v>
      </c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</row>
    <row r="119" spans="8:25" ht="13.25" hidden="1" customHeight="1">
      <c r="H119" s="200" t="s">
        <v>313</v>
      </c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</row>
    <row r="120" spans="8:25" ht="13.25" hidden="1" customHeight="1">
      <c r="H120" s="200" t="s">
        <v>314</v>
      </c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</row>
    <row r="121" spans="8:25" ht="13.25" hidden="1" customHeight="1">
      <c r="H121" s="200" t="s">
        <v>315</v>
      </c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</row>
    <row r="122" spans="8:25" ht="13.25" hidden="1" customHeight="1">
      <c r="H122" s="200" t="s">
        <v>316</v>
      </c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</row>
    <row r="123" spans="8:25" ht="13.25" hidden="1" customHeight="1">
      <c r="H123" s="200" t="s">
        <v>317</v>
      </c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</row>
    <row r="124" spans="8:25" ht="13.25" hidden="1" customHeight="1">
      <c r="H124" s="200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</row>
    <row r="125" spans="8:25" ht="13.25" hidden="1" customHeight="1">
      <c r="H125" s="200" t="s">
        <v>282</v>
      </c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</row>
    <row r="126" spans="8:25" ht="13.25" hidden="1" customHeight="1">
      <c r="H126" s="796">
        <v>1</v>
      </c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</row>
    <row r="127" spans="8:25" ht="13.25" hidden="1" customHeight="1">
      <c r="H127" s="200">
        <v>2</v>
      </c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</row>
    <row r="128" spans="8:25" ht="13.25" hidden="1" customHeight="1">
      <c r="H128" s="200">
        <v>3</v>
      </c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</row>
    <row r="129" spans="8:25" ht="13.25" hidden="1" customHeight="1">
      <c r="H129" s="200">
        <v>4</v>
      </c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</row>
    <row r="130" spans="8:25" ht="13.25" hidden="1" customHeight="1">
      <c r="H130" s="200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</row>
    <row r="131" spans="8:25" ht="13.25" hidden="1" customHeight="1">
      <c r="H131" s="200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</row>
    <row r="132" spans="8:25" ht="13.25" hidden="1" customHeight="1">
      <c r="H132" s="200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</row>
    <row r="133" spans="8:25" ht="13.25" hidden="1" customHeight="1">
      <c r="H133" s="200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</row>
    <row r="134" spans="8:25" ht="13.25" hidden="1" customHeight="1">
      <c r="H134" s="200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</row>
    <row r="135" spans="8:25" ht="13.25" hidden="1" customHeight="1">
      <c r="H135" s="200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</row>
    <row r="136" spans="8:25" ht="13.25" hidden="1" customHeight="1">
      <c r="H136" s="200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</row>
    <row r="137" spans="8:25" ht="13.25" hidden="1" customHeight="1">
      <c r="H137" s="200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</row>
    <row r="138" spans="8:25" ht="13.25" hidden="1" customHeight="1">
      <c r="H138" s="200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</row>
    <row r="139" spans="8:25" ht="13.25" hidden="1" customHeight="1">
      <c r="H139" s="200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</row>
    <row r="140" spans="8:25" ht="13.25" hidden="1" customHeight="1">
      <c r="H140" s="200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</row>
    <row r="141" spans="8:25" ht="13.25" hidden="1" customHeight="1">
      <c r="H141" s="200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</row>
    <row r="142" spans="8:25" ht="13.25" hidden="1" customHeight="1">
      <c r="H142" s="200"/>
      <c r="I142" s="797"/>
      <c r="J142" s="105"/>
      <c r="K142" s="105"/>
      <c r="L142" s="105"/>
      <c r="M142" s="105"/>
    </row>
    <row r="143" spans="8:25" ht="13.25" hidden="1" customHeight="1">
      <c r="H143" s="200"/>
      <c r="I143" s="797"/>
      <c r="J143" s="105"/>
      <c r="K143" s="105"/>
      <c r="L143" s="105"/>
      <c r="M143" s="105"/>
    </row>
    <row r="144" spans="8:25" ht="13.25" customHeight="1">
      <c r="H144" s="200"/>
      <c r="I144" s="797"/>
      <c r="J144" s="105"/>
      <c r="K144" s="105"/>
      <c r="L144" s="105"/>
      <c r="M144" s="105"/>
    </row>
    <row r="145" spans="8:13" ht="13.25" customHeight="1">
      <c r="H145" s="200"/>
      <c r="I145" s="797"/>
      <c r="J145" s="105"/>
      <c r="K145" s="105"/>
      <c r="L145" s="105"/>
      <c r="M145" s="105"/>
    </row>
    <row r="146" spans="8:13" ht="13.25" customHeight="1">
      <c r="H146" s="200"/>
      <c r="I146" s="797"/>
      <c r="J146" s="105"/>
      <c r="K146" s="105"/>
      <c r="L146" s="105"/>
      <c r="M146" s="105"/>
    </row>
    <row r="147" spans="8:13" ht="13.25" customHeight="1">
      <c r="H147" s="200"/>
      <c r="I147" s="797"/>
      <c r="J147" s="105"/>
      <c r="K147" s="105"/>
      <c r="L147" s="105"/>
      <c r="M147" s="105"/>
    </row>
    <row r="148" spans="8:13" ht="13.25" customHeight="1">
      <c r="H148" s="200"/>
      <c r="I148" s="797"/>
      <c r="J148" s="105"/>
      <c r="K148" s="105"/>
      <c r="L148" s="105"/>
      <c r="M148" s="105"/>
    </row>
    <row r="149" spans="8:13" ht="13.25" customHeight="1">
      <c r="H149" s="200"/>
      <c r="I149" s="797"/>
      <c r="J149" s="105"/>
      <c r="K149" s="105"/>
      <c r="L149" s="105"/>
      <c r="M149" s="105"/>
    </row>
    <row r="150" spans="8:13" ht="13.25" customHeight="1">
      <c r="H150" s="200"/>
      <c r="I150" s="797"/>
      <c r="J150" s="105"/>
      <c r="K150" s="105"/>
      <c r="L150" s="105"/>
      <c r="M150" s="105"/>
    </row>
    <row r="151" spans="8:13" ht="13.25" customHeight="1">
      <c r="H151" s="200"/>
      <c r="I151" s="797"/>
      <c r="J151" s="105"/>
      <c r="K151" s="105"/>
      <c r="L151" s="105"/>
      <c r="M151" s="105"/>
    </row>
    <row r="152" spans="8:13" ht="13.25" customHeight="1">
      <c r="H152" s="200"/>
      <c r="I152" s="797"/>
      <c r="J152" s="105"/>
      <c r="K152" s="105"/>
      <c r="L152" s="105"/>
      <c r="M152" s="105"/>
    </row>
    <row r="153" spans="8:13" ht="13.25" customHeight="1">
      <c r="H153" s="200"/>
      <c r="I153" s="797"/>
      <c r="J153" s="105"/>
      <c r="K153" s="105"/>
      <c r="L153" s="105"/>
      <c r="M153" s="105"/>
    </row>
    <row r="154" spans="8:13" ht="13.25" customHeight="1">
      <c r="H154" s="200"/>
      <c r="I154" s="797"/>
      <c r="J154" s="105"/>
      <c r="K154" s="105"/>
      <c r="L154" s="105"/>
      <c r="M154" s="105"/>
    </row>
    <row r="155" spans="8:13" ht="13.25" customHeight="1">
      <c r="H155" s="200"/>
      <c r="I155" s="797"/>
      <c r="J155" s="105"/>
      <c r="K155" s="105"/>
      <c r="L155" s="105"/>
      <c r="M155" s="105"/>
    </row>
    <row r="156" spans="8:13" ht="13.25" customHeight="1">
      <c r="H156" s="200"/>
      <c r="I156" s="797"/>
      <c r="J156" s="105"/>
      <c r="K156" s="105"/>
      <c r="L156" s="105"/>
      <c r="M156" s="105"/>
    </row>
    <row r="157" spans="8:13" ht="13.25" customHeight="1">
      <c r="K157" s="200"/>
    </row>
  </sheetData>
  <dataConsolidate/>
  <mergeCells count="5">
    <mergeCell ref="C9:D9"/>
    <mergeCell ref="K12:O12"/>
    <mergeCell ref="Q12:U12"/>
    <mergeCell ref="W12:Y12"/>
    <mergeCell ref="C8:D8"/>
  </mergeCells>
  <conditionalFormatting sqref="C43">
    <cfRule type="expression" dxfId="310" priority="246">
      <formula>"D40=&gt;0"</formula>
    </cfRule>
  </conditionalFormatting>
  <conditionalFormatting sqref="G55">
    <cfRule type="cellIs" dxfId="309" priority="244" operator="greaterThan">
      <formula>0</formula>
    </cfRule>
  </conditionalFormatting>
  <conditionalFormatting sqref="G61">
    <cfRule type="cellIs" dxfId="308" priority="243" operator="greaterThan">
      <formula>0</formula>
    </cfRule>
  </conditionalFormatting>
  <conditionalFormatting sqref="G11">
    <cfRule type="cellIs" dxfId="307" priority="242" operator="greaterThan">
      <formula>0</formula>
    </cfRule>
  </conditionalFormatting>
  <conditionalFormatting sqref="G12">
    <cfRule type="cellIs" dxfId="306" priority="241" operator="greaterThan">
      <formula>0</formula>
    </cfRule>
  </conditionalFormatting>
  <conditionalFormatting sqref="D67">
    <cfRule type="cellIs" dxfId="305" priority="240" operator="greaterThan">
      <formula>0</formula>
    </cfRule>
  </conditionalFormatting>
  <conditionalFormatting sqref="G67">
    <cfRule type="cellIs" dxfId="304" priority="239" operator="greaterThan">
      <formula>0</formula>
    </cfRule>
  </conditionalFormatting>
  <conditionalFormatting sqref="D55">
    <cfRule type="cellIs" dxfId="303" priority="238" operator="greaterThan">
      <formula>0</formula>
    </cfRule>
  </conditionalFormatting>
  <conditionalFormatting sqref="D61">
    <cfRule type="cellIs" dxfId="302" priority="237" operator="greaterThan">
      <formula>0</formula>
    </cfRule>
  </conditionalFormatting>
  <conditionalFormatting sqref="C63">
    <cfRule type="cellIs" dxfId="301" priority="236" operator="greaterThan">
      <formula>0</formula>
    </cfRule>
  </conditionalFormatting>
  <conditionalFormatting sqref="F63">
    <cfRule type="cellIs" dxfId="300" priority="235" operator="greaterThan">
      <formula>0</formula>
    </cfRule>
  </conditionalFormatting>
  <conditionalFormatting sqref="C64">
    <cfRule type="cellIs" dxfId="299" priority="234" operator="greaterThan">
      <formula>0</formula>
    </cfRule>
  </conditionalFormatting>
  <conditionalFormatting sqref="C65">
    <cfRule type="cellIs" dxfId="298" priority="233" operator="greaterThan">
      <formula>0</formula>
    </cfRule>
  </conditionalFormatting>
  <conditionalFormatting sqref="F64">
    <cfRule type="cellIs" dxfId="297" priority="232" operator="greaterThan">
      <formula>0</formula>
    </cfRule>
  </conditionalFormatting>
  <conditionalFormatting sqref="F65">
    <cfRule type="cellIs" dxfId="296" priority="231" operator="greaterThan">
      <formula>0</formula>
    </cfRule>
  </conditionalFormatting>
  <conditionalFormatting sqref="F66">
    <cfRule type="cellIs" dxfId="295" priority="230" operator="greaterThan">
      <formula>0</formula>
    </cfRule>
  </conditionalFormatting>
  <conditionalFormatting sqref="D45">
    <cfRule type="cellIs" dxfId="294" priority="229" operator="greaterThan">
      <formula>0</formula>
    </cfRule>
  </conditionalFormatting>
  <conditionalFormatting sqref="K31 K33 J37 K38">
    <cfRule type="cellIs" dxfId="293" priority="228" operator="greaterThan">
      <formula>0</formula>
    </cfRule>
  </conditionalFormatting>
  <conditionalFormatting sqref="L33 L38 L42:L43 L61 L40 L48 L63:L69 L35">
    <cfRule type="cellIs" dxfId="292" priority="227" operator="greaterThan">
      <formula>0</formula>
    </cfRule>
  </conditionalFormatting>
  <conditionalFormatting sqref="K43">
    <cfRule type="cellIs" dxfId="291" priority="222" operator="greaterThan">
      <formula>0</formula>
    </cfRule>
  </conditionalFormatting>
  <conditionalFormatting sqref="K61">
    <cfRule type="cellIs" dxfId="290" priority="220" operator="greaterThan">
      <formula>0</formula>
    </cfRule>
  </conditionalFormatting>
  <conditionalFormatting sqref="K63:K69">
    <cfRule type="cellIs" dxfId="289" priority="218" operator="greaterThan">
      <formula>0</formula>
    </cfRule>
  </conditionalFormatting>
  <conditionalFormatting sqref="J38">
    <cfRule type="cellIs" dxfId="288" priority="226" stopIfTrue="1" operator="lessThanOrEqual">
      <formula>0</formula>
    </cfRule>
  </conditionalFormatting>
  <conditionalFormatting sqref="J42">
    <cfRule type="cellIs" dxfId="287" priority="225" stopIfTrue="1" operator="lessThanOrEqual">
      <formula>0</formula>
    </cfRule>
  </conditionalFormatting>
  <conditionalFormatting sqref="K25">
    <cfRule type="cellIs" dxfId="286" priority="224" operator="greaterThan">
      <formula>0</formula>
    </cfRule>
  </conditionalFormatting>
  <conditionalFormatting sqref="K40">
    <cfRule type="cellIs" dxfId="285" priority="223" operator="greaterThan">
      <formula>0</formula>
    </cfRule>
  </conditionalFormatting>
  <conditionalFormatting sqref="K48">
    <cfRule type="cellIs" dxfId="284" priority="221" operator="greaterThan">
      <formula>0</formula>
    </cfRule>
  </conditionalFormatting>
  <conditionalFormatting sqref="K28">
    <cfRule type="cellIs" dxfId="283" priority="215" operator="greaterThan">
      <formula>0</formula>
    </cfRule>
  </conditionalFormatting>
  <conditionalFormatting sqref="K59">
    <cfRule type="cellIs" dxfId="282" priority="219" operator="greaterThan">
      <formula>0</formula>
    </cfRule>
  </conditionalFormatting>
  <conditionalFormatting sqref="K42">
    <cfRule type="cellIs" dxfId="281" priority="217" operator="greaterThan">
      <formula>0</formula>
    </cfRule>
  </conditionalFormatting>
  <conditionalFormatting sqref="K35">
    <cfRule type="cellIs" dxfId="280" priority="216" operator="greaterThan">
      <formula>0</formula>
    </cfRule>
  </conditionalFormatting>
  <conditionalFormatting sqref="K26">
    <cfRule type="cellIs" dxfId="279" priority="214" operator="greaterThan">
      <formula>0</formula>
    </cfRule>
  </conditionalFormatting>
  <conditionalFormatting sqref="K27">
    <cfRule type="cellIs" dxfId="278" priority="213" operator="greaterThan">
      <formula>0</formula>
    </cfRule>
  </conditionalFormatting>
  <conditionalFormatting sqref="M33 M38 M42:M43 M61 M40 M48 M63:M69 M35">
    <cfRule type="cellIs" dxfId="277" priority="212" operator="greaterThan">
      <formula>0</formula>
    </cfRule>
  </conditionalFormatting>
  <conditionalFormatting sqref="N33 N38 N42:N43 N61 N40 N48 N63:N69 N35">
    <cfRule type="cellIs" dxfId="276" priority="211" operator="greaterThan">
      <formula>0</formula>
    </cfRule>
  </conditionalFormatting>
  <conditionalFormatting sqref="O33:P33 O38:P38 O42:P43 O61 O40:P40 O48 O68:P69 O35:P35 O63:O67 P44 P47:P49 P57:P67">
    <cfRule type="cellIs" dxfId="275" priority="210" operator="greaterThan">
      <formula>0</formula>
    </cfRule>
  </conditionalFormatting>
  <conditionalFormatting sqref="W57">
    <cfRule type="cellIs" dxfId="274" priority="198" operator="greaterThan">
      <formula>0</formula>
    </cfRule>
  </conditionalFormatting>
  <conditionalFormatting sqref="Q33 Q38 Q42:Q43 Q61 Q40 Q63:Q69 Q35 Q28">
    <cfRule type="cellIs" dxfId="273" priority="209" operator="greaterThan">
      <formula>0</formula>
    </cfRule>
  </conditionalFormatting>
  <conditionalFormatting sqref="Q25:Q27">
    <cfRule type="cellIs" dxfId="272" priority="208" operator="greaterThan">
      <formula>0</formula>
    </cfRule>
  </conditionalFormatting>
  <conditionalFormatting sqref="Y50:Y57">
    <cfRule type="cellIs" dxfId="271" priority="193" operator="greaterThan">
      <formula>0</formula>
    </cfRule>
  </conditionalFormatting>
  <conditionalFormatting sqref="X57">
    <cfRule type="cellIs" dxfId="270" priority="196" operator="greaterThan">
      <formula>0</formula>
    </cfRule>
  </conditionalFormatting>
  <conditionalFormatting sqref="R33 R38 R42:R43 R61 R40 R48 R63:R69 R35 R28">
    <cfRule type="cellIs" dxfId="269" priority="207" operator="greaterThan">
      <formula>0</formula>
    </cfRule>
  </conditionalFormatting>
  <conditionalFormatting sqref="R25:R27">
    <cfRule type="cellIs" dxfId="268" priority="206" operator="greaterThan">
      <formula>0</formula>
    </cfRule>
  </conditionalFormatting>
  <conditionalFormatting sqref="S33 S38 S42:S43 S61 S40 S48 S63:S69 S35 S28">
    <cfRule type="cellIs" dxfId="267" priority="205" operator="greaterThan">
      <formula>0</formula>
    </cfRule>
  </conditionalFormatting>
  <conditionalFormatting sqref="S25:S27">
    <cfRule type="cellIs" dxfId="266" priority="204" operator="greaterThan">
      <formula>0</formula>
    </cfRule>
  </conditionalFormatting>
  <conditionalFormatting sqref="T33 T38 T42:T43 T61 T40 T48 T63:T69 T35 T28">
    <cfRule type="cellIs" dxfId="265" priority="203" operator="greaterThan">
      <formula>0</formula>
    </cfRule>
  </conditionalFormatting>
  <conditionalFormatting sqref="T25:T27">
    <cfRule type="cellIs" dxfId="264" priority="202" operator="greaterThan">
      <formula>0</formula>
    </cfRule>
  </conditionalFormatting>
  <conditionalFormatting sqref="U33 U38 U42:U43 U61 U40 U48 U63:U69 U35 U28">
    <cfRule type="cellIs" dxfId="263" priority="201" operator="greaterThan">
      <formula>0</formula>
    </cfRule>
  </conditionalFormatting>
  <conditionalFormatting sqref="U25:U27">
    <cfRule type="cellIs" dxfId="262" priority="200" operator="greaterThan">
      <formula>0</formula>
    </cfRule>
  </conditionalFormatting>
  <conditionalFormatting sqref="W33 W38 W42:W43 W61 W40 W63:W69 W35">
    <cfRule type="cellIs" dxfId="261" priority="199" operator="greaterThan">
      <formula>0</formula>
    </cfRule>
  </conditionalFormatting>
  <conditionalFormatting sqref="X33 X38 X43 X61 X40 X63:X69 X35">
    <cfRule type="cellIs" dxfId="260" priority="197" operator="greaterThan">
      <formula>0</formula>
    </cfRule>
  </conditionalFormatting>
  <conditionalFormatting sqref="Y33 Y38 Y43 Y61 Y40 Y48 Y63:Y69 Y35">
    <cfRule type="cellIs" dxfId="259" priority="195" operator="greaterThan">
      <formula>0</formula>
    </cfRule>
  </conditionalFormatting>
  <conditionalFormatting sqref="Y45:Y46">
    <cfRule type="cellIs" dxfId="258" priority="194" operator="greaterThan">
      <formula>0</formula>
    </cfRule>
  </conditionalFormatting>
  <conditionalFormatting sqref="K37">
    <cfRule type="cellIs" dxfId="257" priority="192" operator="greaterThan">
      <formula>0</formula>
    </cfRule>
  </conditionalFormatting>
  <conditionalFormatting sqref="J61">
    <cfRule type="cellIs" dxfId="256" priority="191" stopIfTrue="1" operator="lessThanOrEqual">
      <formula>0</formula>
    </cfRule>
  </conditionalFormatting>
  <conditionalFormatting sqref="K23 Q23:U23">
    <cfRule type="cellIs" dxfId="255" priority="190" operator="greaterThan">
      <formula>0</formula>
    </cfRule>
  </conditionalFormatting>
  <conditionalFormatting sqref="Q20:U20">
    <cfRule type="cellIs" dxfId="254" priority="189" operator="greaterThan">
      <formula>0</formula>
    </cfRule>
  </conditionalFormatting>
  <conditionalFormatting sqref="U22">
    <cfRule type="cellIs" dxfId="253" priority="184" operator="greaterThan">
      <formula>0</formula>
    </cfRule>
  </conditionalFormatting>
  <conditionalFormatting sqref="Q22">
    <cfRule type="cellIs" dxfId="252" priority="188" operator="greaterThan">
      <formula>0</formula>
    </cfRule>
  </conditionalFormatting>
  <conditionalFormatting sqref="R22">
    <cfRule type="cellIs" dxfId="251" priority="187" operator="greaterThan">
      <formula>0</formula>
    </cfRule>
  </conditionalFormatting>
  <conditionalFormatting sqref="S22">
    <cfRule type="cellIs" dxfId="250" priority="186" operator="greaterThan">
      <formula>0</formula>
    </cfRule>
  </conditionalFormatting>
  <conditionalFormatting sqref="T22">
    <cfRule type="cellIs" dxfId="249" priority="185" operator="greaterThan">
      <formula>0</formula>
    </cfRule>
  </conditionalFormatting>
  <conditionalFormatting sqref="L31">
    <cfRule type="cellIs" dxfId="248" priority="183" operator="greaterThan">
      <formula>0</formula>
    </cfRule>
  </conditionalFormatting>
  <conditionalFormatting sqref="M31">
    <cfRule type="cellIs" dxfId="247" priority="182" operator="greaterThan">
      <formula>0</formula>
    </cfRule>
  </conditionalFormatting>
  <conditionalFormatting sqref="N31">
    <cfRule type="cellIs" dxfId="246" priority="181" operator="greaterThan">
      <formula>0</formula>
    </cfRule>
  </conditionalFormatting>
  <conditionalFormatting sqref="O31:P31">
    <cfRule type="cellIs" dxfId="245" priority="180" operator="greaterThan">
      <formula>0</formula>
    </cfRule>
  </conditionalFormatting>
  <conditionalFormatting sqref="Q31">
    <cfRule type="cellIs" dxfId="244" priority="179" operator="greaterThan">
      <formula>0</formula>
    </cfRule>
  </conditionalFormatting>
  <conditionalFormatting sqref="R31">
    <cfRule type="cellIs" dxfId="243" priority="178" operator="greaterThan">
      <formula>0</formula>
    </cfRule>
  </conditionalFormatting>
  <conditionalFormatting sqref="S31">
    <cfRule type="cellIs" dxfId="242" priority="177" operator="greaterThan">
      <formula>0</formula>
    </cfRule>
  </conditionalFormatting>
  <conditionalFormatting sqref="T31">
    <cfRule type="cellIs" dxfId="241" priority="176" operator="greaterThan">
      <formula>0</formula>
    </cfRule>
  </conditionalFormatting>
  <conditionalFormatting sqref="W31">
    <cfRule type="cellIs" dxfId="240" priority="175" operator="greaterThan">
      <formula>0</formula>
    </cfRule>
  </conditionalFormatting>
  <conditionalFormatting sqref="X31">
    <cfRule type="cellIs" dxfId="239" priority="174" operator="greaterThan">
      <formula>0</formula>
    </cfRule>
  </conditionalFormatting>
  <conditionalFormatting sqref="Y31">
    <cfRule type="cellIs" dxfId="238" priority="173" operator="greaterThan">
      <formula>0</formula>
    </cfRule>
  </conditionalFormatting>
  <conditionalFormatting sqref="U31">
    <cfRule type="cellIs" dxfId="237" priority="172" operator="greaterThan">
      <formula>0</formula>
    </cfRule>
  </conditionalFormatting>
  <conditionalFormatting sqref="L59">
    <cfRule type="cellIs" dxfId="236" priority="171" operator="greaterThan">
      <formula>0</formula>
    </cfRule>
  </conditionalFormatting>
  <conditionalFormatting sqref="M59">
    <cfRule type="cellIs" dxfId="235" priority="170" operator="greaterThan">
      <formula>0</formula>
    </cfRule>
  </conditionalFormatting>
  <conditionalFormatting sqref="N59">
    <cfRule type="cellIs" dxfId="234" priority="169" operator="greaterThan">
      <formula>0</formula>
    </cfRule>
  </conditionalFormatting>
  <conditionalFormatting sqref="O59">
    <cfRule type="cellIs" dxfId="233" priority="168" operator="greaterThan">
      <formula>0</formula>
    </cfRule>
  </conditionalFormatting>
  <conditionalFormatting sqref="Q59">
    <cfRule type="cellIs" dxfId="232" priority="167" operator="greaterThan">
      <formula>0</formula>
    </cfRule>
  </conditionalFormatting>
  <conditionalFormatting sqref="R59">
    <cfRule type="cellIs" dxfId="231" priority="166" operator="greaterThan">
      <formula>0</formula>
    </cfRule>
  </conditionalFormatting>
  <conditionalFormatting sqref="S59">
    <cfRule type="cellIs" dxfId="230" priority="165" operator="greaterThan">
      <formula>0</formula>
    </cfRule>
  </conditionalFormatting>
  <conditionalFormatting sqref="T59">
    <cfRule type="cellIs" dxfId="229" priority="164" operator="greaterThan">
      <formula>0</formula>
    </cfRule>
  </conditionalFormatting>
  <conditionalFormatting sqref="U59">
    <cfRule type="cellIs" dxfId="228" priority="163" operator="greaterThan">
      <formula>0</formula>
    </cfRule>
  </conditionalFormatting>
  <conditionalFormatting sqref="W59">
    <cfRule type="cellIs" dxfId="227" priority="162" operator="greaterThan">
      <formula>0</formula>
    </cfRule>
  </conditionalFormatting>
  <conditionalFormatting sqref="X59">
    <cfRule type="cellIs" dxfId="226" priority="161" operator="greaterThan">
      <formula>0</formula>
    </cfRule>
  </conditionalFormatting>
  <conditionalFormatting sqref="Y59">
    <cfRule type="cellIs" dxfId="225" priority="160" operator="greaterThan">
      <formula>0</formula>
    </cfRule>
  </conditionalFormatting>
  <conditionalFormatting sqref="L37">
    <cfRule type="cellIs" dxfId="224" priority="159" operator="greaterThan">
      <formula>0</formula>
    </cfRule>
  </conditionalFormatting>
  <conditionalFormatting sqref="M37">
    <cfRule type="cellIs" dxfId="223" priority="158" operator="greaterThan">
      <formula>0</formula>
    </cfRule>
  </conditionalFormatting>
  <conditionalFormatting sqref="N37">
    <cfRule type="cellIs" dxfId="222" priority="157" operator="greaterThan">
      <formula>0</formula>
    </cfRule>
  </conditionalFormatting>
  <conditionalFormatting sqref="O37:P37">
    <cfRule type="cellIs" dxfId="221" priority="156" operator="greaterThan">
      <formula>0</formula>
    </cfRule>
  </conditionalFormatting>
  <conditionalFormatting sqref="Q37">
    <cfRule type="cellIs" dxfId="220" priority="155" operator="greaterThan">
      <formula>0</formula>
    </cfRule>
  </conditionalFormatting>
  <conditionalFormatting sqref="R37">
    <cfRule type="cellIs" dxfId="219" priority="154" operator="greaterThan">
      <formula>0</formula>
    </cfRule>
  </conditionalFormatting>
  <conditionalFormatting sqref="S37">
    <cfRule type="cellIs" dxfId="218" priority="153" operator="greaterThan">
      <formula>0</formula>
    </cfRule>
  </conditionalFormatting>
  <conditionalFormatting sqref="T37">
    <cfRule type="cellIs" dxfId="217" priority="152" operator="greaterThan">
      <formula>0</formula>
    </cfRule>
  </conditionalFormatting>
  <conditionalFormatting sqref="U37">
    <cfRule type="cellIs" dxfId="216" priority="151" operator="greaterThan">
      <formula>0</formula>
    </cfRule>
  </conditionalFormatting>
  <conditionalFormatting sqref="W37">
    <cfRule type="cellIs" dxfId="215" priority="150" operator="greaterThan">
      <formula>0</formula>
    </cfRule>
  </conditionalFormatting>
  <conditionalFormatting sqref="X37">
    <cfRule type="cellIs" dxfId="214" priority="149" operator="greaterThan">
      <formula>0</formula>
    </cfRule>
  </conditionalFormatting>
  <conditionalFormatting sqref="Y37">
    <cfRule type="cellIs" dxfId="213" priority="148" operator="greaterThan">
      <formula>0</formula>
    </cfRule>
  </conditionalFormatting>
  <conditionalFormatting sqref="X42">
    <cfRule type="cellIs" dxfId="212" priority="147" operator="greaterThan">
      <formula>0</formula>
    </cfRule>
  </conditionalFormatting>
  <conditionalFormatting sqref="Y42">
    <cfRule type="cellIs" dxfId="211" priority="146" operator="greaterThan">
      <formula>0</formula>
    </cfRule>
  </conditionalFormatting>
  <conditionalFormatting sqref="K20">
    <cfRule type="cellIs" dxfId="210" priority="145" operator="greaterThan">
      <formula>0</formula>
    </cfRule>
  </conditionalFormatting>
  <conditionalFormatting sqref="K22">
    <cfRule type="cellIs" dxfId="209" priority="144" operator="greaterThan">
      <formula>0</formula>
    </cfRule>
  </conditionalFormatting>
  <conditionalFormatting sqref="J28">
    <cfRule type="cellIs" dxfId="208" priority="143" stopIfTrue="1" operator="lessThanOrEqual">
      <formula>0</formula>
    </cfRule>
  </conditionalFormatting>
  <conditionalFormatting sqref="J31">
    <cfRule type="cellIs" dxfId="207" priority="142" operator="greaterThan">
      <formula>0</formula>
    </cfRule>
  </conditionalFormatting>
  <conditionalFormatting sqref="J33">
    <cfRule type="cellIs" dxfId="206" priority="141" stopIfTrue="1" operator="lessThanOrEqual">
      <formula>0</formula>
    </cfRule>
  </conditionalFormatting>
  <conditionalFormatting sqref="O27">
    <cfRule type="cellIs" dxfId="205" priority="118" operator="greaterThan">
      <formula>0</formula>
    </cfRule>
  </conditionalFormatting>
  <conditionalFormatting sqref="O25">
    <cfRule type="cellIs" dxfId="204" priority="121" operator="greaterThan">
      <formula>0</formula>
    </cfRule>
  </conditionalFormatting>
  <conditionalFormatting sqref="N22">
    <cfRule type="cellIs" dxfId="203" priority="122" operator="greaterThan">
      <formula>0</formula>
    </cfRule>
  </conditionalFormatting>
  <conditionalFormatting sqref="O26">
    <cfRule type="cellIs" dxfId="202" priority="119" operator="greaterThan">
      <formula>0</formula>
    </cfRule>
  </conditionalFormatting>
  <conditionalFormatting sqref="L20">
    <cfRule type="cellIs" dxfId="201" priority="136" operator="greaterThan">
      <formula>0</formula>
    </cfRule>
  </conditionalFormatting>
  <conditionalFormatting sqref="L22">
    <cfRule type="cellIs" dxfId="200" priority="135" operator="greaterThan">
      <formula>0</formula>
    </cfRule>
  </conditionalFormatting>
  <conditionalFormatting sqref="L25">
    <cfRule type="cellIs" dxfId="199" priority="140" operator="greaterThan">
      <formula>0</formula>
    </cfRule>
  </conditionalFormatting>
  <conditionalFormatting sqref="L28">
    <cfRule type="cellIs" dxfId="198" priority="139" operator="greaterThan">
      <formula>0</formula>
    </cfRule>
  </conditionalFormatting>
  <conditionalFormatting sqref="L26">
    <cfRule type="cellIs" dxfId="197" priority="138" operator="greaterThan">
      <formula>0</formula>
    </cfRule>
  </conditionalFormatting>
  <conditionalFormatting sqref="L23">
    <cfRule type="cellIs" dxfId="196" priority="137" operator="greaterThan">
      <formula>0</formula>
    </cfRule>
  </conditionalFormatting>
  <conditionalFormatting sqref="M28">
    <cfRule type="cellIs" dxfId="195" priority="134" operator="greaterThan">
      <formula>0</formula>
    </cfRule>
  </conditionalFormatting>
  <conditionalFormatting sqref="M26">
    <cfRule type="cellIs" dxfId="194" priority="133" operator="greaterThan">
      <formula>0</formula>
    </cfRule>
  </conditionalFormatting>
  <conditionalFormatting sqref="M27">
    <cfRule type="cellIs" dxfId="193" priority="132" operator="greaterThan">
      <formula>0</formula>
    </cfRule>
  </conditionalFormatting>
  <conditionalFormatting sqref="M23">
    <cfRule type="cellIs" dxfId="192" priority="131" operator="greaterThan">
      <formula>0</formula>
    </cfRule>
  </conditionalFormatting>
  <conditionalFormatting sqref="M20">
    <cfRule type="cellIs" dxfId="191" priority="130" operator="greaterThan">
      <formula>0</formula>
    </cfRule>
  </conditionalFormatting>
  <conditionalFormatting sqref="M22">
    <cfRule type="cellIs" dxfId="190" priority="129" operator="greaterThan">
      <formula>0</formula>
    </cfRule>
  </conditionalFormatting>
  <conditionalFormatting sqref="N25">
    <cfRule type="cellIs" dxfId="189" priority="128" operator="greaterThan">
      <formula>0</formula>
    </cfRule>
  </conditionalFormatting>
  <conditionalFormatting sqref="N28">
    <cfRule type="cellIs" dxfId="188" priority="127" operator="greaterThan">
      <formula>0</formula>
    </cfRule>
  </conditionalFormatting>
  <conditionalFormatting sqref="N26">
    <cfRule type="cellIs" dxfId="187" priority="126" operator="greaterThan">
      <formula>0</formula>
    </cfRule>
  </conditionalFormatting>
  <conditionalFormatting sqref="N27">
    <cfRule type="cellIs" dxfId="186" priority="125" operator="greaterThan">
      <formula>0</formula>
    </cfRule>
  </conditionalFormatting>
  <conditionalFormatting sqref="N23">
    <cfRule type="cellIs" dxfId="185" priority="124" operator="greaterThan">
      <formula>0</formula>
    </cfRule>
  </conditionalFormatting>
  <conditionalFormatting sqref="N20">
    <cfRule type="cellIs" dxfId="184" priority="123" operator="greaterThan">
      <formula>0</formula>
    </cfRule>
  </conditionalFormatting>
  <conditionalFormatting sqref="O28">
    <cfRule type="cellIs" dxfId="183" priority="120" operator="greaterThan">
      <formula>0</formula>
    </cfRule>
  </conditionalFormatting>
  <conditionalFormatting sqref="O23">
    <cfRule type="cellIs" dxfId="182" priority="117" operator="greaterThan">
      <formula>0</formula>
    </cfRule>
  </conditionalFormatting>
  <conditionalFormatting sqref="O20">
    <cfRule type="cellIs" dxfId="181" priority="116" operator="greaterThan">
      <formula>0</formula>
    </cfRule>
  </conditionalFormatting>
  <conditionalFormatting sqref="O22">
    <cfRule type="cellIs" dxfId="180" priority="115" operator="greaterThan">
      <formula>0</formula>
    </cfRule>
  </conditionalFormatting>
  <conditionalFormatting sqref="W25">
    <cfRule type="cellIs" dxfId="179" priority="114" operator="greaterThan">
      <formula>0</formula>
    </cfRule>
  </conditionalFormatting>
  <conditionalFormatting sqref="W28">
    <cfRule type="cellIs" dxfId="178" priority="113" operator="greaterThan">
      <formula>0</formula>
    </cfRule>
  </conditionalFormatting>
  <conditionalFormatting sqref="W26">
    <cfRule type="cellIs" dxfId="177" priority="112" operator="greaterThan">
      <formula>0</formula>
    </cfRule>
  </conditionalFormatting>
  <conditionalFormatting sqref="W27">
    <cfRule type="cellIs" dxfId="176" priority="111" operator="greaterThan">
      <formula>0</formula>
    </cfRule>
  </conditionalFormatting>
  <conditionalFormatting sqref="W23">
    <cfRule type="cellIs" dxfId="175" priority="110" operator="greaterThan">
      <formula>0</formula>
    </cfRule>
  </conditionalFormatting>
  <conditionalFormatting sqref="W20">
    <cfRule type="cellIs" dxfId="174" priority="109" operator="greaterThan">
      <formula>0</formula>
    </cfRule>
  </conditionalFormatting>
  <conditionalFormatting sqref="W22">
    <cfRule type="cellIs" dxfId="173" priority="108" operator="greaterThan">
      <formula>0</formula>
    </cfRule>
  </conditionalFormatting>
  <conditionalFormatting sqref="X25">
    <cfRule type="cellIs" dxfId="172" priority="107" operator="greaterThan">
      <formula>0</formula>
    </cfRule>
  </conditionalFormatting>
  <conditionalFormatting sqref="X28">
    <cfRule type="cellIs" dxfId="171" priority="106" operator="greaterThan">
      <formula>0</formula>
    </cfRule>
  </conditionalFormatting>
  <conditionalFormatting sqref="X26">
    <cfRule type="cellIs" dxfId="170" priority="105" operator="greaterThan">
      <formula>0</formula>
    </cfRule>
  </conditionalFormatting>
  <conditionalFormatting sqref="X27">
    <cfRule type="cellIs" dxfId="169" priority="104" operator="greaterThan">
      <formula>0</formula>
    </cfRule>
  </conditionalFormatting>
  <conditionalFormatting sqref="X23">
    <cfRule type="cellIs" dxfId="168" priority="103" operator="greaterThan">
      <formula>0</formula>
    </cfRule>
  </conditionalFormatting>
  <conditionalFormatting sqref="X20">
    <cfRule type="cellIs" dxfId="167" priority="102" operator="greaterThan">
      <formula>0</formula>
    </cfRule>
  </conditionalFormatting>
  <conditionalFormatting sqref="X22">
    <cfRule type="cellIs" dxfId="166" priority="101" operator="greaterThan">
      <formula>0</formula>
    </cfRule>
  </conditionalFormatting>
  <conditionalFormatting sqref="Y25">
    <cfRule type="cellIs" dxfId="165" priority="100" operator="greaterThan">
      <formula>0</formula>
    </cfRule>
  </conditionalFormatting>
  <conditionalFormatting sqref="Y28">
    <cfRule type="cellIs" dxfId="164" priority="99" operator="greaterThan">
      <formula>0</formula>
    </cfRule>
  </conditionalFormatting>
  <conditionalFormatting sqref="Y26">
    <cfRule type="cellIs" dxfId="163" priority="98" operator="greaterThan">
      <formula>0</formula>
    </cfRule>
  </conditionalFormatting>
  <conditionalFormatting sqref="Y27">
    <cfRule type="cellIs" dxfId="162" priority="97" operator="greaterThan">
      <formula>0</formula>
    </cfRule>
  </conditionalFormatting>
  <conditionalFormatting sqref="Y23">
    <cfRule type="cellIs" dxfId="161" priority="96" operator="greaterThan">
      <formula>0</formula>
    </cfRule>
  </conditionalFormatting>
  <conditionalFormatting sqref="Y20">
    <cfRule type="cellIs" dxfId="160" priority="95" operator="greaterThan">
      <formula>0</formula>
    </cfRule>
  </conditionalFormatting>
  <conditionalFormatting sqref="Y22">
    <cfRule type="cellIs" dxfId="159" priority="94" operator="greaterThan">
      <formula>0</formula>
    </cfRule>
  </conditionalFormatting>
  <conditionalFormatting sqref="K29">
    <cfRule type="cellIs" dxfId="158" priority="93" operator="greaterThan">
      <formula>0</formula>
    </cfRule>
  </conditionalFormatting>
  <conditionalFormatting sqref="L29">
    <cfRule type="cellIs" dxfId="157" priority="92" operator="greaterThan">
      <formula>0</formula>
    </cfRule>
  </conditionalFormatting>
  <conditionalFormatting sqref="M29">
    <cfRule type="cellIs" dxfId="156" priority="91" operator="greaterThan">
      <formula>0</formula>
    </cfRule>
  </conditionalFormatting>
  <conditionalFormatting sqref="M25">
    <cfRule type="cellIs" dxfId="155" priority="90" operator="greaterThan">
      <formula>0</formula>
    </cfRule>
  </conditionalFormatting>
  <conditionalFormatting sqref="K57:O57">
    <cfRule type="cellIs" dxfId="154" priority="74" operator="greaterThan">
      <formula>0</formula>
    </cfRule>
  </conditionalFormatting>
  <conditionalFormatting sqref="Q57:U57">
    <cfRule type="cellIs" dxfId="153" priority="73" operator="greaterThan">
      <formula>0</formula>
    </cfRule>
  </conditionalFormatting>
  <conditionalFormatting sqref="D37">
    <cfRule type="cellIs" dxfId="152" priority="60" operator="greaterThan">
      <formula>0</formula>
    </cfRule>
  </conditionalFormatting>
  <conditionalFormatting sqref="D24">
    <cfRule type="cellIs" dxfId="151" priority="38" operator="greaterThan">
      <formula>0</formula>
    </cfRule>
  </conditionalFormatting>
  <conditionalFormatting sqref="D32">
    <cfRule type="cellIs" dxfId="150" priority="59" operator="greaterThan">
      <formula>0</formula>
    </cfRule>
  </conditionalFormatting>
  <conditionalFormatting sqref="D34">
    <cfRule type="cellIs" dxfId="149" priority="58" operator="greaterThan">
      <formula>0</formula>
    </cfRule>
  </conditionalFormatting>
  <conditionalFormatting sqref="D35">
    <cfRule type="cellIs" dxfId="148" priority="57" operator="greaterThan">
      <formula>0</formula>
    </cfRule>
  </conditionalFormatting>
  <conditionalFormatting sqref="C57">
    <cfRule type="cellIs" dxfId="147" priority="31" operator="greaterThan">
      <formula>0</formula>
    </cfRule>
  </conditionalFormatting>
  <conditionalFormatting sqref="C58">
    <cfRule type="cellIs" dxfId="146" priority="30" operator="greaterThan">
      <formula>0</formula>
    </cfRule>
  </conditionalFormatting>
  <conditionalFormatting sqref="C59">
    <cfRule type="cellIs" dxfId="145" priority="29" operator="greaterThan">
      <formula>0</formula>
    </cfRule>
  </conditionalFormatting>
  <conditionalFormatting sqref="P45:P46">
    <cfRule type="cellIs" dxfId="144" priority="56" operator="greaterThan">
      <formula>0</formula>
    </cfRule>
  </conditionalFormatting>
  <conditionalFormatting sqref="R46">
    <cfRule type="cellIs" dxfId="143" priority="55" operator="greaterThan">
      <formula>0</formula>
    </cfRule>
  </conditionalFormatting>
  <conditionalFormatting sqref="S46">
    <cfRule type="cellIs" dxfId="142" priority="54" operator="greaterThan">
      <formula>0</formula>
    </cfRule>
  </conditionalFormatting>
  <conditionalFormatting sqref="T46">
    <cfRule type="cellIs" dxfId="141" priority="53" operator="greaterThan">
      <formula>0</formula>
    </cfRule>
  </conditionalFormatting>
  <conditionalFormatting sqref="U46">
    <cfRule type="cellIs" dxfId="140" priority="52" operator="greaterThan">
      <formula>0</formula>
    </cfRule>
  </conditionalFormatting>
  <conditionalFormatting sqref="N45">
    <cfRule type="cellIs" dxfId="139" priority="51" operator="greaterThan">
      <formula>0</formula>
    </cfRule>
  </conditionalFormatting>
  <conditionalFormatting sqref="O45">
    <cfRule type="cellIs" dxfId="138" priority="50" operator="greaterThan">
      <formula>0</formula>
    </cfRule>
  </conditionalFormatting>
  <conditionalFormatting sqref="D29">
    <cfRule type="cellIs" dxfId="137" priority="35" operator="greaterThan">
      <formula>0</formula>
    </cfRule>
  </conditionalFormatting>
  <conditionalFormatting sqref="D43">
    <cfRule type="cellIs" dxfId="136" priority="34" operator="greaterThan">
      <formula>0</formula>
    </cfRule>
  </conditionalFormatting>
  <conditionalFormatting sqref="N46:O46">
    <cfRule type="cellIs" dxfId="135" priority="49" operator="greaterThan">
      <formula>0</formula>
    </cfRule>
  </conditionalFormatting>
  <conditionalFormatting sqref="C53">
    <cfRule type="cellIs" dxfId="134" priority="33" operator="greaterThan">
      <formula>0</formula>
    </cfRule>
  </conditionalFormatting>
  <conditionalFormatting sqref="D23">
    <cfRule type="cellIs" dxfId="133" priority="39" operator="greaterThan">
      <formula>0</formula>
    </cfRule>
  </conditionalFormatting>
  <conditionalFormatting sqref="P50:P53">
    <cfRule type="cellIs" dxfId="132" priority="48" operator="greaterThan">
      <formula>0</formula>
    </cfRule>
  </conditionalFormatting>
  <conditionalFormatting sqref="R54:U55">
    <cfRule type="cellIs" dxfId="131" priority="42" operator="greaterThan">
      <formula>0</formula>
    </cfRule>
  </conditionalFormatting>
  <conditionalFormatting sqref="N50:O53">
    <cfRule type="cellIs" dxfId="130" priority="47" operator="greaterThan">
      <formula>0</formula>
    </cfRule>
  </conditionalFormatting>
  <conditionalFormatting sqref="R50:U53">
    <cfRule type="cellIs" dxfId="129" priority="46" operator="greaterThan">
      <formula>0</formula>
    </cfRule>
  </conditionalFormatting>
  <conditionalFormatting sqref="P54:P56">
    <cfRule type="cellIs" dxfId="128" priority="45" operator="greaterThan">
      <formula>0</formula>
    </cfRule>
  </conditionalFormatting>
  <conditionalFormatting sqref="D25">
    <cfRule type="cellIs" dxfId="127" priority="37" operator="greaterThan">
      <formula>0</formula>
    </cfRule>
  </conditionalFormatting>
  <conditionalFormatting sqref="N54:O55">
    <cfRule type="cellIs" dxfId="126" priority="44" operator="greaterThan">
      <formula>0</formula>
    </cfRule>
  </conditionalFormatting>
  <conditionalFormatting sqref="N56:O56">
    <cfRule type="cellIs" dxfId="125" priority="43" operator="greaterThan">
      <formula>0</formula>
    </cfRule>
  </conditionalFormatting>
  <conditionalFormatting sqref="R56:U56">
    <cfRule type="cellIs" dxfId="124" priority="41" operator="greaterThan">
      <formula>0</formula>
    </cfRule>
  </conditionalFormatting>
  <conditionalFormatting sqref="L27">
    <cfRule type="cellIs" dxfId="123" priority="40" operator="greaterThan">
      <formula>0</formula>
    </cfRule>
  </conditionalFormatting>
  <conditionalFormatting sqref="D30">
    <cfRule type="cellIs" dxfId="122" priority="36" operator="greaterThan">
      <formula>0</formula>
    </cfRule>
  </conditionalFormatting>
  <conditionalFormatting sqref="C54">
    <cfRule type="cellIs" dxfId="121" priority="32" operator="greaterThan">
      <formula>0</formula>
    </cfRule>
  </conditionalFormatting>
  <conditionalFormatting sqref="F58">
    <cfRule type="cellIs" dxfId="120" priority="25" operator="greaterThan">
      <formula>0</formula>
    </cfRule>
  </conditionalFormatting>
  <conditionalFormatting sqref="F59">
    <cfRule type="cellIs" dxfId="119" priority="24" operator="greaterThan">
      <formula>0</formula>
    </cfRule>
  </conditionalFormatting>
  <conditionalFormatting sqref="F53">
    <cfRule type="cellIs" dxfId="118" priority="28" operator="greaterThan">
      <formula>0</formula>
    </cfRule>
  </conditionalFormatting>
  <conditionalFormatting sqref="F54">
    <cfRule type="cellIs" dxfId="117" priority="27" operator="greaterThan">
      <formula>0</formula>
    </cfRule>
  </conditionalFormatting>
  <conditionalFormatting sqref="F57">
    <cfRule type="cellIs" dxfId="116" priority="26" operator="greaterThan">
      <formula>0</formula>
    </cfRule>
  </conditionalFormatting>
  <conditionalFormatting sqref="K45:K46">
    <cfRule type="cellIs" dxfId="115" priority="23" operator="greaterThan">
      <formula>0</formula>
    </cfRule>
  </conditionalFormatting>
  <conditionalFormatting sqref="L45:L46">
    <cfRule type="cellIs" dxfId="114" priority="22" operator="greaterThan">
      <formula>0</formula>
    </cfRule>
  </conditionalFormatting>
  <conditionalFormatting sqref="M45">
    <cfRule type="cellIs" dxfId="113" priority="21" operator="greaterThan">
      <formula>0</formula>
    </cfRule>
  </conditionalFormatting>
  <conditionalFormatting sqref="K56">
    <cfRule type="cellIs" dxfId="112" priority="20" operator="greaterThan">
      <formula>0</formula>
    </cfRule>
  </conditionalFormatting>
  <conditionalFormatting sqref="L56">
    <cfRule type="cellIs" dxfId="111" priority="19" operator="greaterThan">
      <formula>0</formula>
    </cfRule>
  </conditionalFormatting>
  <conditionalFormatting sqref="M56">
    <cfRule type="cellIs" dxfId="110" priority="18" operator="greaterThan">
      <formula>0</formula>
    </cfRule>
  </conditionalFormatting>
  <conditionalFormatting sqref="K50:K55">
    <cfRule type="cellIs" dxfId="109" priority="17" operator="greaterThan">
      <formula>0</formula>
    </cfRule>
  </conditionalFormatting>
  <conditionalFormatting sqref="L50:L55">
    <cfRule type="cellIs" dxfId="108" priority="16" operator="greaterThan">
      <formula>0</formula>
    </cfRule>
  </conditionalFormatting>
  <conditionalFormatting sqref="M50:M55">
    <cfRule type="cellIs" dxfId="107" priority="15" operator="greaterThan">
      <formula>0</formula>
    </cfRule>
  </conditionalFormatting>
  <conditionalFormatting sqref="Q46">
    <cfRule type="cellIs" dxfId="106" priority="14" operator="greaterThan">
      <formula>0</formula>
    </cfRule>
  </conditionalFormatting>
  <conditionalFormatting sqref="X50:X55">
    <cfRule type="cellIs" dxfId="105" priority="4" operator="greaterThan">
      <formula>0</formula>
    </cfRule>
  </conditionalFormatting>
  <conditionalFormatting sqref="Q48">
    <cfRule type="cellIs" dxfId="104" priority="13" operator="greaterThan">
      <formula>0</formula>
    </cfRule>
  </conditionalFormatting>
  <conditionalFormatting sqref="Q56">
    <cfRule type="cellIs" dxfId="103" priority="12" operator="greaterThan">
      <formula>0</formula>
    </cfRule>
  </conditionalFormatting>
  <conditionalFormatting sqref="Q50:Q55">
    <cfRule type="cellIs" dxfId="102" priority="11" operator="greaterThan">
      <formula>0</formula>
    </cfRule>
  </conditionalFormatting>
  <conditionalFormatting sqref="W48">
    <cfRule type="cellIs" dxfId="101" priority="10" operator="greaterThan">
      <formula>0</formula>
    </cfRule>
  </conditionalFormatting>
  <conditionalFormatting sqref="X48">
    <cfRule type="cellIs" dxfId="100" priority="9" operator="greaterThan">
      <formula>0</formula>
    </cfRule>
  </conditionalFormatting>
  <conditionalFormatting sqref="W45:W46">
    <cfRule type="cellIs" dxfId="99" priority="8" operator="greaterThan">
      <formula>0</formula>
    </cfRule>
  </conditionalFormatting>
  <conditionalFormatting sqref="X45:X46">
    <cfRule type="cellIs" dxfId="98" priority="7" operator="greaterThan">
      <formula>0</formula>
    </cfRule>
  </conditionalFormatting>
  <conditionalFormatting sqref="W50:W55">
    <cfRule type="cellIs" dxfId="97" priority="6" operator="greaterThan">
      <formula>0</formula>
    </cfRule>
  </conditionalFormatting>
  <conditionalFormatting sqref="W56">
    <cfRule type="cellIs" dxfId="96" priority="5" operator="greaterThan">
      <formula>0</formula>
    </cfRule>
  </conditionalFormatting>
  <conditionalFormatting sqref="X56">
    <cfRule type="cellIs" dxfId="95" priority="3" operator="greaterThan">
      <formula>0</formula>
    </cfRule>
  </conditionalFormatting>
  <conditionalFormatting sqref="F60">
    <cfRule type="cellIs" dxfId="94" priority="2" operator="greaterThan">
      <formula>0</formula>
    </cfRule>
  </conditionalFormatting>
  <conditionalFormatting sqref="M46">
    <cfRule type="cellIs" dxfId="93" priority="1" operator="greaterThan">
      <formula>0</formula>
    </cfRule>
  </conditionalFormatting>
  <dataValidations count="5">
    <dataValidation type="list" allowBlank="1" showInputMessage="1" showErrorMessage="1" sqref="K16:O16" xr:uid="{307CC397-8CB5-3B4F-83FE-4C3A0F08552A}">
      <formula1>$H$124:$H$128</formula1>
    </dataValidation>
    <dataValidation type="list" allowBlank="1" showInputMessage="1" showErrorMessage="1" promptTitle="Selecteer" prompt="Selecteer uit de lijst een categorie schoonmaak _x000d_medewerker" sqref="K14:O14" xr:uid="{C3BC93C8-E7A5-9C4B-AD69-7A34A1FA6C4C}">
      <formula1>$H$85:$H$122</formula1>
    </dataValidation>
    <dataValidation allowBlank="1" showInputMessage="1" showErrorMessage="1" promptTitle="Toelichting" prompt="Vul in deze gekleurde cellen de gevraagde informatie in._x000d_" sqref="G11" xr:uid="{1B4866A3-CF69-2949-A6A1-6A731C6780E8}"/>
    <dataValidation type="list" allowBlank="1" showInputMessage="1" showErrorMessage="1" promptTitle="Selecteer" prompt="Selecteer uit de lijst een categorie schoonmaak _x000d_medewerker" sqref="Q14:U14 W14:Y14" xr:uid="{A8B15222-0217-4C4E-A996-690095EC3972}">
      <formula1>$H$86:$H$123</formula1>
    </dataValidation>
    <dataValidation type="list" allowBlank="1" showInputMessage="1" showErrorMessage="1" sqref="Q16:U16 W16:Y16" xr:uid="{302E3468-44AF-7541-9FB9-1A041EE5250D}">
      <formula1>$H$125:$H$129</formula1>
    </dataValidation>
  </dataValidations>
  <pageMargins left="0.2" right="0.2" top="0.75" bottom="0.75" header="0.3" footer="0.3"/>
  <pageSetup paperSize="9" scale="42" orientation="landscape" r:id="rId1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B1:I393"/>
  <sheetViews>
    <sheetView showGridLines="0" showRowColHeaders="0" showZeros="0" showOutlineSymbols="0" zoomScaleNormal="100" zoomScaleSheetLayoutView="75" zoomScalePageLayoutView="125" workbookViewId="0"/>
  </sheetViews>
  <sheetFormatPr baseColWidth="10" defaultColWidth="10.796875" defaultRowHeight="13" zeroHeight="1"/>
  <cols>
    <col min="1" max="1" width="6.19921875" style="56" customWidth="1"/>
    <col min="2" max="2" width="53.19921875" style="56" bestFit="1" customWidth="1"/>
    <col min="3" max="3" width="45" style="56" customWidth="1"/>
    <col min="4" max="4" width="15.796875" style="56" customWidth="1"/>
    <col min="5" max="5" width="16.796875" style="56" customWidth="1"/>
    <col min="6" max="6" width="5.796875" style="56" customWidth="1"/>
    <col min="7" max="7" width="17.19921875" style="56" customWidth="1"/>
    <col min="8" max="8" width="26.19921875" style="56" customWidth="1"/>
    <col min="9" max="9" width="10.796875" style="56" customWidth="1"/>
    <col min="10" max="16384" width="10.796875" style="56"/>
  </cols>
  <sheetData>
    <row r="1" spans="2:6"/>
    <row r="2" spans="2:6" ht="16">
      <c r="B2" s="223" t="s">
        <v>29</v>
      </c>
      <c r="C2" s="273" t="s">
        <v>72</v>
      </c>
      <c r="D2" s="62"/>
    </row>
    <row r="3" spans="2:6" ht="16">
      <c r="B3" s="223" t="s">
        <v>101</v>
      </c>
      <c r="C3" s="224" t="str">
        <f>Voorblad!$E$16</f>
        <v>Hoogheemraadschap Hollands Noorderkwartier Perceel 2</v>
      </c>
      <c r="D3" s="62"/>
    </row>
    <row r="4" spans="2:6" ht="16">
      <c r="B4" s="223" t="s">
        <v>36</v>
      </c>
      <c r="C4" s="224" t="str">
        <f>'1.0-Contractblad'!$D$4</f>
        <v>Heerhugowaard</v>
      </c>
      <c r="D4" s="44"/>
      <c r="E4" s="44"/>
    </row>
    <row r="5" spans="2:6" ht="16">
      <c r="B5" s="223" t="s">
        <v>137</v>
      </c>
      <c r="C5" s="240" t="str">
        <f>Voorblad!$E$24</f>
        <v>1112-10-2019</v>
      </c>
      <c r="D5" s="62"/>
    </row>
    <row r="6" spans="2:6" ht="16">
      <c r="B6" s="223" t="s">
        <v>222</v>
      </c>
      <c r="C6" s="407" t="str">
        <f>Voorblad!$E$26</f>
        <v>V1 12-mrt-2020</v>
      </c>
      <c r="D6" s="272"/>
    </row>
    <row r="7" spans="2:6" ht="16">
      <c r="B7" s="223" t="s">
        <v>99</v>
      </c>
      <c r="C7" s="224" t="str">
        <f>Voorblad!$E$19</f>
        <v>[voer naam in]</v>
      </c>
      <c r="D7" s="62"/>
    </row>
    <row r="8" spans="2:6" ht="16">
      <c r="B8" s="223" t="s">
        <v>6</v>
      </c>
      <c r="C8" s="241">
        <f>Voorblad!$E$22</f>
        <v>44013</v>
      </c>
      <c r="D8" s="199" t="s">
        <v>243</v>
      </c>
      <c r="E8" s="122"/>
    </row>
    <row r="9" spans="2:6" ht="16">
      <c r="B9" s="273"/>
      <c r="C9" s="288"/>
      <c r="D9" s="199">
        <v>0</v>
      </c>
      <c r="E9" s="157" t="s">
        <v>235</v>
      </c>
      <c r="F9" s="274"/>
    </row>
    <row r="10" spans="2:6">
      <c r="B10" s="64"/>
      <c r="C10" s="64"/>
      <c r="D10" s="64"/>
      <c r="E10" s="64"/>
    </row>
    <row r="11" spans="2:6" ht="15.75" customHeight="1">
      <c r="B11" s="22" t="s">
        <v>73</v>
      </c>
      <c r="C11" s="914"/>
      <c r="D11" s="915"/>
      <c r="E11" s="916"/>
    </row>
    <row r="12" spans="2:6">
      <c r="B12" s="123" t="s">
        <v>38</v>
      </c>
      <c r="C12" s="914"/>
      <c r="D12" s="915"/>
      <c r="E12" s="916"/>
    </row>
    <row r="13" spans="2:6">
      <c r="B13" s="65"/>
      <c r="C13" s="24"/>
      <c r="D13" s="67"/>
      <c r="E13" s="67"/>
    </row>
    <row r="14" spans="2:6" ht="16">
      <c r="B14" s="22" t="s">
        <v>96</v>
      </c>
      <c r="C14" s="24"/>
      <c r="D14" s="125"/>
      <c r="E14" s="126" t="s">
        <v>126</v>
      </c>
    </row>
    <row r="15" spans="2:6">
      <c r="B15" s="65" t="s">
        <v>76</v>
      </c>
      <c r="C15" s="24"/>
      <c r="D15" s="24"/>
      <c r="E15" s="282"/>
    </row>
    <row r="16" spans="2:6">
      <c r="B16" s="65" t="s">
        <v>41</v>
      </c>
      <c r="C16" s="24"/>
      <c r="D16" s="24"/>
      <c r="E16" s="282">
        <v>0</v>
      </c>
    </row>
    <row r="17" spans="2:5">
      <c r="B17" s="65" t="s">
        <v>117</v>
      </c>
      <c r="C17" s="24"/>
      <c r="D17" s="24"/>
      <c r="E17" s="283">
        <f>E15-E16</f>
        <v>0</v>
      </c>
    </row>
    <row r="18" spans="2:5">
      <c r="B18" s="65" t="s">
        <v>93</v>
      </c>
      <c r="C18" s="24"/>
      <c r="D18" s="24"/>
      <c r="E18" s="284"/>
    </row>
    <row r="19" spans="2:5">
      <c r="B19" s="65" t="s">
        <v>119</v>
      </c>
      <c r="C19" s="24"/>
      <c r="D19" s="24"/>
      <c r="E19" s="353">
        <v>0</v>
      </c>
    </row>
    <row r="20" spans="2:5">
      <c r="B20" s="65"/>
      <c r="C20" s="24"/>
      <c r="D20" s="67"/>
      <c r="E20" s="124"/>
    </row>
    <row r="21" spans="2:5">
      <c r="B21" s="22" t="s">
        <v>66</v>
      </c>
      <c r="C21" s="24"/>
      <c r="D21" s="24"/>
      <c r="E21" s="127"/>
    </row>
    <row r="22" spans="2:5">
      <c r="B22" s="65" t="s">
        <v>123</v>
      </c>
      <c r="C22" s="24"/>
      <c r="D22" s="24"/>
      <c r="E22" s="283">
        <f>IF(E18=0,0,(E17-E19)/E18)</f>
        <v>0</v>
      </c>
    </row>
    <row r="23" spans="2:5">
      <c r="B23" s="65" t="s">
        <v>134</v>
      </c>
      <c r="C23" s="24"/>
      <c r="D23" s="24"/>
      <c r="E23" s="282">
        <v>0</v>
      </c>
    </row>
    <row r="24" spans="2:5">
      <c r="B24" s="65" t="s">
        <v>35</v>
      </c>
      <c r="C24" s="124" t="s">
        <v>31</v>
      </c>
      <c r="D24" s="198"/>
      <c r="E24" s="283">
        <f>D24*E17</f>
        <v>0</v>
      </c>
    </row>
    <row r="25" spans="2:5">
      <c r="B25" s="65" t="s">
        <v>82</v>
      </c>
      <c r="C25" s="124" t="s">
        <v>31</v>
      </c>
      <c r="D25" s="198"/>
      <c r="E25" s="283">
        <f>D25*E17</f>
        <v>0</v>
      </c>
    </row>
    <row r="26" spans="2:5">
      <c r="B26" s="65"/>
      <c r="C26" s="24"/>
      <c r="D26" s="67"/>
      <c r="E26" s="124"/>
    </row>
    <row r="27" spans="2:5">
      <c r="B27" s="22" t="s">
        <v>61</v>
      </c>
      <c r="C27" s="24"/>
      <c r="D27" s="24"/>
      <c r="E27" s="275">
        <f>SUM(E22:E26)</f>
        <v>0</v>
      </c>
    </row>
    <row r="28" spans="2:5">
      <c r="B28" s="65"/>
      <c r="C28" s="24"/>
      <c r="D28" s="67"/>
      <c r="E28" s="124"/>
    </row>
    <row r="29" spans="2:5">
      <c r="C29" s="65" t="s">
        <v>121</v>
      </c>
      <c r="D29" s="284"/>
      <c r="E29" s="275">
        <f>D29*E27</f>
        <v>0</v>
      </c>
    </row>
    <row r="30" spans="2:5" ht="16">
      <c r="B30" s="40"/>
      <c r="C30" s="63"/>
      <c r="D30" s="62"/>
      <c r="E30" s="62"/>
    </row>
    <row r="31" spans="2:5">
      <c r="B31" s="22" t="s">
        <v>73</v>
      </c>
      <c r="C31" s="914"/>
      <c r="D31" s="915"/>
      <c r="E31" s="916"/>
    </row>
    <row r="32" spans="2:5">
      <c r="B32" s="123" t="s">
        <v>38</v>
      </c>
      <c r="C32" s="914"/>
      <c r="D32" s="915"/>
      <c r="E32" s="916"/>
    </row>
    <row r="33" spans="2:9">
      <c r="B33" s="65"/>
      <c r="C33" s="24"/>
      <c r="D33" s="67"/>
      <c r="E33" s="67"/>
    </row>
    <row r="34" spans="2:9" ht="16">
      <c r="B34" s="22" t="s">
        <v>96</v>
      </c>
      <c r="C34" s="24"/>
      <c r="D34" s="125"/>
      <c r="E34" s="126" t="s">
        <v>126</v>
      </c>
    </row>
    <row r="35" spans="2:9">
      <c r="B35" s="65" t="s">
        <v>76</v>
      </c>
      <c r="C35" s="24"/>
      <c r="D35" s="24"/>
      <c r="E35" s="282"/>
      <c r="I35" s="134"/>
    </row>
    <row r="36" spans="2:9">
      <c r="B36" s="65" t="s">
        <v>41</v>
      </c>
      <c r="C36" s="24"/>
      <c r="D36" s="24"/>
      <c r="E36" s="282"/>
    </row>
    <row r="37" spans="2:9">
      <c r="B37" s="65" t="s">
        <v>117</v>
      </c>
      <c r="C37" s="24"/>
      <c r="D37" s="24"/>
      <c r="E37" s="283">
        <f>E35-E36</f>
        <v>0</v>
      </c>
    </row>
    <row r="38" spans="2:9">
      <c r="B38" s="65" t="s">
        <v>93</v>
      </c>
      <c r="C38" s="24"/>
      <c r="D38" s="24"/>
      <c r="E38" s="284"/>
    </row>
    <row r="39" spans="2:9">
      <c r="B39" s="65" t="s">
        <v>119</v>
      </c>
      <c r="C39" s="24"/>
      <c r="D39" s="24"/>
      <c r="E39" s="282">
        <v>0</v>
      </c>
    </row>
    <row r="40" spans="2:9">
      <c r="B40" s="65"/>
      <c r="C40" s="24"/>
      <c r="D40" s="67"/>
      <c r="E40" s="124"/>
    </row>
    <row r="41" spans="2:9">
      <c r="B41" s="22" t="s">
        <v>66</v>
      </c>
      <c r="C41" s="24"/>
      <c r="D41" s="24"/>
      <c r="E41" s="127"/>
    </row>
    <row r="42" spans="2:9">
      <c r="B42" s="65" t="s">
        <v>123</v>
      </c>
      <c r="C42" s="24"/>
      <c r="D42" s="24"/>
      <c r="E42" s="283">
        <f>IF(E38=0,0,(E37-E39)/E38)</f>
        <v>0</v>
      </c>
    </row>
    <row r="43" spans="2:9">
      <c r="B43" s="65" t="s">
        <v>134</v>
      </c>
      <c r="C43" s="24"/>
      <c r="D43" s="24"/>
      <c r="E43" s="282"/>
    </row>
    <row r="44" spans="2:9">
      <c r="B44" s="65" t="s">
        <v>35</v>
      </c>
      <c r="C44" s="124" t="s">
        <v>31</v>
      </c>
      <c r="D44" s="198"/>
      <c r="E44" s="283">
        <f>D44*E37</f>
        <v>0</v>
      </c>
    </row>
    <row r="45" spans="2:9">
      <c r="B45" s="65" t="s">
        <v>82</v>
      </c>
      <c r="C45" s="124" t="s">
        <v>31</v>
      </c>
      <c r="D45" s="198"/>
      <c r="E45" s="283">
        <f>D45*E37</f>
        <v>0</v>
      </c>
    </row>
    <row r="46" spans="2:9">
      <c r="B46" s="65"/>
      <c r="C46" s="24"/>
      <c r="D46" s="67"/>
      <c r="E46" s="124"/>
    </row>
    <row r="47" spans="2:9">
      <c r="B47" s="22" t="s">
        <v>61</v>
      </c>
      <c r="C47" s="24"/>
      <c r="D47" s="24"/>
      <c r="E47" s="275">
        <f>SUM(E42:E46)</f>
        <v>0</v>
      </c>
    </row>
    <row r="48" spans="2:9">
      <c r="B48" s="65"/>
      <c r="C48" s="24"/>
      <c r="D48" s="67"/>
      <c r="E48" s="124"/>
    </row>
    <row r="49" spans="2:5">
      <c r="C49" s="65" t="s">
        <v>121</v>
      </c>
      <c r="D49" s="284"/>
      <c r="E49" s="275">
        <f>D49*E47</f>
        <v>0</v>
      </c>
    </row>
    <row r="50" spans="2:5" ht="16">
      <c r="B50" s="40"/>
      <c r="C50" s="63"/>
      <c r="D50" s="62"/>
      <c r="E50" s="62"/>
    </row>
    <row r="51" spans="2:5">
      <c r="B51" s="22" t="s">
        <v>73</v>
      </c>
      <c r="C51" s="914"/>
      <c r="D51" s="915"/>
      <c r="E51" s="916"/>
    </row>
    <row r="52" spans="2:5">
      <c r="B52" s="123" t="s">
        <v>38</v>
      </c>
      <c r="C52" s="914"/>
      <c r="D52" s="915"/>
      <c r="E52" s="916"/>
    </row>
    <row r="53" spans="2:5">
      <c r="B53" s="65"/>
      <c r="C53" s="24"/>
      <c r="D53" s="67"/>
      <c r="E53" s="67"/>
    </row>
    <row r="54" spans="2:5" ht="16">
      <c r="B54" s="22" t="s">
        <v>96</v>
      </c>
      <c r="C54" s="24"/>
      <c r="D54" s="125"/>
      <c r="E54" s="126" t="s">
        <v>126</v>
      </c>
    </row>
    <row r="55" spans="2:5">
      <c r="B55" s="65" t="s">
        <v>76</v>
      </c>
      <c r="C55" s="24"/>
      <c r="D55" s="24"/>
      <c r="E55" s="282"/>
    </row>
    <row r="56" spans="2:5">
      <c r="B56" s="65" t="s">
        <v>41</v>
      </c>
      <c r="C56" s="24"/>
      <c r="D56" s="24"/>
      <c r="E56" s="282"/>
    </row>
    <row r="57" spans="2:5">
      <c r="B57" s="65" t="s">
        <v>117</v>
      </c>
      <c r="C57" s="24"/>
      <c r="D57" s="24"/>
      <c r="E57" s="283">
        <f>E55-E56</f>
        <v>0</v>
      </c>
    </row>
    <row r="58" spans="2:5">
      <c r="B58" s="65" t="s">
        <v>93</v>
      </c>
      <c r="C58" s="24"/>
      <c r="D58" s="24"/>
      <c r="E58" s="284"/>
    </row>
    <row r="59" spans="2:5">
      <c r="B59" s="65" t="s">
        <v>119</v>
      </c>
      <c r="C59" s="24"/>
      <c r="D59" s="24"/>
      <c r="E59" s="282">
        <f>0.1*E57</f>
        <v>0</v>
      </c>
    </row>
    <row r="60" spans="2:5">
      <c r="B60" s="65"/>
      <c r="C60" s="24"/>
      <c r="D60" s="67"/>
      <c r="E60" s="124"/>
    </row>
    <row r="61" spans="2:5">
      <c r="B61" s="22" t="s">
        <v>66</v>
      </c>
      <c r="C61" s="24"/>
      <c r="D61" s="24"/>
      <c r="E61" s="127"/>
    </row>
    <row r="62" spans="2:5">
      <c r="B62" s="65" t="s">
        <v>123</v>
      </c>
      <c r="C62" s="24"/>
      <c r="D62" s="24"/>
      <c r="E62" s="283">
        <f>IF(E58=0,0,(E57-E59)/E58)</f>
        <v>0</v>
      </c>
    </row>
    <row r="63" spans="2:5">
      <c r="B63" s="65" t="s">
        <v>134</v>
      </c>
      <c r="C63" s="24"/>
      <c r="D63" s="24"/>
      <c r="E63" s="282"/>
    </row>
    <row r="64" spans="2:5">
      <c r="B64" s="65" t="s">
        <v>35</v>
      </c>
      <c r="C64" s="124" t="s">
        <v>31</v>
      </c>
      <c r="D64" s="198"/>
      <c r="E64" s="283">
        <f>D64*E57</f>
        <v>0</v>
      </c>
    </row>
    <row r="65" spans="2:5">
      <c r="B65" s="65" t="s">
        <v>82</v>
      </c>
      <c r="C65" s="124" t="s">
        <v>31</v>
      </c>
      <c r="D65" s="198"/>
      <c r="E65" s="283">
        <f>D65*E57</f>
        <v>0</v>
      </c>
    </row>
    <row r="66" spans="2:5">
      <c r="B66" s="65"/>
      <c r="C66" s="24"/>
      <c r="D66" s="67"/>
      <c r="E66" s="124"/>
    </row>
    <row r="67" spans="2:5">
      <c r="B67" s="22" t="s">
        <v>61</v>
      </c>
      <c r="C67" s="24"/>
      <c r="D67" s="24"/>
      <c r="E67" s="275">
        <f>SUM(E62:E66)</f>
        <v>0</v>
      </c>
    </row>
    <row r="68" spans="2:5">
      <c r="B68" s="65"/>
      <c r="C68" s="24"/>
      <c r="D68" s="67"/>
      <c r="E68" s="124"/>
    </row>
    <row r="69" spans="2:5">
      <c r="C69" s="65" t="s">
        <v>121</v>
      </c>
      <c r="D69" s="284"/>
      <c r="E69" s="275">
        <f>D69*E67</f>
        <v>0</v>
      </c>
    </row>
    <row r="70" spans="2:5" ht="16">
      <c r="B70" s="40"/>
      <c r="C70" s="63"/>
      <c r="D70" s="62"/>
      <c r="E70" s="62"/>
    </row>
    <row r="71" spans="2:5">
      <c r="B71" s="22" t="s">
        <v>73</v>
      </c>
      <c r="C71" s="914"/>
      <c r="D71" s="915"/>
      <c r="E71" s="916"/>
    </row>
    <row r="72" spans="2:5">
      <c r="B72" s="123" t="s">
        <v>38</v>
      </c>
      <c r="C72" s="914"/>
      <c r="D72" s="915"/>
      <c r="E72" s="916"/>
    </row>
    <row r="73" spans="2:5">
      <c r="B73" s="65"/>
      <c r="C73" s="24"/>
      <c r="D73" s="67"/>
      <c r="E73" s="67"/>
    </row>
    <row r="74" spans="2:5" ht="16">
      <c r="B74" s="22" t="s">
        <v>96</v>
      </c>
      <c r="C74" s="24"/>
      <c r="D74" s="125"/>
      <c r="E74" s="126" t="s">
        <v>126</v>
      </c>
    </row>
    <row r="75" spans="2:5">
      <c r="B75" s="65" t="s">
        <v>76</v>
      </c>
      <c r="C75" s="24"/>
      <c r="D75" s="24"/>
      <c r="E75" s="282">
        <v>0</v>
      </c>
    </row>
    <row r="76" spans="2:5">
      <c r="B76" s="65" t="s">
        <v>41</v>
      </c>
      <c r="C76" s="24"/>
      <c r="D76" s="24"/>
      <c r="E76" s="282">
        <v>0</v>
      </c>
    </row>
    <row r="77" spans="2:5">
      <c r="B77" s="65" t="s">
        <v>117</v>
      </c>
      <c r="C77" s="24"/>
      <c r="D77" s="24"/>
      <c r="E77" s="283">
        <f>E75-E76</f>
        <v>0</v>
      </c>
    </row>
    <row r="78" spans="2:5">
      <c r="B78" s="65" t="s">
        <v>93</v>
      </c>
      <c r="C78" s="24"/>
      <c r="D78" s="24"/>
      <c r="E78" s="284">
        <v>0</v>
      </c>
    </row>
    <row r="79" spans="2:5">
      <c r="B79" s="65" t="s">
        <v>119</v>
      </c>
      <c r="C79" s="24"/>
      <c r="D79" s="24"/>
      <c r="E79" s="282">
        <v>0</v>
      </c>
    </row>
    <row r="80" spans="2:5">
      <c r="B80" s="65"/>
      <c r="C80" s="24"/>
      <c r="D80" s="67"/>
      <c r="E80" s="124"/>
    </row>
    <row r="81" spans="2:9">
      <c r="B81" s="22" t="s">
        <v>66</v>
      </c>
      <c r="C81" s="24"/>
      <c r="D81" s="24"/>
      <c r="E81" s="127"/>
    </row>
    <row r="82" spans="2:9">
      <c r="B82" s="65" t="s">
        <v>123</v>
      </c>
      <c r="C82" s="24"/>
      <c r="D82" s="24"/>
      <c r="E82" s="283">
        <f>IF(E78=0,0,(E77-E79)/E78)</f>
        <v>0</v>
      </c>
    </row>
    <row r="83" spans="2:9">
      <c r="B83" s="65" t="s">
        <v>134</v>
      </c>
      <c r="C83" s="24"/>
      <c r="D83" s="24"/>
      <c r="E83" s="282">
        <v>0</v>
      </c>
    </row>
    <row r="84" spans="2:9">
      <c r="B84" s="65" t="s">
        <v>35</v>
      </c>
      <c r="C84" s="124" t="s">
        <v>31</v>
      </c>
      <c r="D84" s="198">
        <v>0</v>
      </c>
      <c r="E84" s="283">
        <f>D84*E77</f>
        <v>0</v>
      </c>
    </row>
    <row r="85" spans="2:9">
      <c r="B85" s="65" t="s">
        <v>82</v>
      </c>
      <c r="C85" s="124" t="s">
        <v>31</v>
      </c>
      <c r="D85" s="198">
        <v>0</v>
      </c>
      <c r="E85" s="283">
        <f>D85*E77</f>
        <v>0</v>
      </c>
    </row>
    <row r="86" spans="2:9">
      <c r="B86" s="65"/>
      <c r="C86" s="24"/>
      <c r="D86" s="67"/>
      <c r="E86" s="124"/>
    </row>
    <row r="87" spans="2:9">
      <c r="B87" s="22" t="s">
        <v>61</v>
      </c>
      <c r="C87" s="24"/>
      <c r="D87" s="24"/>
      <c r="E87" s="275">
        <f>SUM(E82:E86)</f>
        <v>0</v>
      </c>
    </row>
    <row r="88" spans="2:9">
      <c r="B88" s="65"/>
      <c r="C88" s="24"/>
      <c r="D88" s="67"/>
      <c r="E88" s="124"/>
    </row>
    <row r="89" spans="2:9">
      <c r="C89" s="65" t="s">
        <v>121</v>
      </c>
      <c r="D89" s="284">
        <v>0</v>
      </c>
      <c r="E89" s="275">
        <f>D89*E87</f>
        <v>0</v>
      </c>
    </row>
    <row r="90" spans="2:9" ht="16">
      <c r="B90" s="40"/>
      <c r="C90" s="63"/>
      <c r="D90" s="62"/>
      <c r="E90" s="62"/>
    </row>
    <row r="91" spans="2:9">
      <c r="B91" s="65"/>
      <c r="C91" s="24"/>
      <c r="D91" s="24"/>
      <c r="E91" s="68"/>
    </row>
    <row r="92" spans="2:9">
      <c r="B92" s="22" t="s">
        <v>103</v>
      </c>
      <c r="C92" s="276" t="s">
        <v>65</v>
      </c>
      <c r="D92" s="66"/>
      <c r="E92" s="277">
        <f>(E89+E69+E49+E29)</f>
        <v>0</v>
      </c>
      <c r="G92" s="517"/>
    </row>
    <row r="93" spans="2:9"/>
    <row r="94" spans="2:9" hidden="1">
      <c r="G94" s="287" t="s">
        <v>212</v>
      </c>
    </row>
    <row r="95" spans="2:9" ht="56" hidden="1">
      <c r="B95" s="147" t="s">
        <v>28</v>
      </c>
      <c r="C95" s="278" t="s">
        <v>213</v>
      </c>
      <c r="D95" s="279"/>
      <c r="E95" s="278" t="s">
        <v>214</v>
      </c>
      <c r="F95" s="279"/>
      <c r="G95" s="286">
        <f>'1.0-Contractblad'!G28</f>
        <v>0</v>
      </c>
      <c r="I95" s="279"/>
    </row>
    <row r="96" spans="2:9" hidden="1">
      <c r="B96" s="147"/>
      <c r="C96" s="278"/>
      <c r="D96" s="279"/>
      <c r="E96" s="278"/>
      <c r="F96" s="279"/>
      <c r="G96" s="286"/>
      <c r="I96" s="279"/>
    </row>
    <row r="97" spans="2:8" hidden="1">
      <c r="B97" s="280" t="s">
        <v>704</v>
      </c>
      <c r="C97" s="375">
        <f>IF($G$95=0,0,G97/$G$95)</f>
        <v>0</v>
      </c>
      <c r="D97" s="274"/>
      <c r="E97" s="277">
        <f>C97*E$92</f>
        <v>0</v>
      </c>
      <c r="F97" s="274"/>
      <c r="G97" s="183">
        <f>'1.1a-Jaarprijzen'!H11+'1.1a-Jaarprijzen'!I11</f>
        <v>0</v>
      </c>
      <c r="H97" s="917" t="s">
        <v>215</v>
      </c>
    </row>
    <row r="98" spans="2:8" hidden="1">
      <c r="B98" s="280" t="s">
        <v>990</v>
      </c>
      <c r="C98" s="375">
        <f t="shared" ref="C98:C161" si="0">IF($G$95=0,0,G98/$G$95)</f>
        <v>0</v>
      </c>
      <c r="D98" s="274"/>
      <c r="E98" s="277">
        <f t="shared" ref="E98:E138" si="1">C98*E$92</f>
        <v>0</v>
      </c>
      <c r="F98" s="274"/>
      <c r="G98" s="183">
        <f>'1.1a-Jaarprijzen'!H12+'1.1a-Jaarprijzen'!I12</f>
        <v>0</v>
      </c>
      <c r="H98" s="917"/>
    </row>
    <row r="99" spans="2:8" hidden="1">
      <c r="B99" s="280" t="s">
        <v>892</v>
      </c>
      <c r="C99" s="375">
        <f t="shared" si="0"/>
        <v>0</v>
      </c>
      <c r="D99" s="274"/>
      <c r="E99" s="277">
        <f t="shared" si="1"/>
        <v>0</v>
      </c>
      <c r="F99" s="274"/>
      <c r="G99" s="183">
        <f>'1.1a-Jaarprijzen'!H13+'1.1a-Jaarprijzen'!I13</f>
        <v>0</v>
      </c>
      <c r="H99" s="917"/>
    </row>
    <row r="100" spans="2:8" hidden="1">
      <c r="B100" s="280" t="s">
        <v>629</v>
      </c>
      <c r="C100" s="375">
        <f t="shared" si="0"/>
        <v>0</v>
      </c>
      <c r="D100" s="274"/>
      <c r="E100" s="277">
        <f t="shared" si="1"/>
        <v>0</v>
      </c>
      <c r="F100" s="274"/>
      <c r="G100" s="183">
        <f>'1.1a-Jaarprijzen'!H14+'1.1a-Jaarprijzen'!I14</f>
        <v>0</v>
      </c>
      <c r="H100" s="917"/>
    </row>
    <row r="101" spans="2:8" hidden="1">
      <c r="B101" s="280" t="s">
        <v>991</v>
      </c>
      <c r="C101" s="375">
        <f t="shared" si="0"/>
        <v>0</v>
      </c>
      <c r="D101" s="274"/>
      <c r="E101" s="277">
        <f t="shared" si="1"/>
        <v>0</v>
      </c>
      <c r="F101" s="274"/>
      <c r="G101" s="183">
        <f>'1.1a-Jaarprijzen'!H15+'1.1a-Jaarprijzen'!I15</f>
        <v>0</v>
      </c>
      <c r="H101" s="917"/>
    </row>
    <row r="102" spans="2:8" hidden="1">
      <c r="B102" s="280" t="s">
        <v>597</v>
      </c>
      <c r="C102" s="375">
        <f t="shared" si="0"/>
        <v>0</v>
      </c>
      <c r="D102" s="274"/>
      <c r="E102" s="277">
        <f t="shared" si="1"/>
        <v>0</v>
      </c>
      <c r="F102" s="274"/>
      <c r="G102" s="183">
        <f>'1.1a-Jaarprijzen'!H16+'1.1a-Jaarprijzen'!I16</f>
        <v>0</v>
      </c>
      <c r="H102" s="917"/>
    </row>
    <row r="103" spans="2:8" hidden="1">
      <c r="B103" s="280" t="s">
        <v>855</v>
      </c>
      <c r="C103" s="375">
        <f t="shared" si="0"/>
        <v>0</v>
      </c>
      <c r="D103" s="274"/>
      <c r="E103" s="277">
        <f t="shared" si="1"/>
        <v>0</v>
      </c>
      <c r="F103" s="274"/>
      <c r="G103" s="183">
        <f>'1.1a-Jaarprijzen'!H17+'1.1a-Jaarprijzen'!I17</f>
        <v>0</v>
      </c>
      <c r="H103" s="917"/>
    </row>
    <row r="104" spans="2:8" hidden="1">
      <c r="B104" s="280" t="s">
        <v>550</v>
      </c>
      <c r="C104" s="375">
        <f t="shared" si="0"/>
        <v>0</v>
      </c>
      <c r="D104" s="274"/>
      <c r="E104" s="277">
        <f t="shared" si="1"/>
        <v>0</v>
      </c>
      <c r="F104" s="274"/>
      <c r="G104" s="183">
        <f>'1.1a-Jaarprijzen'!H18+'1.1a-Jaarprijzen'!I18</f>
        <v>0</v>
      </c>
      <c r="H104" s="917"/>
    </row>
    <row r="105" spans="2:8" hidden="1">
      <c r="B105" s="280" t="s">
        <v>922</v>
      </c>
      <c r="C105" s="375">
        <f t="shared" si="0"/>
        <v>0</v>
      </c>
      <c r="D105" s="274"/>
      <c r="E105" s="277">
        <f t="shared" si="1"/>
        <v>0</v>
      </c>
      <c r="F105" s="274"/>
      <c r="G105" s="183">
        <f>'1.1a-Jaarprijzen'!H19+'1.1a-Jaarprijzen'!I19</f>
        <v>0</v>
      </c>
      <c r="H105" s="917"/>
    </row>
    <row r="106" spans="2:8" hidden="1">
      <c r="B106" s="280" t="s">
        <v>834</v>
      </c>
      <c r="C106" s="375">
        <f t="shared" si="0"/>
        <v>0</v>
      </c>
      <c r="D106" s="274"/>
      <c r="E106" s="277">
        <f t="shared" si="1"/>
        <v>0</v>
      </c>
      <c r="F106" s="274"/>
      <c r="G106" s="183">
        <f>'1.1a-Jaarprijzen'!H20+'1.1a-Jaarprijzen'!I20</f>
        <v>0</v>
      </c>
      <c r="H106" s="917"/>
    </row>
    <row r="107" spans="2:8" hidden="1">
      <c r="B107" s="280" t="s">
        <v>866</v>
      </c>
      <c r="C107" s="375">
        <f t="shared" si="0"/>
        <v>0</v>
      </c>
      <c r="D107" s="274"/>
      <c r="E107" s="277">
        <f t="shared" si="1"/>
        <v>0</v>
      </c>
      <c r="F107" s="274"/>
      <c r="G107" s="183">
        <f>'1.1a-Jaarprijzen'!H21+'1.1a-Jaarprijzen'!I21</f>
        <v>0</v>
      </c>
      <c r="H107" s="917"/>
    </row>
    <row r="108" spans="2:8" hidden="1">
      <c r="B108" s="280" t="s">
        <v>777</v>
      </c>
      <c r="C108" s="375">
        <f t="shared" si="0"/>
        <v>0</v>
      </c>
      <c r="D108" s="274"/>
      <c r="E108" s="277">
        <f t="shared" si="1"/>
        <v>0</v>
      </c>
      <c r="F108" s="274"/>
      <c r="G108" s="183">
        <f>'1.1a-Jaarprijzen'!H22+'1.1a-Jaarprijzen'!I22</f>
        <v>0</v>
      </c>
      <c r="H108" s="303"/>
    </row>
    <row r="109" spans="2:8" hidden="1">
      <c r="B109" s="280" t="s">
        <v>956</v>
      </c>
      <c r="C109" s="375">
        <f t="shared" si="0"/>
        <v>0</v>
      </c>
      <c r="D109" s="274"/>
      <c r="E109" s="277">
        <f t="shared" si="1"/>
        <v>0</v>
      </c>
      <c r="F109" s="274"/>
      <c r="G109" s="183">
        <f>'1.1a-Jaarprijzen'!H23+'1.1a-Jaarprijzen'!I23</f>
        <v>0</v>
      </c>
      <c r="H109" s="303"/>
    </row>
    <row r="110" spans="2:8" hidden="1">
      <c r="B110" s="280" t="s">
        <v>863</v>
      </c>
      <c r="C110" s="375">
        <f t="shared" si="0"/>
        <v>0</v>
      </c>
      <c r="D110" s="274"/>
      <c r="E110" s="277">
        <f t="shared" si="1"/>
        <v>0</v>
      </c>
      <c r="F110" s="274"/>
      <c r="G110" s="183">
        <f>'1.1a-Jaarprijzen'!H24+'1.1a-Jaarprijzen'!I24</f>
        <v>0</v>
      </c>
      <c r="H110" s="303"/>
    </row>
    <row r="111" spans="2:8" hidden="1">
      <c r="B111" s="280" t="s">
        <v>519</v>
      </c>
      <c r="C111" s="375">
        <f t="shared" si="0"/>
        <v>0</v>
      </c>
      <c r="D111" s="274"/>
      <c r="E111" s="277">
        <f t="shared" si="1"/>
        <v>0</v>
      </c>
      <c r="F111" s="274"/>
      <c r="G111" s="183">
        <f>'1.1a-Jaarprijzen'!H25+'1.1a-Jaarprijzen'!I25</f>
        <v>0</v>
      </c>
      <c r="H111" s="556"/>
    </row>
    <row r="112" spans="2:8" hidden="1">
      <c r="B112" s="280" t="s">
        <v>635</v>
      </c>
      <c r="C112" s="375">
        <f t="shared" si="0"/>
        <v>0</v>
      </c>
      <c r="D112" s="274"/>
      <c r="E112" s="277">
        <f t="shared" si="1"/>
        <v>0</v>
      </c>
      <c r="F112" s="274"/>
      <c r="G112" s="183">
        <f>'1.1a-Jaarprijzen'!H26+'1.1a-Jaarprijzen'!I26</f>
        <v>0</v>
      </c>
      <c r="H112" s="556"/>
    </row>
    <row r="113" spans="2:8" hidden="1">
      <c r="B113" s="280" t="s">
        <v>738</v>
      </c>
      <c r="C113" s="375">
        <f t="shared" si="0"/>
        <v>0</v>
      </c>
      <c r="D113" s="274"/>
      <c r="E113" s="277">
        <f t="shared" si="1"/>
        <v>0</v>
      </c>
      <c r="F113" s="274"/>
      <c r="G113" s="183">
        <f>'1.1a-Jaarprijzen'!H27+'1.1a-Jaarprijzen'!I27</f>
        <v>0</v>
      </c>
      <c r="H113" s="556"/>
    </row>
    <row r="114" spans="2:8" hidden="1">
      <c r="B114" s="280" t="s">
        <v>948</v>
      </c>
      <c r="C114" s="375">
        <f t="shared" si="0"/>
        <v>0</v>
      </c>
      <c r="D114" s="274"/>
      <c r="E114" s="277">
        <f t="shared" si="1"/>
        <v>0</v>
      </c>
      <c r="F114" s="274"/>
      <c r="G114" s="183">
        <f>'1.1a-Jaarprijzen'!H28+'1.1a-Jaarprijzen'!I28</f>
        <v>0</v>
      </c>
      <c r="H114" s="556"/>
    </row>
    <row r="115" spans="2:8" hidden="1">
      <c r="B115" s="280" t="s">
        <v>586</v>
      </c>
      <c r="C115" s="375">
        <f t="shared" si="0"/>
        <v>0</v>
      </c>
      <c r="D115" s="274"/>
      <c r="E115" s="277">
        <f t="shared" si="1"/>
        <v>0</v>
      </c>
      <c r="F115" s="274"/>
      <c r="G115" s="183">
        <f>'1.1a-Jaarprijzen'!H29+'1.1a-Jaarprijzen'!I29</f>
        <v>0</v>
      </c>
      <c r="H115" s="556"/>
    </row>
    <row r="116" spans="2:8" hidden="1">
      <c r="B116" s="280" t="s">
        <v>672</v>
      </c>
      <c r="C116" s="375">
        <f t="shared" si="0"/>
        <v>0</v>
      </c>
      <c r="D116" s="274"/>
      <c r="E116" s="277">
        <f t="shared" si="1"/>
        <v>0</v>
      </c>
      <c r="F116" s="274"/>
      <c r="G116" s="183">
        <f>'1.1a-Jaarprijzen'!H31+'1.1a-Jaarprijzen'!I31</f>
        <v>0</v>
      </c>
      <c r="H116" s="556"/>
    </row>
    <row r="117" spans="2:8" hidden="1">
      <c r="B117" s="280" t="s">
        <v>992</v>
      </c>
      <c r="C117" s="375">
        <f t="shared" si="0"/>
        <v>0</v>
      </c>
      <c r="D117" s="274"/>
      <c r="E117" s="277">
        <f t="shared" si="1"/>
        <v>0</v>
      </c>
      <c r="F117" s="274"/>
      <c r="G117" s="183">
        <f>'1.1a-Jaarprijzen'!H32+'1.1a-Jaarprijzen'!I32</f>
        <v>0</v>
      </c>
      <c r="H117" s="556"/>
    </row>
    <row r="118" spans="2:8" hidden="1">
      <c r="B118" s="280" t="s">
        <v>485</v>
      </c>
      <c r="C118" s="375">
        <f t="shared" si="0"/>
        <v>0</v>
      </c>
      <c r="D118" s="274"/>
      <c r="E118" s="277">
        <f t="shared" si="1"/>
        <v>0</v>
      </c>
      <c r="F118" s="274"/>
      <c r="G118" s="183">
        <f>'1.1a-Jaarprijzen'!H33+'1.1a-Jaarprijzen'!I33</f>
        <v>0</v>
      </c>
      <c r="H118" s="556"/>
    </row>
    <row r="119" spans="2:8" hidden="1">
      <c r="B119" s="280" t="s">
        <v>797</v>
      </c>
      <c r="C119" s="375">
        <f t="shared" si="0"/>
        <v>0</v>
      </c>
      <c r="D119" s="274"/>
      <c r="E119" s="277">
        <f t="shared" si="1"/>
        <v>0</v>
      </c>
      <c r="F119" s="274"/>
      <c r="G119" s="183">
        <f>'1.1a-Jaarprijzen'!H34+'1.1a-Jaarprijzen'!I34</f>
        <v>0</v>
      </c>
      <c r="H119" s="574"/>
    </row>
    <row r="120" spans="2:8" hidden="1">
      <c r="B120" s="280" t="s">
        <v>701</v>
      </c>
      <c r="C120" s="375">
        <f t="shared" si="0"/>
        <v>0</v>
      </c>
      <c r="D120" s="274"/>
      <c r="E120" s="277">
        <f t="shared" si="1"/>
        <v>0</v>
      </c>
      <c r="F120" s="274"/>
      <c r="G120" s="183">
        <f>'1.1a-Jaarprijzen'!H35+'1.1a-Jaarprijzen'!I35</f>
        <v>0</v>
      </c>
      <c r="H120" s="574"/>
    </row>
    <row r="121" spans="2:8" hidden="1">
      <c r="B121" s="280" t="s">
        <v>700</v>
      </c>
      <c r="C121" s="375">
        <f t="shared" si="0"/>
        <v>0</v>
      </c>
      <c r="D121" s="274"/>
      <c r="E121" s="277">
        <f t="shared" si="1"/>
        <v>0</v>
      </c>
      <c r="F121" s="274"/>
      <c r="G121" s="183">
        <f>'1.1a-Jaarprijzen'!H36+'1.1a-Jaarprijzen'!I36</f>
        <v>0</v>
      </c>
      <c r="H121" s="574"/>
    </row>
    <row r="122" spans="2:8" hidden="1">
      <c r="B122" s="280" t="s">
        <v>858</v>
      </c>
      <c r="C122" s="375">
        <f t="shared" si="0"/>
        <v>0</v>
      </c>
      <c r="D122" s="274"/>
      <c r="E122" s="277">
        <f t="shared" si="1"/>
        <v>0</v>
      </c>
      <c r="F122" s="274"/>
      <c r="G122" s="183">
        <f>'1.1a-Jaarprijzen'!H37+'1.1a-Jaarprijzen'!I37</f>
        <v>0</v>
      </c>
      <c r="H122" s="574"/>
    </row>
    <row r="123" spans="2:8" hidden="1">
      <c r="B123" s="280" t="s">
        <v>857</v>
      </c>
      <c r="C123" s="375">
        <f t="shared" si="0"/>
        <v>0</v>
      </c>
      <c r="D123" s="274"/>
      <c r="E123" s="277">
        <f t="shared" si="1"/>
        <v>0</v>
      </c>
      <c r="F123" s="274"/>
      <c r="G123" s="183">
        <f>'1.1a-Jaarprijzen'!H38+'1.1a-Jaarprijzen'!I38</f>
        <v>0</v>
      </c>
      <c r="H123" s="574"/>
    </row>
    <row r="124" spans="2:8" hidden="1">
      <c r="B124" s="280" t="s">
        <v>1013</v>
      </c>
      <c r="C124" s="375">
        <f t="shared" si="0"/>
        <v>0</v>
      </c>
      <c r="D124" s="274"/>
      <c r="E124" s="277">
        <f t="shared" si="1"/>
        <v>0</v>
      </c>
      <c r="F124" s="274"/>
      <c r="G124" s="183">
        <f>'1.1a-Jaarprijzen'!H39+'1.1a-Jaarprijzen'!I39</f>
        <v>0</v>
      </c>
      <c r="H124" s="574"/>
    </row>
    <row r="125" spans="2:8" hidden="1">
      <c r="B125" s="280" t="s">
        <v>1014</v>
      </c>
      <c r="C125" s="375">
        <f t="shared" si="0"/>
        <v>0</v>
      </c>
      <c r="D125" s="274"/>
      <c r="E125" s="277">
        <f t="shared" si="1"/>
        <v>0</v>
      </c>
      <c r="F125" s="274"/>
      <c r="G125" s="183">
        <f>'1.1a-Jaarprijzen'!H40+'1.1a-Jaarprijzen'!I40</f>
        <v>0</v>
      </c>
      <c r="H125" s="574"/>
    </row>
    <row r="126" spans="2:8" hidden="1">
      <c r="B126" s="280" t="s">
        <v>1015</v>
      </c>
      <c r="C126" s="375">
        <f t="shared" si="0"/>
        <v>0</v>
      </c>
      <c r="D126" s="274"/>
      <c r="E126" s="277">
        <f t="shared" si="1"/>
        <v>0</v>
      </c>
      <c r="F126" s="274"/>
      <c r="G126" s="183">
        <f>'1.1a-Jaarprijzen'!H41+'1.1a-Jaarprijzen'!I41</f>
        <v>0</v>
      </c>
      <c r="H126" s="574"/>
    </row>
    <row r="127" spans="2:8" hidden="1">
      <c r="B127" s="280" t="s">
        <v>1017</v>
      </c>
      <c r="C127" s="375">
        <f t="shared" si="0"/>
        <v>0</v>
      </c>
      <c r="D127" s="274"/>
      <c r="E127" s="277">
        <f t="shared" si="1"/>
        <v>0</v>
      </c>
      <c r="F127" s="274"/>
      <c r="G127" s="183">
        <f>'1.1a-Jaarprijzen'!H42+'1.1a-Jaarprijzen'!I42</f>
        <v>0</v>
      </c>
      <c r="H127" s="681"/>
    </row>
    <row r="128" spans="2:8" hidden="1">
      <c r="B128" s="280" t="s">
        <v>1016</v>
      </c>
      <c r="C128" s="375">
        <f t="shared" si="0"/>
        <v>0</v>
      </c>
      <c r="D128" s="274"/>
      <c r="E128" s="277">
        <f t="shared" si="1"/>
        <v>0</v>
      </c>
      <c r="F128" s="274"/>
      <c r="G128" s="183">
        <f>'1.1a-Jaarprijzen'!H43+'1.1a-Jaarprijzen'!I43</f>
        <v>0</v>
      </c>
      <c r="H128" s="681"/>
    </row>
    <row r="129" spans="2:8" hidden="1">
      <c r="B129" s="280" t="s">
        <v>1049</v>
      </c>
      <c r="C129" s="375">
        <f t="shared" si="0"/>
        <v>0</v>
      </c>
      <c r="D129" s="274"/>
      <c r="E129" s="277">
        <f t="shared" si="1"/>
        <v>0</v>
      </c>
      <c r="F129" s="274"/>
      <c r="G129" s="183">
        <f>'1.1a-Jaarprijzen'!H44+'1.1a-Jaarprijzen'!I44</f>
        <v>0</v>
      </c>
      <c r="H129" s="681"/>
    </row>
    <row r="130" spans="2:8" hidden="1">
      <c r="B130" s="280" t="s">
        <v>1041</v>
      </c>
      <c r="C130" s="375">
        <f t="shared" si="0"/>
        <v>0</v>
      </c>
      <c r="D130" s="274"/>
      <c r="E130" s="277">
        <f t="shared" si="1"/>
        <v>0</v>
      </c>
      <c r="F130" s="274"/>
      <c r="G130" s="183">
        <f>'1.1a-Jaarprijzen'!H45+'1.1a-Jaarprijzen'!I45</f>
        <v>0</v>
      </c>
      <c r="H130" s="681"/>
    </row>
    <row r="131" spans="2:8" hidden="1">
      <c r="B131" s="280" t="s">
        <v>1043</v>
      </c>
      <c r="C131" s="375">
        <f t="shared" si="0"/>
        <v>0</v>
      </c>
      <c r="D131" s="274"/>
      <c r="E131" s="277">
        <f t="shared" si="1"/>
        <v>0</v>
      </c>
      <c r="F131" s="274"/>
      <c r="G131" s="183">
        <f>'1.1a-Jaarprijzen'!H46+'1.1a-Jaarprijzen'!I46</f>
        <v>0</v>
      </c>
      <c r="H131" s="681"/>
    </row>
    <row r="132" spans="2:8" hidden="1">
      <c r="B132" s="280" t="s">
        <v>1042</v>
      </c>
      <c r="C132" s="375">
        <f t="shared" si="0"/>
        <v>0</v>
      </c>
      <c r="D132" s="274"/>
      <c r="E132" s="277">
        <f t="shared" si="1"/>
        <v>0</v>
      </c>
      <c r="F132" s="274"/>
      <c r="G132" s="183">
        <f>'1.1a-Jaarprijzen'!H47+'1.1a-Jaarprijzen'!I47</f>
        <v>0</v>
      </c>
      <c r="H132" s="681"/>
    </row>
    <row r="133" spans="2:8" hidden="1">
      <c r="B133" s="280" t="s">
        <v>1080</v>
      </c>
      <c r="C133" s="375">
        <f t="shared" si="0"/>
        <v>0</v>
      </c>
      <c r="D133" s="274"/>
      <c r="E133" s="277">
        <f t="shared" si="1"/>
        <v>0</v>
      </c>
      <c r="F133" s="274"/>
      <c r="G133" s="183">
        <f>'1.1a-Jaarprijzen'!H48+'1.1a-Jaarprijzen'!I48</f>
        <v>0</v>
      </c>
      <c r="H133" s="681"/>
    </row>
    <row r="134" spans="2:8" hidden="1">
      <c r="B134" s="280" t="s">
        <v>1082</v>
      </c>
      <c r="C134" s="375">
        <f t="shared" si="0"/>
        <v>0</v>
      </c>
      <c r="D134" s="274"/>
      <c r="E134" s="277">
        <f t="shared" si="1"/>
        <v>0</v>
      </c>
      <c r="F134" s="274"/>
      <c r="G134" s="183">
        <f>'1.1a-Jaarprijzen'!H49+'1.1a-Jaarprijzen'!I49</f>
        <v>0</v>
      </c>
      <c r="H134" s="681"/>
    </row>
    <row r="135" spans="2:8" hidden="1">
      <c r="B135" s="280" t="s">
        <v>1084</v>
      </c>
      <c r="C135" s="375">
        <f t="shared" si="0"/>
        <v>0</v>
      </c>
      <c r="D135" s="274"/>
      <c r="E135" s="277">
        <f t="shared" si="1"/>
        <v>0</v>
      </c>
      <c r="F135" s="274"/>
      <c r="G135" s="183">
        <f>'1.1a-Jaarprijzen'!H50+'1.1a-Jaarprijzen'!I50</f>
        <v>0</v>
      </c>
      <c r="H135" s="681"/>
    </row>
    <row r="136" spans="2:8" hidden="1">
      <c r="B136" s="280" t="s">
        <v>1085</v>
      </c>
      <c r="C136" s="375">
        <f t="shared" si="0"/>
        <v>0</v>
      </c>
      <c r="D136" s="274"/>
      <c r="E136" s="277">
        <f t="shared" si="1"/>
        <v>0</v>
      </c>
      <c r="F136" s="274"/>
      <c r="G136" s="183">
        <f>'1.1a-Jaarprijzen'!H51+'1.1a-Jaarprijzen'!I51</f>
        <v>0</v>
      </c>
      <c r="H136" s="681"/>
    </row>
    <row r="137" spans="2:8" hidden="1">
      <c r="B137" s="280" t="s">
        <v>1047</v>
      </c>
      <c r="C137" s="375">
        <f t="shared" si="0"/>
        <v>0</v>
      </c>
      <c r="D137" s="274"/>
      <c r="E137" s="277">
        <f t="shared" si="1"/>
        <v>0</v>
      </c>
      <c r="F137" s="274"/>
      <c r="G137" s="183">
        <f>'1.1a-Jaarprijzen'!H52+'1.1a-Jaarprijzen'!I52</f>
        <v>0</v>
      </c>
      <c r="H137" s="681"/>
    </row>
    <row r="138" spans="2:8" hidden="1">
      <c r="B138" s="280" t="s">
        <v>1083</v>
      </c>
      <c r="C138" s="375">
        <f t="shared" si="0"/>
        <v>0</v>
      </c>
      <c r="D138" s="274"/>
      <c r="E138" s="277">
        <f t="shared" si="1"/>
        <v>0</v>
      </c>
      <c r="F138" s="274"/>
      <c r="G138" s="183">
        <f>'1.1a-Jaarprijzen'!H53+'1.1a-Jaarprijzen'!I53</f>
        <v>0</v>
      </c>
      <c r="H138" s="681"/>
    </row>
    <row r="139" spans="2:8" hidden="1">
      <c r="B139" s="280" t="s">
        <v>1086</v>
      </c>
      <c r="C139" s="375">
        <f t="shared" si="0"/>
        <v>0</v>
      </c>
      <c r="D139" s="274"/>
      <c r="E139" s="277">
        <f t="shared" ref="E139:E161" si="2">C139*E$92</f>
        <v>0</v>
      </c>
      <c r="F139" s="274"/>
      <c r="G139" s="183">
        <f>'1.1a-Jaarprijzen'!H54+'1.1a-Jaarprijzen'!I54</f>
        <v>0</v>
      </c>
      <c r="H139" s="681"/>
    </row>
    <row r="140" spans="2:8" hidden="1">
      <c r="B140" s="280" t="s">
        <v>1076</v>
      </c>
      <c r="C140" s="375">
        <f t="shared" si="0"/>
        <v>0</v>
      </c>
      <c r="D140" s="274"/>
      <c r="E140" s="277">
        <f t="shared" si="2"/>
        <v>0</v>
      </c>
      <c r="F140" s="274"/>
      <c r="G140" s="183">
        <f>'1.1a-Jaarprijzen'!H55+'1.1a-Jaarprijzen'!I55</f>
        <v>0</v>
      </c>
      <c r="H140" s="681"/>
    </row>
    <row r="141" spans="2:8" hidden="1">
      <c r="B141" s="280" t="s">
        <v>1078</v>
      </c>
      <c r="C141" s="375">
        <f t="shared" si="0"/>
        <v>0</v>
      </c>
      <c r="D141" s="274"/>
      <c r="E141" s="277">
        <f t="shared" si="2"/>
        <v>0</v>
      </c>
      <c r="F141" s="274"/>
      <c r="G141" s="183">
        <f>'1.1a-Jaarprijzen'!H56+'1.1a-Jaarprijzen'!I56</f>
        <v>0</v>
      </c>
      <c r="H141" s="681"/>
    </row>
    <row r="142" spans="2:8" hidden="1">
      <c r="B142" s="280" t="s">
        <v>1044</v>
      </c>
      <c r="C142" s="375">
        <f t="shared" si="0"/>
        <v>0</v>
      </c>
      <c r="D142" s="274"/>
      <c r="E142" s="277">
        <f t="shared" si="2"/>
        <v>0</v>
      </c>
      <c r="F142" s="274"/>
      <c r="G142" s="183">
        <f>'1.1a-Jaarprijzen'!H57+'1.1a-Jaarprijzen'!I57</f>
        <v>0</v>
      </c>
      <c r="H142" s="681"/>
    </row>
    <row r="143" spans="2:8" hidden="1">
      <c r="B143" s="280" t="s">
        <v>1077</v>
      </c>
      <c r="C143" s="375">
        <f t="shared" si="0"/>
        <v>0</v>
      </c>
      <c r="D143" s="274"/>
      <c r="E143" s="277">
        <f t="shared" si="2"/>
        <v>0</v>
      </c>
      <c r="F143" s="274"/>
      <c r="G143" s="183">
        <f>'1.1a-Jaarprijzen'!H58+'1.1a-Jaarprijzen'!I58</f>
        <v>0</v>
      </c>
      <c r="H143" s="681"/>
    </row>
    <row r="144" spans="2:8" hidden="1">
      <c r="B144" s="280" t="s">
        <v>1048</v>
      </c>
      <c r="C144" s="375">
        <f t="shared" si="0"/>
        <v>0</v>
      </c>
      <c r="D144" s="274"/>
      <c r="E144" s="277">
        <f t="shared" si="2"/>
        <v>0</v>
      </c>
      <c r="F144" s="274"/>
      <c r="G144" s="183">
        <f>'1.1a-Jaarprijzen'!H59+'1.1a-Jaarprijzen'!I59</f>
        <v>0</v>
      </c>
      <c r="H144" s="681"/>
    </row>
    <row r="145" spans="2:8" hidden="1">
      <c r="B145" s="280" t="s">
        <v>1045</v>
      </c>
      <c r="C145" s="375">
        <f t="shared" si="0"/>
        <v>0</v>
      </c>
      <c r="D145" s="274"/>
      <c r="E145" s="277">
        <f t="shared" si="2"/>
        <v>0</v>
      </c>
      <c r="F145" s="274"/>
      <c r="G145" s="183">
        <f>'1.1a-Jaarprijzen'!H60+'1.1a-Jaarprijzen'!I60</f>
        <v>0</v>
      </c>
      <c r="H145" s="681"/>
    </row>
    <row r="146" spans="2:8" hidden="1">
      <c r="B146" s="280" t="s">
        <v>1046</v>
      </c>
      <c r="C146" s="375">
        <f t="shared" si="0"/>
        <v>0</v>
      </c>
      <c r="D146" s="274"/>
      <c r="E146" s="277">
        <f t="shared" si="2"/>
        <v>0</v>
      </c>
      <c r="F146" s="274"/>
      <c r="G146" s="183">
        <f>'1.1a-Jaarprijzen'!H61+'1.1a-Jaarprijzen'!I61</f>
        <v>0</v>
      </c>
      <c r="H146" s="681"/>
    </row>
    <row r="147" spans="2:8" hidden="1">
      <c r="B147" s="280" t="s">
        <v>973</v>
      </c>
      <c r="C147" s="375">
        <f t="shared" si="0"/>
        <v>0</v>
      </c>
      <c r="D147" s="274"/>
      <c r="E147" s="277">
        <f t="shared" si="2"/>
        <v>0</v>
      </c>
      <c r="F147" s="274"/>
      <c r="G147" s="183">
        <f>'1.1a-Jaarprijzen'!H62+'1.1a-Jaarprijzen'!I62</f>
        <v>0</v>
      </c>
      <c r="H147" s="681"/>
    </row>
    <row r="148" spans="2:8" hidden="1">
      <c r="B148" s="280" t="s">
        <v>974</v>
      </c>
      <c r="C148" s="375">
        <f t="shared" si="0"/>
        <v>0</v>
      </c>
      <c r="D148" s="274"/>
      <c r="E148" s="277">
        <f t="shared" si="2"/>
        <v>0</v>
      </c>
      <c r="F148" s="274"/>
      <c r="G148" s="183">
        <f>'1.1a-Jaarprijzen'!H63+'1.1a-Jaarprijzen'!I63</f>
        <v>0</v>
      </c>
      <c r="H148" s="681"/>
    </row>
    <row r="149" spans="2:8" hidden="1">
      <c r="B149" s="280" t="s">
        <v>967</v>
      </c>
      <c r="C149" s="375">
        <f t="shared" si="0"/>
        <v>0</v>
      </c>
      <c r="D149" s="274"/>
      <c r="E149" s="277">
        <f t="shared" si="2"/>
        <v>0</v>
      </c>
      <c r="F149" s="274"/>
      <c r="G149" s="183">
        <f>'1.1a-Jaarprijzen'!H64+'1.1a-Jaarprijzen'!I64</f>
        <v>0</v>
      </c>
      <c r="H149" s="681"/>
    </row>
    <row r="150" spans="2:8" hidden="1">
      <c r="B150" s="280" t="s">
        <v>975</v>
      </c>
      <c r="C150" s="375">
        <f t="shared" si="0"/>
        <v>0</v>
      </c>
      <c r="D150" s="274"/>
      <c r="E150" s="277">
        <f t="shared" si="2"/>
        <v>0</v>
      </c>
      <c r="F150" s="274"/>
      <c r="G150" s="183">
        <f>'1.1a-Jaarprijzen'!H65+'1.1a-Jaarprijzen'!I65</f>
        <v>0</v>
      </c>
      <c r="H150" s="681"/>
    </row>
    <row r="151" spans="2:8" hidden="1">
      <c r="B151" s="280" t="s">
        <v>971</v>
      </c>
      <c r="C151" s="375">
        <f t="shared" si="0"/>
        <v>0</v>
      </c>
      <c r="D151" s="274"/>
      <c r="E151" s="277">
        <f t="shared" si="2"/>
        <v>0</v>
      </c>
      <c r="F151" s="274"/>
      <c r="G151" s="183">
        <f>'1.1a-Jaarprijzen'!H66+'1.1a-Jaarprijzen'!I66</f>
        <v>0</v>
      </c>
      <c r="H151" s="681"/>
    </row>
    <row r="152" spans="2:8" hidden="1">
      <c r="B152" s="280" t="s">
        <v>969</v>
      </c>
      <c r="C152" s="375">
        <f t="shared" si="0"/>
        <v>0</v>
      </c>
      <c r="D152" s="274"/>
      <c r="E152" s="277">
        <f t="shared" si="2"/>
        <v>0</v>
      </c>
      <c r="F152" s="274"/>
      <c r="G152" s="183">
        <f>'1.1a-Jaarprijzen'!H30+'1.1a-Jaarprijzen'!I30</f>
        <v>0</v>
      </c>
      <c r="H152" s="681"/>
    </row>
    <row r="153" spans="2:8" hidden="1">
      <c r="B153" s="280" t="s">
        <v>972</v>
      </c>
      <c r="C153" s="375">
        <f t="shared" si="0"/>
        <v>0</v>
      </c>
      <c r="D153" s="274"/>
      <c r="E153" s="277">
        <f t="shared" si="2"/>
        <v>0</v>
      </c>
      <c r="F153" s="274"/>
      <c r="G153" s="183">
        <f>'1.1a-Jaarprijzen'!H67+'1.1a-Jaarprijzen'!I67</f>
        <v>0</v>
      </c>
      <c r="H153" s="681"/>
    </row>
    <row r="154" spans="2:8" hidden="1">
      <c r="B154" s="280" t="s">
        <v>1238</v>
      </c>
      <c r="C154" s="375">
        <f t="shared" si="0"/>
        <v>0</v>
      </c>
      <c r="D154" s="274"/>
      <c r="E154" s="277">
        <f t="shared" si="2"/>
        <v>0</v>
      </c>
      <c r="F154" s="274"/>
      <c r="G154" s="183">
        <f>'1.1a-Jaarprijzen'!H68+'1.1a-Jaarprijzen'!I68</f>
        <v>0</v>
      </c>
      <c r="H154" s="681"/>
    </row>
    <row r="155" spans="2:8" hidden="1">
      <c r="B155" s="280" t="s">
        <v>1239</v>
      </c>
      <c r="C155" s="375">
        <f t="shared" si="0"/>
        <v>0</v>
      </c>
      <c r="D155" s="274"/>
      <c r="E155" s="277">
        <f t="shared" si="2"/>
        <v>0</v>
      </c>
      <c r="F155" s="274"/>
      <c r="G155" s="183">
        <f>'1.1a-Jaarprijzen'!H69+'1.1a-Jaarprijzen'!I69</f>
        <v>0</v>
      </c>
      <c r="H155" s="681"/>
    </row>
    <row r="156" spans="2:8" hidden="1">
      <c r="B156" s="280" t="s">
        <v>1240</v>
      </c>
      <c r="C156" s="375">
        <f t="shared" si="0"/>
        <v>0</v>
      </c>
      <c r="D156" s="274"/>
      <c r="E156" s="277">
        <f t="shared" si="2"/>
        <v>0</v>
      </c>
      <c r="F156" s="274"/>
      <c r="G156" s="183">
        <f>'1.1a-Jaarprijzen'!H70+'1.1a-Jaarprijzen'!I70</f>
        <v>0</v>
      </c>
      <c r="H156" s="681"/>
    </row>
    <row r="157" spans="2:8" hidden="1">
      <c r="B157" s="280" t="s">
        <v>1023</v>
      </c>
      <c r="C157" s="375">
        <f t="shared" si="0"/>
        <v>0</v>
      </c>
      <c r="D157" s="274"/>
      <c r="E157" s="277">
        <f t="shared" si="2"/>
        <v>0</v>
      </c>
      <c r="F157" s="274"/>
      <c r="G157" s="183">
        <f>'1.1a-Jaarprijzen'!H71+'1.1a-Jaarprijzen'!I71</f>
        <v>0</v>
      </c>
      <c r="H157" s="681"/>
    </row>
    <row r="158" spans="2:8" hidden="1">
      <c r="B158" s="280" t="s">
        <v>1055</v>
      </c>
      <c r="C158" s="375">
        <f t="shared" si="0"/>
        <v>0</v>
      </c>
      <c r="D158" s="274"/>
      <c r="E158" s="277">
        <f t="shared" si="2"/>
        <v>0</v>
      </c>
      <c r="F158" s="274"/>
      <c r="G158" s="183">
        <f>'1.1a-Jaarprijzen'!H72+'1.1a-Jaarprijzen'!I72</f>
        <v>0</v>
      </c>
      <c r="H158" s="681"/>
    </row>
    <row r="159" spans="2:8" hidden="1">
      <c r="B159" s="280" t="s">
        <v>1020</v>
      </c>
      <c r="C159" s="375">
        <f t="shared" si="0"/>
        <v>0</v>
      </c>
      <c r="D159" s="274"/>
      <c r="E159" s="277">
        <f t="shared" si="2"/>
        <v>0</v>
      </c>
      <c r="F159" s="274"/>
      <c r="G159" s="183">
        <f>'1.1a-Jaarprijzen'!H73+'1.1a-Jaarprijzen'!I73</f>
        <v>0</v>
      </c>
      <c r="H159" s="681"/>
    </row>
    <row r="160" spans="2:8" hidden="1">
      <c r="B160" s="280" t="s">
        <v>1025</v>
      </c>
      <c r="C160" s="375">
        <f t="shared" si="0"/>
        <v>0</v>
      </c>
      <c r="D160" s="274"/>
      <c r="E160" s="277">
        <f t="shared" si="2"/>
        <v>0</v>
      </c>
      <c r="F160" s="274"/>
      <c r="G160" s="183">
        <f>'1.1a-Jaarprijzen'!H74+'1.1a-Jaarprijzen'!I74</f>
        <v>0</v>
      </c>
      <c r="H160" s="681"/>
    </row>
    <row r="161" spans="2:8" hidden="1">
      <c r="B161" s="280" t="s">
        <v>1053</v>
      </c>
      <c r="C161" s="375">
        <f t="shared" si="0"/>
        <v>0</v>
      </c>
      <c r="D161" s="274"/>
      <c r="E161" s="277">
        <f t="shared" si="2"/>
        <v>0</v>
      </c>
      <c r="F161" s="274"/>
      <c r="G161" s="183">
        <f>'1.1a-Jaarprijzen'!H75+'1.1a-Jaarprijzen'!I75</f>
        <v>0</v>
      </c>
      <c r="H161" s="681"/>
    </row>
    <row r="162" spans="2:8" hidden="1">
      <c r="B162" s="280" t="s">
        <v>1022</v>
      </c>
      <c r="C162" s="375">
        <f t="shared" ref="C162:C207" si="3">IF($G$95=0,0,G162/$G$95)</f>
        <v>0</v>
      </c>
      <c r="D162" s="274"/>
      <c r="E162" s="277">
        <f t="shared" ref="E162:E207" si="4">C162*E$92</f>
        <v>0</v>
      </c>
      <c r="F162" s="274"/>
      <c r="G162" s="183">
        <f>'1.1a-Jaarprijzen'!H76+'1.1a-Jaarprijzen'!I76</f>
        <v>0</v>
      </c>
      <c r="H162" s="681"/>
    </row>
    <row r="163" spans="2:8" hidden="1">
      <c r="B163" s="280" t="s">
        <v>1026</v>
      </c>
      <c r="C163" s="375">
        <f t="shared" si="3"/>
        <v>0</v>
      </c>
      <c r="D163" s="274"/>
      <c r="E163" s="277">
        <f t="shared" si="4"/>
        <v>0</v>
      </c>
      <c r="F163" s="274"/>
      <c r="G163" s="183">
        <f>'1.1a-Jaarprijzen'!H77+'1.1a-Jaarprijzen'!I77</f>
        <v>0</v>
      </c>
      <c r="H163" s="681"/>
    </row>
    <row r="164" spans="2:8" hidden="1">
      <c r="B164" s="280" t="s">
        <v>1027</v>
      </c>
      <c r="C164" s="375">
        <f t="shared" si="3"/>
        <v>0</v>
      </c>
      <c r="D164" s="274"/>
      <c r="E164" s="277">
        <f t="shared" si="4"/>
        <v>0</v>
      </c>
      <c r="F164" s="274"/>
      <c r="G164" s="183">
        <f>'1.1a-Jaarprijzen'!H78+'1.1a-Jaarprijzen'!I78</f>
        <v>0</v>
      </c>
      <c r="H164" s="681"/>
    </row>
    <row r="165" spans="2:8" hidden="1">
      <c r="B165" s="280" t="s">
        <v>1056</v>
      </c>
      <c r="C165" s="375">
        <f t="shared" si="3"/>
        <v>0</v>
      </c>
      <c r="D165" s="274"/>
      <c r="E165" s="277">
        <f t="shared" si="4"/>
        <v>0</v>
      </c>
      <c r="F165" s="274"/>
      <c r="G165" s="183">
        <f>'1.1a-Jaarprijzen'!H79+'1.1a-Jaarprijzen'!I79</f>
        <v>0</v>
      </c>
      <c r="H165" s="681"/>
    </row>
    <row r="166" spans="2:8" hidden="1">
      <c r="B166" s="280" t="s">
        <v>1019</v>
      </c>
      <c r="C166" s="375">
        <f t="shared" si="3"/>
        <v>0</v>
      </c>
      <c r="D166" s="274"/>
      <c r="E166" s="277">
        <f t="shared" si="4"/>
        <v>0</v>
      </c>
      <c r="F166" s="274"/>
      <c r="G166" s="183">
        <f>'1.1a-Jaarprijzen'!H80+'1.1a-Jaarprijzen'!I80</f>
        <v>0</v>
      </c>
      <c r="H166" s="681"/>
    </row>
    <row r="167" spans="2:8" hidden="1">
      <c r="B167" s="280" t="s">
        <v>1024</v>
      </c>
      <c r="C167" s="375">
        <f t="shared" si="3"/>
        <v>0</v>
      </c>
      <c r="D167" s="274"/>
      <c r="E167" s="277">
        <f t="shared" si="4"/>
        <v>0</v>
      </c>
      <c r="F167" s="274"/>
      <c r="G167" s="183">
        <f>'1.1a-Jaarprijzen'!H81+'1.1a-Jaarprijzen'!I81</f>
        <v>0</v>
      </c>
      <c r="H167" s="681"/>
    </row>
    <row r="168" spans="2:8" hidden="1">
      <c r="B168" s="280" t="s">
        <v>1074</v>
      </c>
      <c r="C168" s="375">
        <f t="shared" si="3"/>
        <v>0</v>
      </c>
      <c r="D168" s="274"/>
      <c r="E168" s="277">
        <f t="shared" si="4"/>
        <v>0</v>
      </c>
      <c r="F168" s="274"/>
      <c r="G168" s="183">
        <f>'1.1a-Jaarprijzen'!H82+'1.1a-Jaarprijzen'!I82</f>
        <v>0</v>
      </c>
      <c r="H168" s="681"/>
    </row>
    <row r="169" spans="2:8" hidden="1">
      <c r="B169" s="280" t="s">
        <v>1071</v>
      </c>
      <c r="C169" s="375">
        <f t="shared" si="3"/>
        <v>0</v>
      </c>
      <c r="D169" s="274"/>
      <c r="E169" s="277">
        <f t="shared" si="4"/>
        <v>0</v>
      </c>
      <c r="F169" s="274"/>
      <c r="G169" s="183">
        <f>'1.1a-Jaarprijzen'!H83+'1.1a-Jaarprijzen'!I83</f>
        <v>0</v>
      </c>
      <c r="H169" s="681"/>
    </row>
    <row r="170" spans="2:8" hidden="1">
      <c r="B170" s="280" t="s">
        <v>1036</v>
      </c>
      <c r="C170" s="375">
        <f t="shared" si="3"/>
        <v>0</v>
      </c>
      <c r="D170" s="274"/>
      <c r="E170" s="277">
        <f t="shared" si="4"/>
        <v>0</v>
      </c>
      <c r="F170" s="274"/>
      <c r="G170" s="183">
        <f>'1.1a-Jaarprijzen'!H84+'1.1a-Jaarprijzen'!I84</f>
        <v>0</v>
      </c>
      <c r="H170" s="681"/>
    </row>
    <row r="171" spans="2:8" hidden="1">
      <c r="B171" s="280" t="s">
        <v>1037</v>
      </c>
      <c r="C171" s="375">
        <f t="shared" si="3"/>
        <v>0</v>
      </c>
      <c r="D171" s="274"/>
      <c r="E171" s="277">
        <f t="shared" si="4"/>
        <v>0</v>
      </c>
      <c r="F171" s="274"/>
      <c r="G171" s="183">
        <f>'1.1a-Jaarprijzen'!H85+'1.1a-Jaarprijzen'!I85</f>
        <v>0</v>
      </c>
      <c r="H171" s="681"/>
    </row>
    <row r="172" spans="2:8" hidden="1">
      <c r="B172" s="280" t="s">
        <v>1033</v>
      </c>
      <c r="C172" s="375">
        <f t="shared" si="3"/>
        <v>0</v>
      </c>
      <c r="D172" s="274"/>
      <c r="E172" s="277">
        <f t="shared" si="4"/>
        <v>0</v>
      </c>
      <c r="F172" s="274"/>
      <c r="G172" s="183">
        <f>'1.1a-Jaarprijzen'!H86+'1.1a-Jaarprijzen'!I86</f>
        <v>0</v>
      </c>
      <c r="H172" s="681"/>
    </row>
    <row r="173" spans="2:8" hidden="1">
      <c r="B173" s="280" t="s">
        <v>1034</v>
      </c>
      <c r="C173" s="375">
        <f t="shared" si="3"/>
        <v>0</v>
      </c>
      <c r="D173" s="274"/>
      <c r="E173" s="277">
        <f t="shared" si="4"/>
        <v>0</v>
      </c>
      <c r="F173" s="274"/>
      <c r="G173" s="183">
        <f>'1.1a-Jaarprijzen'!H87+'1.1a-Jaarprijzen'!I87</f>
        <v>0</v>
      </c>
      <c r="H173" s="681"/>
    </row>
    <row r="174" spans="2:8" hidden="1">
      <c r="B174" s="280" t="s">
        <v>1067</v>
      </c>
      <c r="C174" s="375">
        <f t="shared" si="3"/>
        <v>0</v>
      </c>
      <c r="D174" s="274"/>
      <c r="E174" s="277">
        <f t="shared" si="4"/>
        <v>0</v>
      </c>
      <c r="F174" s="274"/>
      <c r="G174" s="183">
        <f>'1.1a-Jaarprijzen'!H88+'1.1a-Jaarprijzen'!I88</f>
        <v>0</v>
      </c>
      <c r="H174" s="681"/>
    </row>
    <row r="175" spans="2:8" hidden="1">
      <c r="B175" s="280" t="s">
        <v>1021</v>
      </c>
      <c r="C175" s="375">
        <f t="shared" si="3"/>
        <v>0</v>
      </c>
      <c r="D175" s="274"/>
      <c r="E175" s="277">
        <f t="shared" si="4"/>
        <v>0</v>
      </c>
      <c r="F175" s="274"/>
      <c r="G175" s="183">
        <f>'1.1a-Jaarprijzen'!H89+'1.1a-Jaarprijzen'!I89</f>
        <v>0</v>
      </c>
      <c r="H175" s="681"/>
    </row>
    <row r="176" spans="2:8" hidden="1">
      <c r="B176" s="280" t="s">
        <v>1069</v>
      </c>
      <c r="C176" s="375">
        <f t="shared" si="3"/>
        <v>0</v>
      </c>
      <c r="D176" s="274"/>
      <c r="E176" s="277">
        <f t="shared" si="4"/>
        <v>0</v>
      </c>
      <c r="F176" s="274"/>
      <c r="G176" s="183">
        <f>'1.1a-Jaarprijzen'!H90+'1.1a-Jaarprijzen'!I90</f>
        <v>0</v>
      </c>
      <c r="H176" s="681"/>
    </row>
    <row r="177" spans="2:8" hidden="1">
      <c r="B177" s="280" t="s">
        <v>1066</v>
      </c>
      <c r="C177" s="375">
        <f t="shared" si="3"/>
        <v>0</v>
      </c>
      <c r="D177" s="274"/>
      <c r="E177" s="277">
        <f t="shared" si="4"/>
        <v>0</v>
      </c>
      <c r="F177" s="274"/>
      <c r="G177" s="183">
        <f>'1.1a-Jaarprijzen'!H91+'1.1a-Jaarprijzen'!I91</f>
        <v>0</v>
      </c>
      <c r="H177" s="681"/>
    </row>
    <row r="178" spans="2:8" hidden="1">
      <c r="B178" s="280" t="s">
        <v>1054</v>
      </c>
      <c r="C178" s="375">
        <f t="shared" si="3"/>
        <v>0</v>
      </c>
      <c r="D178" s="274"/>
      <c r="E178" s="277">
        <f t="shared" si="4"/>
        <v>0</v>
      </c>
      <c r="F178" s="274"/>
      <c r="G178" s="183">
        <f>'1.1a-Jaarprijzen'!H92+'1.1a-Jaarprijzen'!I92</f>
        <v>0</v>
      </c>
      <c r="H178" s="681"/>
    </row>
    <row r="179" spans="2:8" hidden="1">
      <c r="B179" s="280" t="s">
        <v>1068</v>
      </c>
      <c r="C179" s="375">
        <f t="shared" si="3"/>
        <v>0</v>
      </c>
      <c r="D179" s="274"/>
      <c r="E179" s="277">
        <f t="shared" si="4"/>
        <v>0</v>
      </c>
      <c r="F179" s="274"/>
      <c r="G179" s="183">
        <f>'1.1a-Jaarprijzen'!H93+'1.1a-Jaarprijzen'!I93</f>
        <v>0</v>
      </c>
      <c r="H179" s="681"/>
    </row>
    <row r="180" spans="2:8" hidden="1">
      <c r="B180" s="280" t="s">
        <v>1062</v>
      </c>
      <c r="C180" s="375">
        <f t="shared" si="3"/>
        <v>0</v>
      </c>
      <c r="D180" s="274"/>
      <c r="E180" s="277">
        <f t="shared" si="4"/>
        <v>0</v>
      </c>
      <c r="F180" s="274"/>
      <c r="G180" s="183">
        <f>'1.1a-Jaarprijzen'!H94+'1.1a-Jaarprijzen'!I94</f>
        <v>0</v>
      </c>
      <c r="H180" s="681"/>
    </row>
    <row r="181" spans="2:8" hidden="1">
      <c r="B181" s="280" t="s">
        <v>1035</v>
      </c>
      <c r="C181" s="375">
        <f t="shared" si="3"/>
        <v>0</v>
      </c>
      <c r="D181" s="274"/>
      <c r="E181" s="277">
        <f t="shared" si="4"/>
        <v>0</v>
      </c>
      <c r="F181" s="274"/>
      <c r="G181" s="183">
        <f>'1.1a-Jaarprijzen'!H95+'1.1a-Jaarprijzen'!I95</f>
        <v>0</v>
      </c>
      <c r="H181" s="681"/>
    </row>
    <row r="182" spans="2:8" hidden="1">
      <c r="B182" s="280" t="s">
        <v>1038</v>
      </c>
      <c r="C182" s="375">
        <f t="shared" si="3"/>
        <v>0</v>
      </c>
      <c r="D182" s="274"/>
      <c r="E182" s="277">
        <f t="shared" si="4"/>
        <v>0</v>
      </c>
      <c r="F182" s="274"/>
      <c r="G182" s="183">
        <f>'1.1a-Jaarprijzen'!H96+'1.1a-Jaarprijzen'!I96</f>
        <v>0</v>
      </c>
      <c r="H182" s="681"/>
    </row>
    <row r="183" spans="2:8" hidden="1">
      <c r="B183" s="280" t="s">
        <v>1052</v>
      </c>
      <c r="C183" s="375">
        <f t="shared" si="3"/>
        <v>0</v>
      </c>
      <c r="D183" s="274"/>
      <c r="E183" s="277">
        <f t="shared" si="4"/>
        <v>0</v>
      </c>
      <c r="F183" s="274"/>
      <c r="G183" s="183">
        <f>'1.1a-Jaarprijzen'!H97+'1.1a-Jaarprijzen'!I97</f>
        <v>0</v>
      </c>
      <c r="H183" s="681"/>
    </row>
    <row r="184" spans="2:8" hidden="1">
      <c r="B184" s="280" t="s">
        <v>1058</v>
      </c>
      <c r="C184" s="375">
        <f t="shared" si="3"/>
        <v>0</v>
      </c>
      <c r="D184" s="274"/>
      <c r="E184" s="277">
        <f t="shared" si="4"/>
        <v>0</v>
      </c>
      <c r="F184" s="274"/>
      <c r="G184" s="183">
        <f>'1.1a-Jaarprijzen'!H98+'1.1a-Jaarprijzen'!I98</f>
        <v>0</v>
      </c>
      <c r="H184" s="681"/>
    </row>
    <row r="185" spans="2:8" hidden="1">
      <c r="B185" s="280" t="s">
        <v>1018</v>
      </c>
      <c r="C185" s="375">
        <f t="shared" si="3"/>
        <v>0</v>
      </c>
      <c r="D185" s="274"/>
      <c r="E185" s="277">
        <f t="shared" si="4"/>
        <v>0</v>
      </c>
      <c r="F185" s="274"/>
      <c r="G185" s="183">
        <f>'1.1a-Jaarprijzen'!H99+'1.1a-Jaarprijzen'!I99</f>
        <v>0</v>
      </c>
      <c r="H185" s="681"/>
    </row>
    <row r="186" spans="2:8" hidden="1">
      <c r="B186" s="280" t="s">
        <v>1029</v>
      </c>
      <c r="C186" s="375">
        <f t="shared" si="3"/>
        <v>0</v>
      </c>
      <c r="D186" s="274"/>
      <c r="E186" s="277">
        <f t="shared" si="4"/>
        <v>0</v>
      </c>
      <c r="F186" s="274"/>
      <c r="G186" s="183">
        <f>'1.1a-Jaarprijzen'!H100+'1.1a-Jaarprijzen'!I100</f>
        <v>0</v>
      </c>
      <c r="H186" s="681"/>
    </row>
    <row r="187" spans="2:8" hidden="1">
      <c r="B187" s="280" t="s">
        <v>1050</v>
      </c>
      <c r="C187" s="375">
        <f t="shared" si="3"/>
        <v>0</v>
      </c>
      <c r="D187" s="274"/>
      <c r="E187" s="277">
        <f t="shared" si="4"/>
        <v>0</v>
      </c>
      <c r="F187" s="274"/>
      <c r="G187" s="183">
        <f>'1.1a-Jaarprijzen'!H101+'1.1a-Jaarprijzen'!I101</f>
        <v>0</v>
      </c>
      <c r="H187" s="681"/>
    </row>
    <row r="188" spans="2:8" hidden="1">
      <c r="B188" s="280" t="s">
        <v>1051</v>
      </c>
      <c r="C188" s="375">
        <f t="shared" si="3"/>
        <v>0</v>
      </c>
      <c r="D188" s="274"/>
      <c r="E188" s="277">
        <f t="shared" si="4"/>
        <v>0</v>
      </c>
      <c r="F188" s="274"/>
      <c r="G188" s="183">
        <f>'1.1a-Jaarprijzen'!H102+'1.1a-Jaarprijzen'!I102</f>
        <v>0</v>
      </c>
      <c r="H188" s="681"/>
    </row>
    <row r="189" spans="2:8" hidden="1">
      <c r="B189" s="280" t="s">
        <v>1028</v>
      </c>
      <c r="C189" s="375">
        <f t="shared" si="3"/>
        <v>0</v>
      </c>
      <c r="D189" s="274"/>
      <c r="E189" s="277">
        <f t="shared" si="4"/>
        <v>0</v>
      </c>
      <c r="F189" s="274"/>
      <c r="G189" s="183">
        <f>'1.1a-Jaarprijzen'!H103+'1.1a-Jaarprijzen'!I103</f>
        <v>0</v>
      </c>
      <c r="H189" s="681"/>
    </row>
    <row r="190" spans="2:8" hidden="1">
      <c r="B190" s="280" t="s">
        <v>1075</v>
      </c>
      <c r="C190" s="375">
        <f t="shared" si="3"/>
        <v>0</v>
      </c>
      <c r="D190" s="274"/>
      <c r="E190" s="277">
        <f t="shared" si="4"/>
        <v>0</v>
      </c>
      <c r="F190" s="274"/>
      <c r="G190" s="183">
        <f>'1.1a-Jaarprijzen'!H104+'1.1a-Jaarprijzen'!I104</f>
        <v>0</v>
      </c>
      <c r="H190" s="681"/>
    </row>
    <row r="191" spans="2:8" hidden="1">
      <c r="B191" s="280" t="s">
        <v>1079</v>
      </c>
      <c r="C191" s="375">
        <f t="shared" si="3"/>
        <v>0</v>
      </c>
      <c r="D191" s="274"/>
      <c r="E191" s="277">
        <f t="shared" si="4"/>
        <v>0</v>
      </c>
      <c r="F191" s="274"/>
      <c r="G191" s="183">
        <f>'1.1a-Jaarprijzen'!H105+'1.1a-Jaarprijzen'!I105</f>
        <v>0</v>
      </c>
      <c r="H191" s="681"/>
    </row>
    <row r="192" spans="2:8" hidden="1">
      <c r="B192" s="280" t="s">
        <v>1081</v>
      </c>
      <c r="C192" s="375">
        <f t="shared" si="3"/>
        <v>0</v>
      </c>
      <c r="D192" s="274"/>
      <c r="E192" s="277">
        <f t="shared" si="4"/>
        <v>0</v>
      </c>
      <c r="F192" s="274"/>
      <c r="G192" s="183">
        <f>'1.1a-Jaarprijzen'!H106+'1.1a-Jaarprijzen'!I106</f>
        <v>0</v>
      </c>
      <c r="H192" s="681"/>
    </row>
    <row r="193" spans="2:8" hidden="1">
      <c r="B193" s="280" t="s">
        <v>1057</v>
      </c>
      <c r="C193" s="375">
        <f t="shared" si="3"/>
        <v>0</v>
      </c>
      <c r="D193" s="274"/>
      <c r="E193" s="277">
        <f t="shared" si="4"/>
        <v>0</v>
      </c>
      <c r="F193" s="274"/>
      <c r="G193" s="183">
        <f>'1.1a-Jaarprijzen'!H107+'1.1a-Jaarprijzen'!I107</f>
        <v>0</v>
      </c>
      <c r="H193" s="681"/>
    </row>
    <row r="194" spans="2:8" hidden="1">
      <c r="B194" s="280" t="s">
        <v>1030</v>
      </c>
      <c r="C194" s="375">
        <f t="shared" si="3"/>
        <v>0</v>
      </c>
      <c r="D194" s="274"/>
      <c r="E194" s="277">
        <f t="shared" si="4"/>
        <v>0</v>
      </c>
      <c r="F194" s="274"/>
      <c r="G194" s="183">
        <f>'1.1a-Jaarprijzen'!H108+'1.1a-Jaarprijzen'!I108</f>
        <v>0</v>
      </c>
      <c r="H194" s="681"/>
    </row>
    <row r="195" spans="2:8" hidden="1">
      <c r="B195" s="280" t="s">
        <v>1059</v>
      </c>
      <c r="C195" s="375">
        <f t="shared" si="3"/>
        <v>0</v>
      </c>
      <c r="D195" s="274"/>
      <c r="E195" s="277">
        <f t="shared" si="4"/>
        <v>0</v>
      </c>
      <c r="F195" s="274"/>
      <c r="G195" s="183">
        <f>'1.1a-Jaarprijzen'!H109+'1.1a-Jaarprijzen'!I109</f>
        <v>0</v>
      </c>
      <c r="H195" s="681"/>
    </row>
    <row r="196" spans="2:8" hidden="1">
      <c r="B196" s="280" t="s">
        <v>1060</v>
      </c>
      <c r="C196" s="375">
        <f t="shared" si="3"/>
        <v>0</v>
      </c>
      <c r="D196" s="274"/>
      <c r="E196" s="277">
        <f t="shared" si="4"/>
        <v>0</v>
      </c>
      <c r="F196" s="274"/>
      <c r="G196" s="183">
        <f>'1.1a-Jaarprijzen'!H110+'1.1a-Jaarprijzen'!I110</f>
        <v>0</v>
      </c>
      <c r="H196" s="681"/>
    </row>
    <row r="197" spans="2:8" hidden="1">
      <c r="B197" s="280" t="s">
        <v>1040</v>
      </c>
      <c r="C197" s="375">
        <f t="shared" si="3"/>
        <v>0</v>
      </c>
      <c r="D197" s="274"/>
      <c r="E197" s="277">
        <f t="shared" si="4"/>
        <v>0</v>
      </c>
      <c r="F197" s="274"/>
      <c r="G197" s="183">
        <f>'1.1a-Jaarprijzen'!H111+'1.1a-Jaarprijzen'!I111</f>
        <v>0</v>
      </c>
      <c r="H197" s="681"/>
    </row>
    <row r="198" spans="2:8" hidden="1">
      <c r="B198" s="280" t="s">
        <v>1070</v>
      </c>
      <c r="C198" s="375">
        <f t="shared" si="3"/>
        <v>0</v>
      </c>
      <c r="D198" s="274"/>
      <c r="E198" s="277">
        <f t="shared" si="4"/>
        <v>0</v>
      </c>
      <c r="F198" s="274"/>
      <c r="G198" s="183">
        <f>'1.1a-Jaarprijzen'!H112+'1.1a-Jaarprijzen'!I112</f>
        <v>0</v>
      </c>
      <c r="H198" s="681"/>
    </row>
    <row r="199" spans="2:8" hidden="1">
      <c r="B199" s="280" t="s">
        <v>1061</v>
      </c>
      <c r="C199" s="375">
        <f t="shared" si="3"/>
        <v>0</v>
      </c>
      <c r="D199" s="274"/>
      <c r="E199" s="277">
        <f t="shared" si="4"/>
        <v>0</v>
      </c>
      <c r="F199" s="274"/>
      <c r="G199" s="183">
        <f>'1.1a-Jaarprijzen'!H113+'1.1a-Jaarprijzen'!I113</f>
        <v>0</v>
      </c>
      <c r="H199" s="681"/>
    </row>
    <row r="200" spans="2:8" hidden="1">
      <c r="B200" s="280" t="s">
        <v>1031</v>
      </c>
      <c r="C200" s="375">
        <f t="shared" si="3"/>
        <v>0</v>
      </c>
      <c r="D200" s="274"/>
      <c r="E200" s="277">
        <f t="shared" si="4"/>
        <v>0</v>
      </c>
      <c r="F200" s="274"/>
      <c r="G200" s="183">
        <f>'1.1a-Jaarprijzen'!H114+'1.1a-Jaarprijzen'!I114</f>
        <v>0</v>
      </c>
      <c r="H200" s="681"/>
    </row>
    <row r="201" spans="2:8" hidden="1">
      <c r="B201" s="280" t="s">
        <v>1032</v>
      </c>
      <c r="C201" s="375">
        <f t="shared" si="3"/>
        <v>0</v>
      </c>
      <c r="D201" s="274"/>
      <c r="E201" s="277">
        <f t="shared" si="4"/>
        <v>0</v>
      </c>
      <c r="F201" s="274"/>
      <c r="G201" s="183">
        <f>'1.1a-Jaarprijzen'!H115+'1.1a-Jaarprijzen'!I115</f>
        <v>0</v>
      </c>
      <c r="H201" s="681"/>
    </row>
    <row r="202" spans="2:8" hidden="1">
      <c r="B202" s="280" t="s">
        <v>1073</v>
      </c>
      <c r="C202" s="375">
        <f t="shared" si="3"/>
        <v>0</v>
      </c>
      <c r="D202" s="274"/>
      <c r="E202" s="277">
        <f t="shared" si="4"/>
        <v>0</v>
      </c>
      <c r="F202" s="274"/>
      <c r="G202" s="183">
        <f>'1.1a-Jaarprijzen'!H116+'1.1a-Jaarprijzen'!I116</f>
        <v>0</v>
      </c>
      <c r="H202" s="681"/>
    </row>
    <row r="203" spans="2:8" hidden="1">
      <c r="B203" s="280" t="s">
        <v>1072</v>
      </c>
      <c r="C203" s="375">
        <f t="shared" si="3"/>
        <v>0</v>
      </c>
      <c r="D203" s="274"/>
      <c r="E203" s="277">
        <f t="shared" si="4"/>
        <v>0</v>
      </c>
      <c r="F203" s="274"/>
      <c r="G203" s="183">
        <f>'1.1a-Jaarprijzen'!H117+'1.1a-Jaarprijzen'!I117</f>
        <v>0</v>
      </c>
      <c r="H203" s="681"/>
    </row>
    <row r="204" spans="2:8" hidden="1">
      <c r="B204" s="280" t="s">
        <v>1063</v>
      </c>
      <c r="C204" s="375">
        <f t="shared" si="3"/>
        <v>0</v>
      </c>
      <c r="D204" s="274"/>
      <c r="E204" s="277">
        <f t="shared" si="4"/>
        <v>0</v>
      </c>
      <c r="F204" s="274"/>
      <c r="G204" s="183">
        <f>'1.1a-Jaarprijzen'!H118+'1.1a-Jaarprijzen'!I118</f>
        <v>0</v>
      </c>
      <c r="H204" s="681"/>
    </row>
    <row r="205" spans="2:8" hidden="1">
      <c r="B205" s="280" t="s">
        <v>1064</v>
      </c>
      <c r="C205" s="375">
        <f t="shared" si="3"/>
        <v>0</v>
      </c>
      <c r="D205" s="274"/>
      <c r="E205" s="277">
        <f t="shared" si="4"/>
        <v>0</v>
      </c>
      <c r="F205" s="274"/>
      <c r="G205" s="183">
        <f>'1.1a-Jaarprijzen'!H119+'1.1a-Jaarprijzen'!I119</f>
        <v>0</v>
      </c>
      <c r="H205" s="681"/>
    </row>
    <row r="206" spans="2:8" hidden="1">
      <c r="B206" s="857" t="s">
        <v>1039</v>
      </c>
      <c r="C206" s="375">
        <f t="shared" si="3"/>
        <v>0</v>
      </c>
      <c r="D206" s="274"/>
      <c r="E206" s="277">
        <f t="shared" si="4"/>
        <v>0</v>
      </c>
      <c r="F206" s="274"/>
      <c r="G206" s="183">
        <f>'1.1a-Jaarprijzen'!H120+'1.1a-Jaarprijzen'!I120</f>
        <v>0</v>
      </c>
      <c r="H206" s="856"/>
    </row>
    <row r="207" spans="2:8" hidden="1">
      <c r="B207" s="857" t="s">
        <v>1065</v>
      </c>
      <c r="C207" s="375">
        <f t="shared" si="3"/>
        <v>0</v>
      </c>
      <c r="D207" s="274"/>
      <c r="E207" s="277">
        <f t="shared" si="4"/>
        <v>0</v>
      </c>
      <c r="F207" s="274"/>
      <c r="G207" s="183">
        <f>'1.1a-Jaarprijzen'!H121+'1.1a-Jaarprijzen'!I121</f>
        <v>0</v>
      </c>
      <c r="H207" s="856"/>
    </row>
    <row r="208" spans="2:8" hidden="1">
      <c r="B208" s="857" t="s">
        <v>1243</v>
      </c>
      <c r="C208" s="375">
        <f t="shared" ref="C208:C210" si="5">IF($G$95=0,0,G208/$G$95)</f>
        <v>0</v>
      </c>
      <c r="D208" s="274"/>
      <c r="E208" s="277">
        <f t="shared" ref="E208:E210" si="6">C208*E$92</f>
        <v>0</v>
      </c>
      <c r="F208" s="274"/>
      <c r="G208" s="183">
        <f>'1.1a-Jaarprijzen'!H122+'1.1a-Jaarprijzen'!I122</f>
        <v>0</v>
      </c>
      <c r="H208" s="856"/>
    </row>
    <row r="209" spans="2:8" hidden="1">
      <c r="B209" s="857" t="s">
        <v>1241</v>
      </c>
      <c r="C209" s="375">
        <f t="shared" si="5"/>
        <v>0</v>
      </c>
      <c r="D209" s="274"/>
      <c r="E209" s="277">
        <f t="shared" si="6"/>
        <v>0</v>
      </c>
      <c r="F209" s="274"/>
      <c r="G209" s="183">
        <f>'1.1a-Jaarprijzen'!H123+'1.1a-Jaarprijzen'!I123</f>
        <v>0</v>
      </c>
      <c r="H209" s="856"/>
    </row>
    <row r="210" spans="2:8" hidden="1">
      <c r="B210" s="280" t="s">
        <v>1242</v>
      </c>
      <c r="C210" s="375">
        <f t="shared" si="5"/>
        <v>0</v>
      </c>
      <c r="D210" s="274"/>
      <c r="E210" s="277">
        <f t="shared" si="6"/>
        <v>0</v>
      </c>
      <c r="F210" s="274"/>
      <c r="G210" s="183">
        <f>'1.1a-Jaarprijzen'!H124+'1.1a-Jaarprijzen'!I124</f>
        <v>0</v>
      </c>
      <c r="H210" s="856"/>
    </row>
    <row r="211" spans="2:8" hidden="1">
      <c r="B211" s="280"/>
      <c r="C211" s="375"/>
      <c r="D211" s="274"/>
      <c r="E211" s="277"/>
      <c r="F211" s="274"/>
      <c r="G211" s="183"/>
      <c r="H211" s="856"/>
    </row>
    <row r="212" spans="2:8" hidden="1">
      <c r="B212" s="280"/>
      <c r="C212" s="375"/>
      <c r="D212" s="274"/>
      <c r="E212" s="277"/>
      <c r="F212" s="274"/>
      <c r="G212" s="183"/>
      <c r="H212" s="856"/>
    </row>
    <row r="213" spans="2:8" hidden="1">
      <c r="B213" s="280"/>
      <c r="C213" s="375"/>
      <c r="D213" s="274"/>
      <c r="E213" s="277"/>
      <c r="F213" s="274"/>
      <c r="G213" s="183"/>
      <c r="H213" s="856"/>
    </row>
    <row r="214" spans="2:8" hidden="1">
      <c r="B214" s="280"/>
      <c r="C214" s="375"/>
      <c r="D214" s="274"/>
      <c r="E214" s="277"/>
      <c r="F214" s="274"/>
      <c r="G214" s="183"/>
      <c r="H214" s="856"/>
    </row>
    <row r="215" spans="2:8" hidden="1">
      <c r="B215" s="280"/>
      <c r="C215" s="375"/>
      <c r="D215" s="274"/>
      <c r="E215" s="277"/>
      <c r="F215" s="274"/>
      <c r="G215" s="183"/>
      <c r="H215" s="856"/>
    </row>
    <row r="216" spans="2:8" hidden="1">
      <c r="B216" s="280"/>
      <c r="C216" s="375"/>
      <c r="D216" s="274"/>
      <c r="E216" s="277"/>
      <c r="F216" s="274"/>
      <c r="G216" s="183"/>
      <c r="H216" s="574"/>
    </row>
    <row r="217" spans="2:8" hidden="1">
      <c r="B217" s="280"/>
      <c r="C217" s="375"/>
      <c r="D217" s="274"/>
      <c r="E217" s="277"/>
      <c r="F217" s="274"/>
      <c r="G217" s="183"/>
      <c r="H217" s="574"/>
    </row>
    <row r="218" spans="2:8" hidden="1">
      <c r="B218" s="280"/>
      <c r="C218" s="375"/>
      <c r="D218" s="274"/>
      <c r="E218" s="277"/>
      <c r="F218" s="274"/>
      <c r="G218" s="183"/>
      <c r="H218" s="574"/>
    </row>
    <row r="219" spans="2:8" hidden="1">
      <c r="B219" s="280"/>
      <c r="C219" s="375"/>
      <c r="D219" s="274"/>
      <c r="E219" s="277"/>
      <c r="F219" s="274"/>
      <c r="G219" s="183"/>
      <c r="H219" s="574"/>
    </row>
    <row r="220" spans="2:8" hidden="1">
      <c r="B220" s="280"/>
      <c r="C220" s="375"/>
      <c r="D220" s="274"/>
      <c r="E220" s="277"/>
      <c r="F220" s="274"/>
      <c r="G220" s="183"/>
      <c r="H220" s="574"/>
    </row>
    <row r="221" spans="2:8" hidden="1">
      <c r="B221" s="280"/>
      <c r="C221" s="375"/>
      <c r="D221" s="274"/>
      <c r="E221" s="277"/>
      <c r="F221" s="274"/>
      <c r="G221" s="183"/>
      <c r="H221" s="574"/>
    </row>
    <row r="222" spans="2:8" hidden="1">
      <c r="B222" s="280"/>
      <c r="C222" s="375"/>
      <c r="D222" s="274"/>
      <c r="E222" s="277"/>
      <c r="F222" s="274"/>
      <c r="G222" s="183"/>
      <c r="H222" s="574"/>
    </row>
    <row r="223" spans="2:8" hidden="1">
      <c r="B223" s="280"/>
      <c r="C223" s="375"/>
      <c r="D223" s="274"/>
      <c r="E223" s="277"/>
      <c r="F223" s="274"/>
      <c r="G223" s="183"/>
      <c r="H223" s="556"/>
    </row>
    <row r="224" spans="2:8" hidden="1">
      <c r="B224" s="280"/>
      <c r="C224" s="375"/>
      <c r="D224" s="274"/>
      <c r="E224" s="277"/>
      <c r="F224" s="274"/>
      <c r="G224" s="183"/>
      <c r="H224" s="556"/>
    </row>
    <row r="225" spans="2:8" hidden="1">
      <c r="B225" s="280"/>
      <c r="C225" s="375"/>
      <c r="D225" s="274"/>
      <c r="E225" s="277"/>
      <c r="F225" s="274"/>
      <c r="G225" s="183"/>
      <c r="H225" s="446"/>
    </row>
    <row r="226" spans="2:8" hidden="1">
      <c r="B226" s="280"/>
      <c r="C226" s="502">
        <f>SUM(C97:C210)</f>
        <v>0</v>
      </c>
      <c r="D226" s="274"/>
      <c r="E226" s="277">
        <f>SUM(E97:E225)</f>
        <v>0</v>
      </c>
      <c r="F226" s="274"/>
      <c r="G226" s="183">
        <f>'1.1a-Jaarprijzen'!H46+'1.1a-Jaarprijzen'!I46</f>
        <v>0</v>
      </c>
      <c r="H226" s="446"/>
    </row>
    <row r="227" spans="2:8" hidden="1">
      <c r="B227" s="280"/>
      <c r="C227" s="285"/>
      <c r="D227" s="274"/>
      <c r="E227" s="277"/>
      <c r="F227" s="274"/>
      <c r="G227" s="183"/>
      <c r="H227" s="434"/>
    </row>
    <row r="228" spans="2:8" hidden="1">
      <c r="B228" s="280"/>
      <c r="C228" s="285"/>
      <c r="D228" s="274"/>
      <c r="E228" s="277"/>
      <c r="F228" s="274"/>
      <c r="G228" s="183"/>
      <c r="H228" s="434"/>
    </row>
    <row r="229" spans="2:8" hidden="1">
      <c r="B229" s="280">
        <f>'1.1a-Jaarprijzen'!B129</f>
        <v>0</v>
      </c>
      <c r="C229" s="285">
        <f>IF($G$95=0,0,G229/$G$95)</f>
        <v>0</v>
      </c>
      <c r="D229" s="274"/>
      <c r="E229" s="277"/>
      <c r="F229" s="274"/>
      <c r="G229" s="183"/>
      <c r="H229" s="303"/>
    </row>
    <row r="230" spans="2:8" hidden="1">
      <c r="B230" s="280"/>
      <c r="G230" s="281"/>
    </row>
    <row r="231" spans="2:8" hidden="1"/>
    <row r="232" spans="2:8" hidden="1">
      <c r="E232" s="277"/>
    </row>
    <row r="233" spans="2:8" hidden="1">
      <c r="B233" s="684" t="s">
        <v>1049</v>
      </c>
    </row>
    <row r="234" spans="2:8" hidden="1">
      <c r="B234" s="684" t="s">
        <v>1050</v>
      </c>
    </row>
    <row r="235" spans="2:8" hidden="1">
      <c r="B235" s="684" t="s">
        <v>1051</v>
      </c>
    </row>
    <row r="236" spans="2:8" hidden="1">
      <c r="B236" s="684" t="s">
        <v>1052</v>
      </c>
    </row>
    <row r="237" spans="2:8" hidden="1">
      <c r="B237" s="684" t="s">
        <v>1053</v>
      </c>
    </row>
    <row r="238" spans="2:8" hidden="1">
      <c r="B238" s="684" t="s">
        <v>1054</v>
      </c>
    </row>
    <row r="239" spans="2:8" hidden="1">
      <c r="B239" s="684" t="s">
        <v>1055</v>
      </c>
    </row>
    <row r="240" spans="2:8" hidden="1">
      <c r="B240" s="684" t="s">
        <v>1056</v>
      </c>
    </row>
    <row r="241" spans="2:2" hidden="1">
      <c r="B241" s="684" t="s">
        <v>1057</v>
      </c>
    </row>
    <row r="242" spans="2:2" hidden="1">
      <c r="B242" s="684" t="s">
        <v>1058</v>
      </c>
    </row>
    <row r="243" spans="2:2" hidden="1">
      <c r="B243" s="684" t="s">
        <v>1059</v>
      </c>
    </row>
    <row r="244" spans="2:2" hidden="1">
      <c r="B244" s="684" t="s">
        <v>1060</v>
      </c>
    </row>
    <row r="245" spans="2:2" hidden="1">
      <c r="B245" s="684" t="s">
        <v>1061</v>
      </c>
    </row>
    <row r="246" spans="2:2" hidden="1">
      <c r="B246" s="684" t="s">
        <v>1062</v>
      </c>
    </row>
    <row r="247" spans="2:2" hidden="1">
      <c r="B247" s="684" t="s">
        <v>1063</v>
      </c>
    </row>
    <row r="248" spans="2:2" hidden="1">
      <c r="B248" s="684" t="s">
        <v>1064</v>
      </c>
    </row>
    <row r="249" spans="2:2" hidden="1">
      <c r="B249" s="684" t="s">
        <v>1065</v>
      </c>
    </row>
    <row r="250" spans="2:2" hidden="1">
      <c r="B250" s="684" t="s">
        <v>1066</v>
      </c>
    </row>
    <row r="251" spans="2:2" hidden="1">
      <c r="B251" s="684" t="s">
        <v>1067</v>
      </c>
    </row>
    <row r="252" spans="2:2" hidden="1">
      <c r="B252" s="684" t="s">
        <v>1068</v>
      </c>
    </row>
    <row r="253" spans="2:2" hidden="1">
      <c r="B253" s="684" t="s">
        <v>1069</v>
      </c>
    </row>
    <row r="254" spans="2:2" hidden="1">
      <c r="B254" s="684" t="s">
        <v>1070</v>
      </c>
    </row>
    <row r="255" spans="2:2" hidden="1">
      <c r="B255" s="684" t="s">
        <v>1071</v>
      </c>
    </row>
    <row r="256" spans="2:2" hidden="1">
      <c r="B256" s="684" t="s">
        <v>1072</v>
      </c>
    </row>
    <row r="257" spans="2:2" hidden="1">
      <c r="B257" s="684" t="s">
        <v>1073</v>
      </c>
    </row>
    <row r="258" spans="2:2" hidden="1">
      <c r="B258" s="684" t="s">
        <v>1074</v>
      </c>
    </row>
    <row r="259" spans="2:2" hidden="1">
      <c r="B259" s="684" t="s">
        <v>1075</v>
      </c>
    </row>
    <row r="260" spans="2:2" hidden="1">
      <c r="B260" s="684" t="s">
        <v>1076</v>
      </c>
    </row>
    <row r="261" spans="2:2" hidden="1">
      <c r="B261" s="684" t="s">
        <v>1077</v>
      </c>
    </row>
    <row r="262" spans="2:2" hidden="1">
      <c r="B262" s="684" t="s">
        <v>1078</v>
      </c>
    </row>
    <row r="263" spans="2:2" hidden="1">
      <c r="B263" s="684" t="s">
        <v>1079</v>
      </c>
    </row>
    <row r="264" spans="2:2" hidden="1">
      <c r="B264" s="684" t="s">
        <v>1080</v>
      </c>
    </row>
    <row r="265" spans="2:2" hidden="1">
      <c r="B265" s="684" t="s">
        <v>1081</v>
      </c>
    </row>
    <row r="266" spans="2:2" hidden="1">
      <c r="B266" s="684" t="s">
        <v>1082</v>
      </c>
    </row>
    <row r="267" spans="2:2" hidden="1">
      <c r="B267" s="684" t="s">
        <v>1083</v>
      </c>
    </row>
    <row r="268" spans="2:2" hidden="1">
      <c r="B268" s="684" t="s">
        <v>1084</v>
      </c>
    </row>
    <row r="269" spans="2:2" hidden="1">
      <c r="B269" s="684" t="s">
        <v>1085</v>
      </c>
    </row>
    <row r="270" spans="2:2" hidden="1">
      <c r="B270" s="684" t="s">
        <v>1086</v>
      </c>
    </row>
    <row r="271" spans="2:2" hidden="1">
      <c r="B271" s="684" t="s">
        <v>975</v>
      </c>
    </row>
    <row r="272" spans="2:2" hidden="1">
      <c r="B272" s="684" t="s">
        <v>973</v>
      </c>
    </row>
    <row r="273" spans="2:2" hidden="1">
      <c r="B273" s="684" t="s">
        <v>974</v>
      </c>
    </row>
    <row r="274" spans="2:2" hidden="1">
      <c r="B274" s="684" t="s">
        <v>972</v>
      </c>
    </row>
    <row r="275" spans="2:2" hidden="1"/>
    <row r="276" spans="2:2" hidden="1"/>
    <row r="277" spans="2:2" hidden="1"/>
    <row r="278" spans="2:2" hidden="1"/>
    <row r="279" spans="2:2" hidden="1"/>
    <row r="280" spans="2:2" hidden="1"/>
    <row r="281" spans="2:2" hidden="1"/>
    <row r="282" spans="2:2" hidden="1"/>
    <row r="283" spans="2:2" hidden="1"/>
    <row r="284" spans="2:2" hidden="1"/>
    <row r="285" spans="2:2" hidden="1"/>
    <row r="286" spans="2:2" hidden="1"/>
    <row r="287" spans="2:2" hidden="1"/>
    <row r="288" spans="2:2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</sheetData>
  <mergeCells count="9">
    <mergeCell ref="C11:E11"/>
    <mergeCell ref="C31:E31"/>
    <mergeCell ref="C51:E51"/>
    <mergeCell ref="C71:E71"/>
    <mergeCell ref="H97:H107"/>
    <mergeCell ref="C12:E12"/>
    <mergeCell ref="C32:E32"/>
    <mergeCell ref="C52:E52"/>
    <mergeCell ref="C72:E72"/>
  </mergeCells>
  <phoneticPr fontId="14"/>
  <conditionalFormatting sqref="C226">
    <cfRule type="cellIs" dxfId="92" priority="85" stopIfTrue="1" operator="greaterThan">
      <formula>1</formula>
    </cfRule>
  </conditionalFormatting>
  <conditionalFormatting sqref="E15">
    <cfRule type="cellIs" dxfId="91" priority="84" operator="greaterThan">
      <formula>0</formula>
    </cfRule>
  </conditionalFormatting>
  <conditionalFormatting sqref="E16">
    <cfRule type="cellIs" dxfId="90" priority="83" operator="greaterThan">
      <formula>0</formula>
    </cfRule>
  </conditionalFormatting>
  <conditionalFormatting sqref="E18">
    <cfRule type="cellIs" dxfId="89" priority="82" operator="greaterThan">
      <formula>0</formula>
    </cfRule>
  </conditionalFormatting>
  <conditionalFormatting sqref="E23">
    <cfRule type="cellIs" dxfId="88" priority="80" operator="greaterThan">
      <formula>0</formula>
    </cfRule>
  </conditionalFormatting>
  <conditionalFormatting sqref="D29">
    <cfRule type="cellIs" dxfId="87" priority="77" operator="greaterThan">
      <formula>0</formula>
    </cfRule>
  </conditionalFormatting>
  <conditionalFormatting sqref="E97:E229">
    <cfRule type="cellIs" dxfId="86" priority="52" operator="greaterThan">
      <formula>0</formula>
    </cfRule>
  </conditionalFormatting>
  <conditionalFormatting sqref="D8">
    <cfRule type="cellIs" dxfId="85" priority="51" operator="greaterThan">
      <formula>0</formula>
    </cfRule>
  </conditionalFormatting>
  <conditionalFormatting sqref="D9">
    <cfRule type="cellIs" dxfId="84" priority="50" operator="greaterThan">
      <formula>0</formula>
    </cfRule>
  </conditionalFormatting>
  <conditionalFormatting sqref="E75">
    <cfRule type="cellIs" dxfId="83" priority="33" operator="greaterThan">
      <formula>0</formula>
    </cfRule>
  </conditionalFormatting>
  <conditionalFormatting sqref="E76">
    <cfRule type="cellIs" dxfId="82" priority="32" operator="greaterThan">
      <formula>0</formula>
    </cfRule>
  </conditionalFormatting>
  <conditionalFormatting sqref="E78">
    <cfRule type="cellIs" dxfId="81" priority="31" operator="greaterThan">
      <formula>0</formula>
    </cfRule>
  </conditionalFormatting>
  <conditionalFormatting sqref="E79">
    <cfRule type="cellIs" dxfId="80" priority="30" operator="greaterThan">
      <formula>0</formula>
    </cfRule>
  </conditionalFormatting>
  <conditionalFormatting sqref="E83">
    <cfRule type="cellIs" dxfId="79" priority="29" operator="greaterThan">
      <formula>0</formula>
    </cfRule>
  </conditionalFormatting>
  <conditionalFormatting sqref="D84">
    <cfRule type="cellIs" dxfId="78" priority="28" stopIfTrue="1" operator="lessThanOrEqual">
      <formula>0</formula>
    </cfRule>
  </conditionalFormatting>
  <conditionalFormatting sqref="D85">
    <cfRule type="cellIs" dxfId="77" priority="27" stopIfTrue="1" operator="lessThanOrEqual">
      <formula>0</formula>
    </cfRule>
  </conditionalFormatting>
  <conditionalFormatting sqref="D89">
    <cfRule type="cellIs" dxfId="76" priority="26" operator="greaterThan">
      <formula>0</formula>
    </cfRule>
  </conditionalFormatting>
  <conditionalFormatting sqref="D49">
    <cfRule type="cellIs" dxfId="75" priority="17" operator="greaterThan">
      <formula>0</formula>
    </cfRule>
  </conditionalFormatting>
  <conditionalFormatting sqref="E38">
    <cfRule type="cellIs" dxfId="74" priority="21" operator="greaterThan">
      <formula>0</formula>
    </cfRule>
  </conditionalFormatting>
  <conditionalFormatting sqref="E35">
    <cfRule type="cellIs" dxfId="73" priority="23" operator="greaterThan">
      <formula>0</formula>
    </cfRule>
  </conditionalFormatting>
  <conditionalFormatting sqref="E36">
    <cfRule type="cellIs" dxfId="72" priority="22" operator="greaterThan">
      <formula>0</formula>
    </cfRule>
  </conditionalFormatting>
  <conditionalFormatting sqref="E39">
    <cfRule type="cellIs" dxfId="71" priority="16" operator="greaterThan">
      <formula>0</formula>
    </cfRule>
  </conditionalFormatting>
  <conditionalFormatting sqref="E55">
    <cfRule type="cellIs" dxfId="70" priority="15" operator="greaterThan">
      <formula>0</formula>
    </cfRule>
  </conditionalFormatting>
  <conditionalFormatting sqref="E56">
    <cfRule type="cellIs" dxfId="69" priority="14" operator="greaterThan">
      <formula>0</formula>
    </cfRule>
  </conditionalFormatting>
  <conditionalFormatting sqref="E58">
    <cfRule type="cellIs" dxfId="68" priority="13" operator="greaterThan">
      <formula>0</formula>
    </cfRule>
  </conditionalFormatting>
  <conditionalFormatting sqref="E63">
    <cfRule type="cellIs" dxfId="67" priority="12" operator="greaterThan">
      <formula>0</formula>
    </cfRule>
  </conditionalFormatting>
  <conditionalFormatting sqref="D64">
    <cfRule type="cellIs" dxfId="66" priority="11" stopIfTrue="1" operator="lessThanOrEqual">
      <formula>0</formula>
    </cfRule>
  </conditionalFormatting>
  <conditionalFormatting sqref="D65">
    <cfRule type="cellIs" dxfId="65" priority="10" stopIfTrue="1" operator="lessThanOrEqual">
      <formula>0</formula>
    </cfRule>
  </conditionalFormatting>
  <conditionalFormatting sqref="D69">
    <cfRule type="cellIs" dxfId="64" priority="9" operator="greaterThan">
      <formula>0</formula>
    </cfRule>
  </conditionalFormatting>
  <conditionalFormatting sqref="E59">
    <cfRule type="cellIs" dxfId="63" priority="8" operator="greaterThan">
      <formula>0</formula>
    </cfRule>
  </conditionalFormatting>
  <conditionalFormatting sqref="E43">
    <cfRule type="cellIs" dxfId="62" priority="7" operator="greaterThan">
      <formula>0</formula>
    </cfRule>
  </conditionalFormatting>
  <conditionalFormatting sqref="D24">
    <cfRule type="cellIs" dxfId="61" priority="2" stopIfTrue="1" operator="lessThanOrEqual">
      <formula>0</formula>
    </cfRule>
  </conditionalFormatting>
  <conditionalFormatting sqref="D25">
    <cfRule type="cellIs" dxfId="60" priority="1" stopIfTrue="1" operator="lessThanOrEqual">
      <formula>0</formula>
    </cfRule>
  </conditionalFormatting>
  <conditionalFormatting sqref="D44">
    <cfRule type="cellIs" dxfId="59" priority="4" stopIfTrue="1" operator="lessThanOrEqual">
      <formula>0</formula>
    </cfRule>
  </conditionalFormatting>
  <conditionalFormatting sqref="D45">
    <cfRule type="cellIs" dxfId="58" priority="3" stopIfTrue="1" operator="lessThanOrEqual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D8" xr:uid="{00000000-0002-0000-0A00-000000000000}"/>
  </dataValidations>
  <printOptions horizontalCentered="1"/>
  <pageMargins left="3.1496062992126001E-3" right="3.1496062992126001E-3" top="0.39" bottom="0.59" header="0.39" footer="0.2"/>
  <pageSetup paperSize="9" scale="45" orientation="portrait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I955"/>
  <sheetViews>
    <sheetView showGridLines="0" showRowColHeaders="0" showZeros="0" showOutlineSymbols="0" zoomScaleNormal="100" zoomScaleSheetLayoutView="75" workbookViewId="0"/>
  </sheetViews>
  <sheetFormatPr baseColWidth="10" defaultColWidth="10.796875" defaultRowHeight="13" zeroHeight="1"/>
  <cols>
    <col min="1" max="1" width="5" style="71" customWidth="1"/>
    <col min="2" max="2" width="41.19921875" style="82" customWidth="1"/>
    <col min="3" max="3" width="19.796875" style="484" customWidth="1"/>
    <col min="4" max="4" width="17.19921875" style="484" customWidth="1"/>
    <col min="5" max="5" width="16.19921875" style="485" customWidth="1"/>
    <col min="6" max="6" width="20.19921875" style="72" customWidth="1"/>
    <col min="7" max="7" width="21" style="72" customWidth="1"/>
    <col min="8" max="8" width="21.796875" style="72" customWidth="1"/>
    <col min="9" max="9" width="10.796875" style="71" customWidth="1"/>
    <col min="10" max="16384" width="10.796875" style="71"/>
  </cols>
  <sheetData>
    <row r="1" spans="2:8" ht="22" customHeight="1">
      <c r="B1" s="71"/>
      <c r="C1" s="71"/>
      <c r="G1" s="199" t="s">
        <v>243</v>
      </c>
    </row>
    <row r="2" spans="2:8">
      <c r="B2" s="486"/>
      <c r="G2" s="199">
        <v>0</v>
      </c>
      <c r="H2" s="157" t="s">
        <v>235</v>
      </c>
    </row>
    <row r="3" spans="2:8" ht="16">
      <c r="B3" s="319" t="s">
        <v>29</v>
      </c>
      <c r="C3" s="77" t="s">
        <v>24</v>
      </c>
      <c r="G3" s="122"/>
    </row>
    <row r="4" spans="2:8" ht="16">
      <c r="B4" s="319" t="s">
        <v>101</v>
      </c>
      <c r="C4" s="320" t="str">
        <f>Voorblad!$E$16</f>
        <v>Hoogheemraadschap Hollands Noorderkwartier Perceel 2</v>
      </c>
      <c r="D4" s="487"/>
      <c r="E4" s="72"/>
    </row>
    <row r="5" spans="2:8" ht="16">
      <c r="B5" s="319" t="s">
        <v>36</v>
      </c>
      <c r="C5" s="320" t="str">
        <f>'1.0-Contractblad'!$D$4</f>
        <v>Heerhugowaard</v>
      </c>
      <c r="D5" s="488"/>
      <c r="E5" s="72"/>
    </row>
    <row r="6" spans="2:8" ht="15.75" customHeight="1">
      <c r="B6" s="319" t="s">
        <v>137</v>
      </c>
      <c r="C6" s="489" t="str">
        <f>Voorblad!$E$24</f>
        <v>1112-10-2019</v>
      </c>
      <c r="D6" s="490"/>
      <c r="E6" s="72"/>
    </row>
    <row r="7" spans="2:8" ht="16">
      <c r="B7" s="319" t="s">
        <v>222</v>
      </c>
      <c r="C7" s="408" t="str">
        <f>Voorblad!$E$26</f>
        <v>V1 12-mrt-2020</v>
      </c>
      <c r="D7" s="488"/>
      <c r="E7" s="72"/>
    </row>
    <row r="8" spans="2:8" ht="16">
      <c r="B8" s="319" t="s">
        <v>99</v>
      </c>
      <c r="C8" s="320" t="str">
        <f>Voorblad!$E$19</f>
        <v>[voer naam in]</v>
      </c>
      <c r="D8" s="488"/>
      <c r="E8" s="491"/>
    </row>
    <row r="9" spans="2:8" ht="16">
      <c r="B9" s="319" t="s">
        <v>6</v>
      </c>
      <c r="C9" s="333">
        <f>Voorblad!$E$22</f>
        <v>44013</v>
      </c>
      <c r="D9" s="488"/>
      <c r="E9" s="72"/>
    </row>
    <row r="10" spans="2:8" ht="16">
      <c r="B10" s="77" t="s">
        <v>17</v>
      </c>
      <c r="C10" s="69" t="s">
        <v>60</v>
      </c>
      <c r="D10" s="488"/>
      <c r="E10" s="72"/>
    </row>
    <row r="11" spans="2:8" ht="16">
      <c r="D11" s="488"/>
      <c r="E11" s="73"/>
    </row>
    <row r="12" spans="2:8" ht="16">
      <c r="D12" s="488"/>
      <c r="E12" s="73"/>
    </row>
    <row r="13" spans="2:8" ht="16">
      <c r="D13" s="488"/>
      <c r="E13" s="73"/>
    </row>
    <row r="14" spans="2:8">
      <c r="B14" s="78"/>
      <c r="C14" s="79"/>
      <c r="D14" s="79"/>
      <c r="E14" s="80"/>
      <c r="F14" s="279"/>
      <c r="G14" s="279"/>
      <c r="H14" s="279"/>
    </row>
    <row r="15" spans="2:8" ht="16" customHeight="1">
      <c r="B15" s="586" t="s">
        <v>1010</v>
      </c>
      <c r="C15" s="79"/>
      <c r="D15" s="79"/>
      <c r="E15" s="80"/>
      <c r="F15" s="279"/>
      <c r="G15" s="279"/>
      <c r="H15" s="279"/>
    </row>
    <row r="16" spans="2:8" ht="14" thickBot="1">
      <c r="B16" s="78"/>
      <c r="C16" s="79"/>
      <c r="D16" s="79"/>
      <c r="E16" s="80"/>
    </row>
    <row r="17" spans="2:9" s="30" customFormat="1" ht="23" customHeight="1" thickBot="1">
      <c r="B17" s="653" t="s">
        <v>1012</v>
      </c>
      <c r="C17" s="654"/>
      <c r="D17" s="654"/>
      <c r="E17" s="654"/>
      <c r="F17" s="654"/>
      <c r="G17" s="654"/>
      <c r="H17" s="655"/>
      <c r="I17" s="76"/>
    </row>
    <row r="18" spans="2:9">
      <c r="B18" s="78"/>
      <c r="C18" s="79"/>
      <c r="D18" s="79"/>
      <c r="E18" s="80"/>
    </row>
    <row r="19" spans="2:9" ht="16">
      <c r="B19" s="587" t="s">
        <v>988</v>
      </c>
      <c r="C19" s="30"/>
      <c r="D19" s="30"/>
      <c r="E19" s="30"/>
      <c r="F19" s="30"/>
      <c r="G19" s="30"/>
      <c r="H19" s="30"/>
    </row>
    <row r="20" spans="2:9" ht="45" customHeight="1">
      <c r="B20" s="925" t="s">
        <v>1011</v>
      </c>
      <c r="C20" s="925"/>
      <c r="D20" s="925"/>
      <c r="E20" s="589" t="s">
        <v>985</v>
      </c>
      <c r="F20" s="589" t="s">
        <v>324</v>
      </c>
      <c r="G20" s="589" t="s">
        <v>986</v>
      </c>
      <c r="H20" s="589" t="s">
        <v>987</v>
      </c>
    </row>
    <row r="21" spans="2:9" ht="14">
      <c r="B21" s="581" t="s">
        <v>701</v>
      </c>
      <c r="C21" s="581"/>
      <c r="D21" s="588"/>
      <c r="E21" s="582">
        <v>1</v>
      </c>
      <c r="F21" s="583">
        <v>12</v>
      </c>
      <c r="G21" s="584"/>
      <c r="H21" s="584">
        <f>G21*F21*E21</f>
        <v>0</v>
      </c>
    </row>
    <row r="22" spans="2:9" ht="14">
      <c r="B22" s="581" t="s">
        <v>738</v>
      </c>
      <c r="C22" s="581"/>
      <c r="D22" s="588"/>
      <c r="E22" s="582">
        <v>1</v>
      </c>
      <c r="F22" s="583">
        <v>2</v>
      </c>
      <c r="G22" s="584"/>
      <c r="H22" s="584">
        <f t="shared" ref="H22:H35" si="0">G22*F22*E22</f>
        <v>0</v>
      </c>
    </row>
    <row r="23" spans="2:9" ht="14">
      <c r="B23" s="581" t="s">
        <v>672</v>
      </c>
      <c r="C23" s="581"/>
      <c r="D23" s="588"/>
      <c r="E23" s="582">
        <v>1</v>
      </c>
      <c r="F23" s="583">
        <v>4</v>
      </c>
      <c r="G23" s="584"/>
      <c r="H23" s="584">
        <f t="shared" si="0"/>
        <v>0</v>
      </c>
    </row>
    <row r="24" spans="2:9" ht="14">
      <c r="B24" s="581" t="s">
        <v>777</v>
      </c>
      <c r="C24" s="581"/>
      <c r="D24" s="588"/>
      <c r="E24" s="582">
        <v>1</v>
      </c>
      <c r="F24" s="583">
        <v>12</v>
      </c>
      <c r="G24" s="584"/>
      <c r="H24" s="584">
        <f t="shared" si="0"/>
        <v>0</v>
      </c>
    </row>
    <row r="25" spans="2:9" ht="14">
      <c r="B25" s="581" t="s">
        <v>797</v>
      </c>
      <c r="C25" s="581"/>
      <c r="D25" s="588"/>
      <c r="E25" s="582">
        <v>1</v>
      </c>
      <c r="F25" s="583">
        <v>2</v>
      </c>
      <c r="G25" s="584"/>
      <c r="H25" s="584">
        <f t="shared" si="0"/>
        <v>0</v>
      </c>
    </row>
    <row r="26" spans="2:9" ht="14">
      <c r="B26" s="581" t="s">
        <v>990</v>
      </c>
      <c r="C26" s="581"/>
      <c r="D26" s="588"/>
      <c r="E26" s="582">
        <v>1</v>
      </c>
      <c r="F26" s="583">
        <v>2</v>
      </c>
      <c r="G26" s="584"/>
      <c r="H26" s="584">
        <f t="shared" si="0"/>
        <v>0</v>
      </c>
    </row>
    <row r="27" spans="2:9" ht="14">
      <c r="B27" s="581" t="s">
        <v>550</v>
      </c>
      <c r="C27" s="581"/>
      <c r="D27" s="588"/>
      <c r="E27" s="582">
        <v>1</v>
      </c>
      <c r="F27" s="583">
        <v>2</v>
      </c>
      <c r="G27" s="584"/>
      <c r="H27" s="584">
        <f t="shared" si="0"/>
        <v>0</v>
      </c>
    </row>
    <row r="28" spans="2:9" ht="14">
      <c r="B28" s="581" t="s">
        <v>834</v>
      </c>
      <c r="C28" s="581"/>
      <c r="D28" s="588"/>
      <c r="E28" s="582">
        <v>1</v>
      </c>
      <c r="F28" s="583">
        <v>4</v>
      </c>
      <c r="G28" s="584"/>
      <c r="H28" s="584">
        <f t="shared" si="0"/>
        <v>0</v>
      </c>
    </row>
    <row r="29" spans="2:9" ht="14">
      <c r="B29" s="581" t="s">
        <v>855</v>
      </c>
      <c r="C29" s="581"/>
      <c r="D29" s="588"/>
      <c r="E29" s="582">
        <v>1</v>
      </c>
      <c r="F29" s="583">
        <v>2</v>
      </c>
      <c r="G29" s="584"/>
      <c r="H29" s="584">
        <f t="shared" si="0"/>
        <v>0</v>
      </c>
    </row>
    <row r="30" spans="2:9" ht="14">
      <c r="B30" s="581" t="s">
        <v>629</v>
      </c>
      <c r="C30" s="581"/>
      <c r="D30" s="588"/>
      <c r="E30" s="582">
        <v>1</v>
      </c>
      <c r="F30" s="583">
        <v>4</v>
      </c>
      <c r="G30" s="584"/>
      <c r="H30" s="584">
        <f t="shared" si="0"/>
        <v>0</v>
      </c>
    </row>
    <row r="31" spans="2:9" ht="14">
      <c r="B31" s="581" t="s">
        <v>863</v>
      </c>
      <c r="C31" s="581"/>
      <c r="D31" s="588"/>
      <c r="E31" s="582">
        <v>1</v>
      </c>
      <c r="F31" s="583">
        <v>4</v>
      </c>
      <c r="G31" s="584"/>
      <c r="H31" s="584">
        <f t="shared" si="0"/>
        <v>0</v>
      </c>
    </row>
    <row r="32" spans="2:9" ht="14">
      <c r="B32" s="581" t="s">
        <v>866</v>
      </c>
      <c r="C32" s="581"/>
      <c r="D32" s="588"/>
      <c r="E32" s="582">
        <v>1</v>
      </c>
      <c r="F32" s="583">
        <v>12</v>
      </c>
      <c r="G32" s="584"/>
      <c r="H32" s="584">
        <f t="shared" si="0"/>
        <v>0</v>
      </c>
    </row>
    <row r="33" spans="2:9" ht="14">
      <c r="B33" s="581" t="s">
        <v>892</v>
      </c>
      <c r="C33" s="581"/>
      <c r="D33" s="588"/>
      <c r="E33" s="582">
        <v>1</v>
      </c>
      <c r="F33" s="583">
        <v>4</v>
      </c>
      <c r="G33" s="584"/>
      <c r="H33" s="584">
        <f t="shared" si="0"/>
        <v>0</v>
      </c>
    </row>
    <row r="34" spans="2:9" ht="14">
      <c r="B34" s="581" t="s">
        <v>922</v>
      </c>
      <c r="C34" s="581"/>
      <c r="D34" s="588"/>
      <c r="E34" s="582">
        <v>1</v>
      </c>
      <c r="F34" s="583">
        <v>4</v>
      </c>
      <c r="G34" s="584"/>
      <c r="H34" s="584">
        <f t="shared" si="0"/>
        <v>0</v>
      </c>
    </row>
    <row r="35" spans="2:9" ht="14">
      <c r="B35" s="581" t="s">
        <v>956</v>
      </c>
      <c r="C35" s="581"/>
      <c r="D35" s="588"/>
      <c r="E35" s="582">
        <v>1</v>
      </c>
      <c r="F35" s="583">
        <v>2</v>
      </c>
      <c r="G35" s="584"/>
      <c r="H35" s="584">
        <f t="shared" si="0"/>
        <v>0</v>
      </c>
    </row>
    <row r="36" spans="2:9" ht="30">
      <c r="B36" s="581"/>
      <c r="C36" s="30"/>
      <c r="D36" s="580"/>
      <c r="E36" s="30"/>
      <c r="F36" s="590" t="s">
        <v>989</v>
      </c>
      <c r="G36" s="30"/>
      <c r="H36" s="30"/>
    </row>
    <row r="37" spans="2:9" ht="14" thickBot="1">
      <c r="B37" s="581"/>
      <c r="C37" s="30"/>
      <c r="D37" s="580"/>
      <c r="E37" s="30"/>
      <c r="F37" s="30"/>
      <c r="G37" s="585"/>
      <c r="H37" s="585"/>
    </row>
    <row r="38" spans="2:9" s="30" customFormat="1" ht="23" customHeight="1" thickBot="1">
      <c r="B38" s="653" t="s">
        <v>1227</v>
      </c>
      <c r="C38" s="654"/>
      <c r="D38" s="654"/>
      <c r="E38" s="654"/>
      <c r="F38" s="654"/>
      <c r="G38" s="654"/>
      <c r="H38" s="655"/>
      <c r="I38" s="76"/>
    </row>
    <row r="39" spans="2:9">
      <c r="B39" s="78"/>
      <c r="C39" s="79"/>
      <c r="D39" s="79"/>
      <c r="E39" s="80"/>
    </row>
    <row r="40" spans="2:9" ht="45" customHeight="1">
      <c r="B40" s="925" t="s">
        <v>1228</v>
      </c>
      <c r="C40" s="925"/>
      <c r="D40" s="925"/>
      <c r="E40" s="589" t="s">
        <v>985</v>
      </c>
      <c r="F40" s="589" t="s">
        <v>324</v>
      </c>
      <c r="G40" s="589" t="s">
        <v>986</v>
      </c>
      <c r="H40" s="589" t="s">
        <v>987</v>
      </c>
    </row>
    <row r="41" spans="2:9" ht="14">
      <c r="B41" s="581" t="s">
        <v>892</v>
      </c>
      <c r="C41" s="846"/>
      <c r="D41" s="855"/>
      <c r="E41" s="582">
        <v>1</v>
      </c>
      <c r="F41" s="583">
        <v>2</v>
      </c>
      <c r="G41" s="584"/>
      <c r="H41" s="584">
        <f>G41*F41*E41</f>
        <v>0</v>
      </c>
    </row>
    <row r="42" spans="2:9" ht="14">
      <c r="B42" s="581" t="s">
        <v>922</v>
      </c>
      <c r="C42" s="855"/>
      <c r="D42" s="855"/>
      <c r="E42" s="582">
        <v>1</v>
      </c>
      <c r="F42" s="583">
        <v>2</v>
      </c>
      <c r="G42" s="584"/>
      <c r="H42" s="584">
        <f t="shared" ref="H42:H46" si="1">G42*F42*E42</f>
        <v>0</v>
      </c>
    </row>
    <row r="43" spans="2:9">
      <c r="B43" s="30" t="s">
        <v>866</v>
      </c>
      <c r="C43" s="855"/>
      <c r="D43" s="855"/>
      <c r="E43" s="582">
        <v>1</v>
      </c>
      <c r="F43" s="583">
        <v>2</v>
      </c>
      <c r="G43" s="584"/>
      <c r="H43" s="584">
        <f t="shared" si="1"/>
        <v>0</v>
      </c>
    </row>
    <row r="44" spans="2:9">
      <c r="B44" s="30" t="s">
        <v>863</v>
      </c>
      <c r="C44" s="855"/>
      <c r="D44" s="855"/>
      <c r="E44" s="582">
        <v>1</v>
      </c>
      <c r="F44" s="583">
        <v>2</v>
      </c>
      <c r="G44" s="584"/>
      <c r="H44" s="584">
        <f t="shared" si="1"/>
        <v>0</v>
      </c>
    </row>
    <row r="45" spans="2:9">
      <c r="B45" s="30" t="s">
        <v>635</v>
      </c>
      <c r="C45" s="855"/>
      <c r="D45" s="855"/>
      <c r="E45" s="582">
        <v>1</v>
      </c>
      <c r="F45" s="583">
        <v>2</v>
      </c>
      <c r="G45" s="584"/>
      <c r="H45" s="584">
        <f t="shared" si="1"/>
        <v>0</v>
      </c>
    </row>
    <row r="46" spans="2:9">
      <c r="B46" s="30" t="s">
        <v>485</v>
      </c>
      <c r="C46" s="855"/>
      <c r="D46" s="855"/>
      <c r="E46" s="582">
        <v>1</v>
      </c>
      <c r="F46" s="583">
        <v>2</v>
      </c>
      <c r="G46" s="584"/>
      <c r="H46" s="584">
        <f t="shared" si="1"/>
        <v>0</v>
      </c>
    </row>
    <row r="47" spans="2:9" ht="30">
      <c r="B47" s="30"/>
      <c r="C47" s="30"/>
      <c r="D47" s="30"/>
      <c r="E47" s="30"/>
      <c r="F47" s="590" t="s">
        <v>989</v>
      </c>
      <c r="G47" s="30"/>
      <c r="H47" s="30"/>
    </row>
    <row r="48" spans="2:9">
      <c r="B48" s="30"/>
      <c r="C48" s="30"/>
      <c r="D48" s="30"/>
      <c r="E48" s="30"/>
      <c r="F48" s="30"/>
      <c r="G48" s="30"/>
      <c r="H48" s="30"/>
    </row>
    <row r="49" spans="2:8">
      <c r="B49" s="30"/>
      <c r="C49" s="30"/>
      <c r="D49" s="30"/>
      <c r="E49" s="30"/>
      <c r="F49" s="30"/>
      <c r="G49" s="30"/>
      <c r="H49" s="30"/>
    </row>
    <row r="50" spans="2:8">
      <c r="B50" s="30"/>
      <c r="C50" s="30"/>
      <c r="D50" s="30"/>
      <c r="E50" s="30"/>
      <c r="F50" s="30"/>
      <c r="G50" s="30"/>
      <c r="H50" s="30"/>
    </row>
    <row r="51" spans="2:8">
      <c r="B51" s="501"/>
      <c r="C51" s="498"/>
      <c r="D51" s="498"/>
      <c r="E51" s="498"/>
      <c r="F51" s="498"/>
      <c r="G51" s="498"/>
      <c r="H51" s="498"/>
    </row>
    <row r="52" spans="2:8">
      <c r="B52" s="501"/>
      <c r="C52" s="498"/>
      <c r="D52" s="498"/>
      <c r="E52" s="498"/>
      <c r="F52" s="498"/>
      <c r="G52" s="498"/>
      <c r="H52" s="498"/>
    </row>
    <row r="53" spans="2:8" ht="18.75" customHeight="1">
      <c r="B53" s="923" t="s">
        <v>361</v>
      </c>
      <c r="C53" s="923"/>
      <c r="D53" s="923"/>
      <c r="E53" s="923"/>
      <c r="F53" s="923"/>
      <c r="G53" s="923"/>
      <c r="H53" s="923"/>
    </row>
    <row r="54" spans="2:8">
      <c r="B54" s="501"/>
      <c r="C54" s="498"/>
      <c r="D54" s="498"/>
      <c r="E54" s="498"/>
      <c r="F54" s="498"/>
      <c r="G54" s="498"/>
      <c r="H54" s="498"/>
    </row>
    <row r="55" spans="2:8">
      <c r="B55" s="501"/>
      <c r="C55" s="498"/>
      <c r="D55" s="498"/>
      <c r="E55" s="924" t="s">
        <v>94</v>
      </c>
      <c r="F55" s="924"/>
      <c r="G55" s="924"/>
      <c r="H55" s="924"/>
    </row>
    <row r="56" spans="2:8">
      <c r="B56" s="84"/>
      <c r="C56" s="498"/>
      <c r="D56" s="498"/>
      <c r="E56" s="499" t="s">
        <v>357</v>
      </c>
      <c r="F56" s="499" t="s">
        <v>358</v>
      </c>
      <c r="G56" s="279" t="s">
        <v>359</v>
      </c>
      <c r="H56" s="279" t="s">
        <v>360</v>
      </c>
    </row>
    <row r="57" spans="2:8">
      <c r="B57" s="84" t="s">
        <v>351</v>
      </c>
      <c r="C57" s="498"/>
      <c r="D57" s="498"/>
      <c r="E57" s="918"/>
      <c r="F57" s="918"/>
      <c r="G57" s="918"/>
      <c r="H57" s="918"/>
    </row>
    <row r="58" spans="2:8">
      <c r="B58" s="501" t="s">
        <v>352</v>
      </c>
      <c r="C58" s="498"/>
      <c r="D58" s="498"/>
      <c r="E58" s="919"/>
      <c r="F58" s="919"/>
      <c r="G58" s="919"/>
      <c r="H58" s="919"/>
    </row>
    <row r="59" spans="2:8">
      <c r="B59" s="84"/>
      <c r="C59" s="498"/>
      <c r="D59" s="498"/>
      <c r="E59" s="500"/>
    </row>
    <row r="60" spans="2:8">
      <c r="B60" s="84"/>
      <c r="C60" s="498"/>
      <c r="D60" s="498"/>
      <c r="E60" s="500"/>
    </row>
    <row r="61" spans="2:8" ht="18.75" customHeight="1">
      <c r="B61" s="923" t="s">
        <v>362</v>
      </c>
      <c r="C61" s="923"/>
      <c r="D61" s="923"/>
      <c r="E61" s="923"/>
      <c r="F61" s="923"/>
      <c r="G61" s="923"/>
      <c r="H61" s="923"/>
    </row>
    <row r="62" spans="2:8">
      <c r="B62" s="84"/>
      <c r="C62" s="498"/>
      <c r="D62" s="498"/>
      <c r="E62" s="500"/>
    </row>
    <row r="63" spans="2:8">
      <c r="B63" s="84"/>
      <c r="C63" s="498"/>
      <c r="D63" s="498"/>
      <c r="E63" s="924" t="s">
        <v>94</v>
      </c>
      <c r="F63" s="924"/>
      <c r="G63" s="924"/>
      <c r="H63" s="924"/>
    </row>
    <row r="64" spans="2:8">
      <c r="B64" s="84"/>
      <c r="C64" s="498"/>
      <c r="D64" s="498"/>
      <c r="E64" s="499" t="s">
        <v>357</v>
      </c>
      <c r="F64" s="499" t="s">
        <v>358</v>
      </c>
      <c r="G64" s="279" t="s">
        <v>359</v>
      </c>
      <c r="H64" s="279" t="s">
        <v>360</v>
      </c>
    </row>
    <row r="65" spans="2:8">
      <c r="B65" s="84" t="s">
        <v>415</v>
      </c>
      <c r="C65" s="498"/>
      <c r="D65" s="498"/>
      <c r="E65" s="918"/>
      <c r="F65" s="918"/>
      <c r="G65" s="918"/>
      <c r="H65" s="918"/>
    </row>
    <row r="66" spans="2:8">
      <c r="B66" s="498" t="s">
        <v>353</v>
      </c>
      <c r="C66" s="498"/>
      <c r="D66" s="498"/>
      <c r="E66" s="919"/>
      <c r="F66" s="919"/>
      <c r="G66" s="919"/>
      <c r="H66" s="919"/>
    </row>
    <row r="67" spans="2:8">
      <c r="B67" s="71"/>
      <c r="C67" s="498"/>
      <c r="D67" s="498"/>
      <c r="E67" s="500"/>
    </row>
    <row r="68" spans="2:8">
      <c r="B68" s="84" t="s">
        <v>415</v>
      </c>
      <c r="C68" s="498"/>
      <c r="D68" s="498"/>
      <c r="E68" s="918"/>
      <c r="F68" s="918"/>
      <c r="G68" s="918"/>
      <c r="H68" s="918"/>
    </row>
    <row r="69" spans="2:8">
      <c r="B69" s="498" t="s">
        <v>354</v>
      </c>
      <c r="C69" s="498"/>
      <c r="D69" s="498"/>
      <c r="E69" s="919"/>
      <c r="F69" s="919"/>
      <c r="G69" s="919"/>
      <c r="H69" s="919"/>
    </row>
    <row r="70" spans="2:8">
      <c r="B70" s="71"/>
      <c r="C70" s="498"/>
      <c r="D70" s="498"/>
      <c r="E70" s="500"/>
    </row>
    <row r="71" spans="2:8">
      <c r="B71" s="84" t="s">
        <v>415</v>
      </c>
      <c r="C71" s="498"/>
      <c r="D71" s="498"/>
      <c r="E71" s="918"/>
      <c r="F71" s="918"/>
      <c r="G71" s="918"/>
      <c r="H71" s="918"/>
    </row>
    <row r="72" spans="2:8">
      <c r="B72" s="498" t="s">
        <v>355</v>
      </c>
      <c r="C72" s="498"/>
      <c r="D72" s="498"/>
      <c r="E72" s="919"/>
      <c r="F72" s="919"/>
      <c r="G72" s="919"/>
      <c r="H72" s="919"/>
    </row>
    <row r="73" spans="2:8">
      <c r="B73" s="71"/>
      <c r="C73" s="498"/>
      <c r="D73" s="498"/>
      <c r="E73" s="500"/>
    </row>
    <row r="74" spans="2:8">
      <c r="B74" s="84" t="s">
        <v>415</v>
      </c>
      <c r="C74" s="498"/>
      <c r="D74" s="498"/>
      <c r="E74" s="918"/>
      <c r="F74" s="918"/>
      <c r="G74" s="918"/>
      <c r="H74" s="918"/>
    </row>
    <row r="75" spans="2:8">
      <c r="B75" s="498" t="s">
        <v>356</v>
      </c>
      <c r="C75" s="498"/>
      <c r="D75" s="498"/>
      <c r="E75" s="919"/>
      <c r="F75" s="919"/>
      <c r="G75" s="919"/>
      <c r="H75" s="919"/>
    </row>
    <row r="76" spans="2:8">
      <c r="B76" s="84"/>
      <c r="C76" s="498"/>
      <c r="D76" s="498"/>
      <c r="E76" s="500"/>
    </row>
    <row r="77" spans="2:8">
      <c r="B77" s="84"/>
      <c r="C77" s="498"/>
      <c r="D77" s="498"/>
      <c r="E77" s="500"/>
    </row>
    <row r="78" spans="2:8" ht="21" customHeight="1">
      <c r="B78" s="923" t="s">
        <v>427</v>
      </c>
      <c r="C78" s="923"/>
      <c r="D78" s="923"/>
      <c r="E78" s="923"/>
      <c r="F78" s="923"/>
      <c r="G78" s="923"/>
      <c r="H78" s="923"/>
    </row>
    <row r="79" spans="2:8" ht="21" customHeight="1">
      <c r="B79" s="492"/>
      <c r="C79" s="296"/>
      <c r="D79" s="296"/>
      <c r="E79" s="71"/>
      <c r="F79" s="71"/>
      <c r="G79" s="71"/>
      <c r="H79" s="71"/>
    </row>
    <row r="80" spans="2:8">
      <c r="B80" s="71"/>
      <c r="C80" s="71"/>
      <c r="D80" s="71"/>
      <c r="E80" s="493"/>
      <c r="F80" s="493"/>
      <c r="G80" s="493"/>
      <c r="H80" s="493"/>
    </row>
    <row r="81" spans="2:8">
      <c r="B81" s="71"/>
      <c r="C81" s="296"/>
      <c r="D81" s="296"/>
      <c r="E81" s="920" t="s">
        <v>125</v>
      </c>
      <c r="F81" s="920"/>
      <c r="G81" s="920"/>
      <c r="H81" s="920"/>
    </row>
    <row r="82" spans="2:8">
      <c r="B82" s="492" t="s">
        <v>369</v>
      </c>
      <c r="C82" s="492"/>
      <c r="D82" s="492"/>
      <c r="E82" s="449" t="s">
        <v>363</v>
      </c>
      <c r="F82" s="449" t="s">
        <v>364</v>
      </c>
      <c r="G82" s="449" t="s">
        <v>365</v>
      </c>
      <c r="H82" s="449" t="s">
        <v>366</v>
      </c>
    </row>
    <row r="83" spans="2:8">
      <c r="B83" s="493" t="s">
        <v>367</v>
      </c>
      <c r="C83" s="493"/>
      <c r="D83" s="493"/>
      <c r="E83" s="918"/>
      <c r="F83" s="918"/>
      <c r="G83" s="918"/>
      <c r="H83" s="918"/>
    </row>
    <row r="84" spans="2:8">
      <c r="B84" s="495" t="s">
        <v>370</v>
      </c>
      <c r="C84" s="493"/>
      <c r="D84" s="493"/>
      <c r="E84" s="919"/>
      <c r="F84" s="919"/>
      <c r="G84" s="919"/>
      <c r="H84" s="919"/>
    </row>
    <row r="85" spans="2:8">
      <c r="B85" s="493"/>
      <c r="C85" s="493"/>
      <c r="D85" s="493"/>
      <c r="E85" s="493"/>
      <c r="F85" s="493"/>
      <c r="G85" s="493"/>
      <c r="H85" s="493"/>
    </row>
    <row r="86" spans="2:8">
      <c r="B86" s="493" t="s">
        <v>368</v>
      </c>
      <c r="C86" s="493"/>
      <c r="D86" s="493"/>
      <c r="E86" s="918"/>
      <c r="F86" s="918"/>
      <c r="G86" s="918"/>
      <c r="H86" s="918"/>
    </row>
    <row r="87" spans="2:8">
      <c r="B87" s="495" t="s">
        <v>370</v>
      </c>
      <c r="C87" s="493"/>
      <c r="D87" s="493"/>
      <c r="E87" s="919"/>
      <c r="F87" s="919"/>
      <c r="G87" s="919"/>
      <c r="H87" s="919"/>
    </row>
    <row r="88" spans="2:8">
      <c r="B88" s="493"/>
      <c r="C88" s="493"/>
      <c r="D88" s="493"/>
      <c r="E88" s="493"/>
      <c r="F88" s="493"/>
      <c r="G88" s="493"/>
      <c r="H88" s="493"/>
    </row>
    <row r="89" spans="2:8">
      <c r="B89" s="493"/>
      <c r="C89" s="493"/>
      <c r="D89" s="493"/>
      <c r="E89" s="493"/>
      <c r="F89" s="493"/>
      <c r="G89" s="493"/>
      <c r="H89" s="493"/>
    </row>
    <row r="90" spans="2:8">
      <c r="B90" s="493"/>
      <c r="C90" s="493"/>
      <c r="D90" s="493"/>
      <c r="E90" s="493"/>
      <c r="F90" s="493"/>
      <c r="G90" s="493"/>
      <c r="H90" s="493"/>
    </row>
    <row r="91" spans="2:8">
      <c r="B91" s="493"/>
      <c r="C91" s="493"/>
      <c r="D91" s="493"/>
      <c r="E91" s="920" t="s">
        <v>125</v>
      </c>
      <c r="F91" s="920"/>
      <c r="G91" s="920"/>
      <c r="H91" s="920"/>
    </row>
    <row r="92" spans="2:8">
      <c r="B92" s="492" t="s">
        <v>428</v>
      </c>
      <c r="C92" s="498"/>
      <c r="D92" s="498"/>
      <c r="E92" s="449" t="s">
        <v>363</v>
      </c>
      <c r="F92" s="449" t="s">
        <v>364</v>
      </c>
      <c r="G92" s="449" t="s">
        <v>365</v>
      </c>
      <c r="H92" s="449" t="s">
        <v>366</v>
      </c>
    </row>
    <row r="93" spans="2:8">
      <c r="B93" s="84" t="s">
        <v>429</v>
      </c>
      <c r="C93" s="71"/>
      <c r="D93" s="498"/>
      <c r="E93" s="918"/>
      <c r="F93" s="918"/>
      <c r="G93" s="918"/>
      <c r="H93" s="918"/>
    </row>
    <row r="94" spans="2:8">
      <c r="B94" s="501" t="s">
        <v>430</v>
      </c>
      <c r="C94" s="498"/>
      <c r="D94" s="498"/>
      <c r="E94" s="919"/>
      <c r="F94" s="919"/>
      <c r="G94" s="919"/>
      <c r="H94" s="919"/>
    </row>
    <row r="95" spans="2:8">
      <c r="B95" s="84"/>
      <c r="C95" s="498"/>
      <c r="D95" s="498"/>
      <c r="E95" s="500"/>
    </row>
    <row r="96" spans="2:8" ht="21" customHeight="1">
      <c r="B96" s="71"/>
      <c r="C96" s="71"/>
      <c r="D96" s="71"/>
      <c r="E96" s="71"/>
      <c r="F96" s="71"/>
      <c r="G96" s="279" t="s">
        <v>424</v>
      </c>
      <c r="H96" s="279" t="s">
        <v>424</v>
      </c>
    </row>
    <row r="97" spans="2:8" ht="21" customHeight="1">
      <c r="B97" s="494" t="s">
        <v>416</v>
      </c>
      <c r="C97" s="494" t="s">
        <v>414</v>
      </c>
      <c r="D97" s="71"/>
      <c r="E97" s="71"/>
      <c r="F97" s="71"/>
      <c r="G97" s="279" t="s">
        <v>425</v>
      </c>
      <c r="H97" s="279" t="s">
        <v>426</v>
      </c>
    </row>
    <row r="98" spans="2:8" ht="21" customHeight="1">
      <c r="B98" s="71" t="s">
        <v>417</v>
      </c>
      <c r="C98" s="71" t="s">
        <v>418</v>
      </c>
      <c r="D98" s="71"/>
      <c r="E98" s="71"/>
      <c r="F98" s="71"/>
      <c r="G98" s="534"/>
      <c r="H98" s="71"/>
    </row>
    <row r="99" spans="2:8" ht="21" customHeight="1">
      <c r="B99" s="71" t="s">
        <v>419</v>
      </c>
      <c r="C99" s="71" t="s">
        <v>420</v>
      </c>
      <c r="D99" s="71"/>
      <c r="E99" s="71"/>
      <c r="F99" s="71"/>
      <c r="G99" s="534"/>
      <c r="H99" s="71"/>
    </row>
    <row r="100" spans="2:8" ht="21" customHeight="1">
      <c r="B100" s="71" t="s">
        <v>421</v>
      </c>
      <c r="C100" s="71" t="s">
        <v>422</v>
      </c>
      <c r="D100" s="71"/>
      <c r="E100" s="71"/>
      <c r="F100" s="71"/>
      <c r="G100" s="71"/>
      <c r="H100" s="534"/>
    </row>
    <row r="101" spans="2:8" ht="21" customHeight="1">
      <c r="B101" s="71" t="s">
        <v>423</v>
      </c>
      <c r="C101" s="71" t="s">
        <v>422</v>
      </c>
      <c r="D101" s="71"/>
      <c r="E101" s="71"/>
      <c r="F101" s="71"/>
      <c r="G101" s="71"/>
      <c r="H101" s="534"/>
    </row>
    <row r="102" spans="2:8" ht="21" customHeight="1">
      <c r="B102" s="71"/>
      <c r="C102" s="71"/>
      <c r="D102" s="71"/>
      <c r="E102" s="71"/>
      <c r="F102" s="71"/>
      <c r="G102" s="71"/>
      <c r="H102" s="71"/>
    </row>
    <row r="103" spans="2:8" ht="21" customHeight="1">
      <c r="B103" s="71"/>
      <c r="C103" s="71"/>
      <c r="D103" s="71"/>
      <c r="E103" s="71"/>
      <c r="F103" s="71"/>
      <c r="G103" s="71"/>
      <c r="H103" s="71"/>
    </row>
    <row r="104" spans="2:8">
      <c r="B104" s="71"/>
      <c r="C104" s="71"/>
      <c r="D104" s="71"/>
      <c r="E104" s="71"/>
      <c r="F104" s="71"/>
      <c r="G104" s="71"/>
      <c r="H104" s="71"/>
    </row>
    <row r="105" spans="2:8" ht="16">
      <c r="B105" s="922" t="s">
        <v>251</v>
      </c>
      <c r="C105" s="922"/>
      <c r="D105" s="922"/>
      <c r="E105" s="922"/>
      <c r="F105" s="922"/>
      <c r="G105" s="922"/>
      <c r="H105" s="922"/>
    </row>
    <row r="106" spans="2:8" ht="32" customHeight="1">
      <c r="B106" s="71"/>
      <c r="C106" s="71"/>
      <c r="D106" s="71"/>
      <c r="E106" s="71"/>
      <c r="F106" s="71"/>
      <c r="G106" s="71"/>
      <c r="H106" s="71"/>
    </row>
    <row r="107" spans="2:8" ht="12.75" customHeight="1">
      <c r="B107" s="921" t="s">
        <v>371</v>
      </c>
      <c r="C107" s="921"/>
      <c r="D107" s="921"/>
      <c r="E107" s="921"/>
      <c r="F107" s="921"/>
      <c r="G107" s="921"/>
      <c r="H107" s="921"/>
    </row>
    <row r="108" spans="2:8">
      <c r="B108" s="921"/>
      <c r="C108" s="921"/>
      <c r="D108" s="921"/>
      <c r="E108" s="921"/>
      <c r="F108" s="921"/>
      <c r="G108" s="921"/>
      <c r="H108" s="921"/>
    </row>
    <row r="109" spans="2:8">
      <c r="B109" s="921"/>
      <c r="C109" s="921"/>
      <c r="D109" s="921"/>
      <c r="E109" s="921"/>
      <c r="F109" s="921"/>
      <c r="G109" s="921"/>
      <c r="H109" s="921"/>
    </row>
    <row r="110" spans="2:8">
      <c r="B110" s="494"/>
      <c r="C110" s="494"/>
      <c r="D110" s="494"/>
      <c r="E110" s="494"/>
      <c r="F110" s="494"/>
      <c r="G110" s="494"/>
      <c r="H110" s="494"/>
    </row>
    <row r="111" spans="2:8">
      <c r="B111" s="494" t="s">
        <v>15</v>
      </c>
      <c r="C111" s="71"/>
      <c r="D111" s="494" t="s">
        <v>40</v>
      </c>
      <c r="E111" s="494"/>
      <c r="F111" s="494"/>
      <c r="G111" s="494"/>
      <c r="H111" s="494"/>
    </row>
    <row r="112" spans="2:8" ht="20" customHeight="1">
      <c r="B112" s="496" t="s">
        <v>140</v>
      </c>
      <c r="C112" s="71"/>
      <c r="D112" s="71" t="s">
        <v>108</v>
      </c>
      <c r="E112" s="71"/>
      <c r="F112" s="497"/>
      <c r="G112" s="497"/>
      <c r="H112" s="533"/>
    </row>
    <row r="113" spans="1:8" ht="20" customHeight="1">
      <c r="B113" s="71" t="s">
        <v>22</v>
      </c>
      <c r="C113" s="71"/>
      <c r="D113" s="71" t="s">
        <v>111</v>
      </c>
      <c r="E113" s="71"/>
      <c r="F113" s="497"/>
      <c r="G113" s="497"/>
      <c r="H113" s="533"/>
    </row>
    <row r="114" spans="1:8" ht="20" customHeight="1">
      <c r="B114" s="71" t="s">
        <v>140</v>
      </c>
      <c r="C114" s="71"/>
      <c r="D114" s="71" t="s">
        <v>70</v>
      </c>
      <c r="E114" s="71"/>
      <c r="F114" s="497"/>
      <c r="G114" s="497"/>
      <c r="H114" s="533"/>
    </row>
    <row r="115" spans="1:8" ht="20" customHeight="1">
      <c r="B115" s="496" t="s">
        <v>22</v>
      </c>
      <c r="C115" s="71"/>
      <c r="D115" s="496" t="s">
        <v>70</v>
      </c>
      <c r="E115" s="71"/>
      <c r="F115" s="474"/>
      <c r="G115" s="497"/>
      <c r="H115" s="533"/>
    </row>
    <row r="116" spans="1:8" ht="20" customHeight="1">
      <c r="B116" s="71" t="s">
        <v>140</v>
      </c>
      <c r="C116" s="71"/>
      <c r="D116" s="71" t="s">
        <v>43</v>
      </c>
      <c r="E116" s="71"/>
      <c r="F116" s="497"/>
      <c r="G116" s="474"/>
      <c r="H116" s="533"/>
    </row>
    <row r="117" spans="1:8" ht="20" customHeight="1">
      <c r="B117" s="496" t="s">
        <v>22</v>
      </c>
      <c r="C117" s="71"/>
      <c r="D117" s="496" t="s">
        <v>43</v>
      </c>
      <c r="E117" s="71"/>
      <c r="F117" s="474"/>
      <c r="G117" s="497"/>
      <c r="H117" s="533"/>
    </row>
    <row r="118" spans="1:8">
      <c r="B118" s="71"/>
      <c r="C118" s="71"/>
      <c r="D118" s="71"/>
      <c r="E118" s="71"/>
      <c r="F118" s="71"/>
      <c r="G118" s="474"/>
      <c r="H118" s="474"/>
    </row>
    <row r="119" spans="1:8" ht="12.75" customHeight="1">
      <c r="B119" s="70" t="s">
        <v>48</v>
      </c>
      <c r="C119" s="82"/>
      <c r="D119" s="82"/>
      <c r="E119" s="83"/>
      <c r="G119" s="71"/>
      <c r="H119" s="71"/>
    </row>
    <row r="120" spans="1:8" ht="12.75" customHeight="1">
      <c r="B120" s="84" t="s">
        <v>372</v>
      </c>
      <c r="C120" s="82"/>
      <c r="D120" s="82"/>
      <c r="E120" s="83"/>
    </row>
    <row r="121" spans="1:8" ht="12.75" customHeight="1">
      <c r="B121" s="84" t="s">
        <v>79</v>
      </c>
      <c r="C121" s="82"/>
      <c r="D121" s="82"/>
      <c r="E121" s="83"/>
    </row>
    <row r="122" spans="1:8" ht="12.75" customHeight="1"/>
    <row r="123" spans="1:8"/>
    <row r="124" spans="1:8"/>
    <row r="125" spans="1:8"/>
    <row r="126" spans="1:8"/>
    <row r="127" spans="1:8">
      <c r="A127" s="683">
        <v>2</v>
      </c>
      <c r="B127" s="435"/>
      <c r="C127" s="435"/>
      <c r="D127" s="435"/>
    </row>
    <row r="128" spans="1:8">
      <c r="A128" s="683">
        <v>2</v>
      </c>
      <c r="B128" s="2"/>
      <c r="C128" s="435"/>
      <c r="D128" s="435"/>
    </row>
    <row r="129" spans="1:4">
      <c r="A129" s="683">
        <v>2</v>
      </c>
      <c r="B129" s="2"/>
      <c r="C129" s="2"/>
      <c r="D129" s="2"/>
    </row>
    <row r="130" spans="1:4">
      <c r="A130" s="683">
        <v>2</v>
      </c>
      <c r="B130" s="2"/>
      <c r="C130" s="435"/>
      <c r="D130" s="2"/>
    </row>
    <row r="131" spans="1:4">
      <c r="A131" s="683">
        <v>2</v>
      </c>
      <c r="B131" s="2"/>
      <c r="C131" s="435"/>
      <c r="D131" s="435"/>
    </row>
    <row r="132" spans="1:4">
      <c r="A132" s="683">
        <v>2</v>
      </c>
      <c r="B132" s="2"/>
      <c r="C132" s="2"/>
      <c r="D132" s="2"/>
    </row>
    <row r="133" spans="1:4">
      <c r="A133" s="683">
        <v>3</v>
      </c>
      <c r="B133" s="2"/>
      <c r="C133" s="435"/>
      <c r="D133" s="435"/>
    </row>
    <row r="134" spans="1:4"/>
    <row r="135" spans="1:4"/>
    <row r="136" spans="1:4"/>
    <row r="137" spans="1:4"/>
    <row r="138" spans="1:4"/>
    <row r="139" spans="1:4"/>
    <row r="140" spans="1:4"/>
    <row r="141" spans="1:4"/>
    <row r="142" spans="1:4"/>
    <row r="143" spans="1:4"/>
    <row r="144" spans="1: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</sheetData>
  <mergeCells count="43">
    <mergeCell ref="B20:D20"/>
    <mergeCell ref="E55:H55"/>
    <mergeCell ref="B61:H61"/>
    <mergeCell ref="B53:H53"/>
    <mergeCell ref="E57:E58"/>
    <mergeCell ref="B40:D40"/>
    <mergeCell ref="B107:H109"/>
    <mergeCell ref="E81:H81"/>
    <mergeCell ref="B105:H105"/>
    <mergeCell ref="B78:H78"/>
    <mergeCell ref="F57:F58"/>
    <mergeCell ref="G57:G58"/>
    <mergeCell ref="H57:H58"/>
    <mergeCell ref="H65:H66"/>
    <mergeCell ref="G74:G75"/>
    <mergeCell ref="H74:H75"/>
    <mergeCell ref="E63:H63"/>
    <mergeCell ref="E68:E69"/>
    <mergeCell ref="F68:F69"/>
    <mergeCell ref="G68:G69"/>
    <mergeCell ref="H68:H69"/>
    <mergeCell ref="E71:E72"/>
    <mergeCell ref="F71:F72"/>
    <mergeCell ref="G71:G72"/>
    <mergeCell ref="H71:H72"/>
    <mergeCell ref="E65:E66"/>
    <mergeCell ref="F65:F66"/>
    <mergeCell ref="G65:G66"/>
    <mergeCell ref="H93:H94"/>
    <mergeCell ref="E83:E84"/>
    <mergeCell ref="F83:F84"/>
    <mergeCell ref="G83:G84"/>
    <mergeCell ref="H83:H84"/>
    <mergeCell ref="E86:E87"/>
    <mergeCell ref="F86:F87"/>
    <mergeCell ref="G86:G87"/>
    <mergeCell ref="H86:H87"/>
    <mergeCell ref="E91:H91"/>
    <mergeCell ref="E74:E75"/>
    <mergeCell ref="F74:F75"/>
    <mergeCell ref="E93:E94"/>
    <mergeCell ref="F93:F94"/>
    <mergeCell ref="G93:G94"/>
  </mergeCells>
  <phoneticPr fontId="17"/>
  <conditionalFormatting sqref="G2">
    <cfRule type="cellIs" dxfId="57" priority="363" operator="greaterThan">
      <formula>0</formula>
    </cfRule>
  </conditionalFormatting>
  <conditionalFormatting sqref="G1">
    <cfRule type="cellIs" dxfId="56" priority="364" operator="greaterThan">
      <formula>0</formula>
    </cfRule>
  </conditionalFormatting>
  <conditionalFormatting sqref="F57">
    <cfRule type="cellIs" dxfId="55" priority="111" operator="greaterThan">
      <formula>0</formula>
    </cfRule>
  </conditionalFormatting>
  <conditionalFormatting sqref="H57">
    <cfRule type="cellIs" dxfId="54" priority="109" operator="greaterThan">
      <formula>0</formula>
    </cfRule>
  </conditionalFormatting>
  <conditionalFormatting sqref="E57">
    <cfRule type="cellIs" dxfId="53" priority="112" operator="greaterThan">
      <formula>0</formula>
    </cfRule>
  </conditionalFormatting>
  <conditionalFormatting sqref="G57">
    <cfRule type="cellIs" dxfId="52" priority="110" operator="greaterThan">
      <formula>0</formula>
    </cfRule>
  </conditionalFormatting>
  <conditionalFormatting sqref="E65">
    <cfRule type="cellIs" dxfId="51" priority="108" operator="greaterThan">
      <formula>0</formula>
    </cfRule>
  </conditionalFormatting>
  <conditionalFormatting sqref="F65">
    <cfRule type="cellIs" dxfId="50" priority="107" operator="greaterThan">
      <formula>0</formula>
    </cfRule>
  </conditionalFormatting>
  <conditionalFormatting sqref="G65">
    <cfRule type="cellIs" dxfId="49" priority="106" operator="greaterThan">
      <formula>0</formula>
    </cfRule>
  </conditionalFormatting>
  <conditionalFormatting sqref="H65">
    <cfRule type="cellIs" dxfId="48" priority="105" operator="greaterThan">
      <formula>0</formula>
    </cfRule>
  </conditionalFormatting>
  <conditionalFormatting sqref="E68">
    <cfRule type="cellIs" dxfId="47" priority="104" operator="greaterThan">
      <formula>0</formula>
    </cfRule>
  </conditionalFormatting>
  <conditionalFormatting sqref="F68">
    <cfRule type="cellIs" dxfId="46" priority="103" operator="greaterThan">
      <formula>0</formula>
    </cfRule>
  </conditionalFormatting>
  <conditionalFormatting sqref="G68">
    <cfRule type="cellIs" dxfId="45" priority="102" operator="greaterThan">
      <formula>0</formula>
    </cfRule>
  </conditionalFormatting>
  <conditionalFormatting sqref="H68">
    <cfRule type="cellIs" dxfId="44" priority="101" operator="greaterThan">
      <formula>0</formula>
    </cfRule>
  </conditionalFormatting>
  <conditionalFormatting sqref="F71">
    <cfRule type="cellIs" dxfId="43" priority="99" operator="greaterThan">
      <formula>0</formula>
    </cfRule>
  </conditionalFormatting>
  <conditionalFormatting sqref="H71">
    <cfRule type="cellIs" dxfId="42" priority="97" operator="greaterThan">
      <formula>0</formula>
    </cfRule>
  </conditionalFormatting>
  <conditionalFormatting sqref="E71">
    <cfRule type="cellIs" dxfId="41" priority="100" operator="greaterThan">
      <formula>0</formula>
    </cfRule>
  </conditionalFormatting>
  <conditionalFormatting sqref="G71">
    <cfRule type="cellIs" dxfId="40" priority="98" operator="greaterThan">
      <formula>0</formula>
    </cfRule>
  </conditionalFormatting>
  <conditionalFormatting sqref="F74">
    <cfRule type="cellIs" dxfId="39" priority="95" operator="greaterThan">
      <formula>0</formula>
    </cfRule>
  </conditionalFormatting>
  <conditionalFormatting sqref="H74">
    <cfRule type="cellIs" dxfId="38" priority="93" operator="greaterThan">
      <formula>0</formula>
    </cfRule>
  </conditionalFormatting>
  <conditionalFormatting sqref="E74">
    <cfRule type="cellIs" dxfId="37" priority="96" operator="greaterThan">
      <formula>0</formula>
    </cfRule>
  </conditionalFormatting>
  <conditionalFormatting sqref="G74">
    <cfRule type="cellIs" dxfId="36" priority="94" operator="greaterThan">
      <formula>0</formula>
    </cfRule>
  </conditionalFormatting>
  <conditionalFormatting sqref="E83">
    <cfRule type="cellIs" dxfId="35" priority="92" operator="greaterThan">
      <formula>0</formula>
    </cfRule>
  </conditionalFormatting>
  <conditionalFormatting sqref="F83">
    <cfRule type="cellIs" dxfId="34" priority="91" operator="greaterThan">
      <formula>0</formula>
    </cfRule>
  </conditionalFormatting>
  <conditionalFormatting sqref="G83">
    <cfRule type="cellIs" dxfId="33" priority="90" operator="greaterThan">
      <formula>0</formula>
    </cfRule>
  </conditionalFormatting>
  <conditionalFormatting sqref="H83">
    <cfRule type="cellIs" dxfId="32" priority="89" operator="greaterThan">
      <formula>0</formula>
    </cfRule>
  </conditionalFormatting>
  <conditionalFormatting sqref="E86">
    <cfRule type="cellIs" dxfId="31" priority="88" operator="greaterThan">
      <formula>0</formula>
    </cfRule>
  </conditionalFormatting>
  <conditionalFormatting sqref="F86">
    <cfRule type="cellIs" dxfId="30" priority="87" operator="greaterThan">
      <formula>0</formula>
    </cfRule>
  </conditionalFormatting>
  <conditionalFormatting sqref="G86">
    <cfRule type="cellIs" dxfId="29" priority="86" operator="greaterThan">
      <formula>0</formula>
    </cfRule>
  </conditionalFormatting>
  <conditionalFormatting sqref="H86">
    <cfRule type="cellIs" dxfId="28" priority="85" operator="greaterThan">
      <formula>0</formula>
    </cfRule>
  </conditionalFormatting>
  <conditionalFormatting sqref="G93">
    <cfRule type="cellIs" dxfId="27" priority="82" operator="greaterThan">
      <formula>0</formula>
    </cfRule>
  </conditionalFormatting>
  <conditionalFormatting sqref="H93">
    <cfRule type="cellIs" dxfId="26" priority="81" operator="greaterThan">
      <formula>0</formula>
    </cfRule>
  </conditionalFormatting>
  <conditionalFormatting sqref="E93">
    <cfRule type="cellIs" dxfId="25" priority="84" operator="greaterThan">
      <formula>0</formula>
    </cfRule>
  </conditionalFormatting>
  <conditionalFormatting sqref="F93">
    <cfRule type="cellIs" dxfId="24" priority="83" operator="greaterThan">
      <formula>0</formula>
    </cfRule>
  </conditionalFormatting>
  <conditionalFormatting sqref="G98">
    <cfRule type="cellIs" dxfId="23" priority="80" operator="greaterThan">
      <formula>0</formula>
    </cfRule>
  </conditionalFormatting>
  <conditionalFormatting sqref="G99">
    <cfRule type="cellIs" dxfId="22" priority="79" operator="greaterThan">
      <formula>0</formula>
    </cfRule>
  </conditionalFormatting>
  <conditionalFormatting sqref="H101">
    <cfRule type="cellIs" dxfId="21" priority="77" operator="greaterThan">
      <formula>0</formula>
    </cfRule>
  </conditionalFormatting>
  <conditionalFormatting sqref="H100">
    <cfRule type="cellIs" dxfId="20" priority="78" operator="greaterThan">
      <formula>0</formula>
    </cfRule>
  </conditionalFormatting>
  <conditionalFormatting sqref="H112:H117">
    <cfRule type="cellIs" dxfId="19" priority="76" operator="greaterThan">
      <formula>0</formula>
    </cfRule>
  </conditionalFormatting>
  <conditionalFormatting sqref="E21:E35">
    <cfRule type="cellIs" dxfId="18" priority="61" operator="greaterThan">
      <formula>0</formula>
    </cfRule>
  </conditionalFormatting>
  <conditionalFormatting sqref="H21:H35">
    <cfRule type="cellIs" dxfId="17" priority="60" operator="greaterThan">
      <formula>0</formula>
    </cfRule>
  </conditionalFormatting>
  <conditionalFormatting sqref="G21:G35">
    <cfRule type="cellIs" dxfId="16" priority="56" operator="greaterThan">
      <formula>0</formula>
    </cfRule>
  </conditionalFormatting>
  <conditionalFormatting sqref="H41:H46">
    <cfRule type="cellIs" dxfId="15" priority="2" operator="greaterThan">
      <formula>0</formula>
    </cfRule>
  </conditionalFormatting>
  <conditionalFormatting sqref="E41:E46">
    <cfRule type="cellIs" dxfId="14" priority="3" operator="greaterThan">
      <formula>0</formula>
    </cfRule>
  </conditionalFormatting>
  <conditionalFormatting sqref="G41:G46">
    <cfRule type="cellIs" dxfId="13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G1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60" max="16383" man="1"/>
  </rowBreaks>
  <picture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>
    <pageSetUpPr fitToPage="1"/>
  </sheetPr>
  <dimension ref="A1:Z286"/>
  <sheetViews>
    <sheetView showGridLines="0" showRowColHeaders="0" showZeros="0" showOutlineSymbols="0" zoomScaleNormal="100" zoomScaleSheetLayoutView="75" workbookViewId="0"/>
  </sheetViews>
  <sheetFormatPr baseColWidth="10" defaultColWidth="0" defaultRowHeight="13"/>
  <cols>
    <col min="1" max="1" width="7.19921875" style="30" customWidth="1"/>
    <col min="2" max="2" width="41.19921875" style="81" customWidth="1"/>
    <col min="3" max="3" width="17.19921875" style="75" customWidth="1"/>
    <col min="4" max="4" width="12.796875" style="75" customWidth="1"/>
    <col min="5" max="5" width="13.19921875" style="76" bestFit="1" customWidth="1"/>
    <col min="6" max="6" width="12.19921875" style="76" customWidth="1"/>
    <col min="7" max="7" width="13.19921875" style="76" bestFit="1" customWidth="1"/>
    <col min="8" max="8" width="14.19921875" style="76" customWidth="1"/>
    <col min="9" max="9" width="11.796875" style="30" bestFit="1" customWidth="1"/>
    <col min="10" max="10" width="19.19921875" style="30" customWidth="1"/>
    <col min="11" max="11" width="13.19921875" style="30" customWidth="1"/>
    <col min="12" max="12" width="11.796875" style="30" hidden="1" customWidth="1"/>
    <col min="13" max="13" width="12.796875" style="30" hidden="1" customWidth="1"/>
    <col min="14" max="14" width="9.3984375" style="30" hidden="1" customWidth="1"/>
    <col min="15" max="15" width="12.3984375" style="30" hidden="1" customWidth="1"/>
    <col min="16" max="18" width="14.796875" style="30" customWidth="1"/>
    <col min="19" max="19" width="25.19921875" style="30" hidden="1" customWidth="1"/>
    <col min="20" max="20" width="14" style="30" hidden="1" customWidth="1"/>
    <col min="21" max="21" width="9.3984375" style="30" hidden="1" customWidth="1"/>
    <col min="22" max="22" width="10" style="30" hidden="1" customWidth="1"/>
    <col min="23" max="23" width="17" style="30" customWidth="1"/>
    <col min="24" max="24" width="26.19921875" style="30" customWidth="1"/>
    <col min="25" max="25" width="43.3984375" style="30" bestFit="1" customWidth="1"/>
    <col min="26" max="16384" width="10.796875" style="30" hidden="1"/>
  </cols>
  <sheetData>
    <row r="1" spans="2:26" ht="27" customHeight="1">
      <c r="B1" s="30"/>
    </row>
    <row r="2" spans="2:26" ht="16">
      <c r="B2" s="223" t="s">
        <v>29</v>
      </c>
      <c r="C2" s="77" t="s">
        <v>46</v>
      </c>
      <c r="E2" s="75"/>
    </row>
    <row r="3" spans="2:26" ht="16">
      <c r="B3" s="223" t="s">
        <v>101</v>
      </c>
      <c r="C3" s="224" t="str">
        <f>Voorblad!$E$16</f>
        <v>Hoogheemraadschap Hollands Noorderkwartier Perceel 2</v>
      </c>
      <c r="D3" s="133"/>
    </row>
    <row r="4" spans="2:26" ht="16">
      <c r="B4" s="223" t="s">
        <v>36</v>
      </c>
      <c r="C4" s="224" t="str">
        <f>'1.0-Contractblad'!$D$4</f>
        <v>Heerhugowaard</v>
      </c>
      <c r="D4" s="73"/>
    </row>
    <row r="5" spans="2:26" ht="15.75" customHeight="1">
      <c r="B5" s="223" t="s">
        <v>137</v>
      </c>
      <c r="C5" s="240" t="str">
        <f>Voorblad!$E$24</f>
        <v>1112-10-2019</v>
      </c>
      <c r="D5" s="132"/>
      <c r="G5" s="77"/>
    </row>
    <row r="6" spans="2:26" ht="16">
      <c r="B6" s="223" t="s">
        <v>222</v>
      </c>
      <c r="C6" s="224" t="str">
        <f>Voorblad!$E$26</f>
        <v>V1 12-mrt-2020</v>
      </c>
      <c r="D6" s="73"/>
    </row>
    <row r="7" spans="2:26" ht="16">
      <c r="B7" s="223" t="s">
        <v>99</v>
      </c>
      <c r="C7" s="224" t="str">
        <f>Voorblad!$E$19</f>
        <v>[voer naam in]</v>
      </c>
      <c r="D7" s="156">
        <f>'1.8-Afroepprijs'!E8</f>
        <v>0</v>
      </c>
    </row>
    <row r="8" spans="2:26" ht="16">
      <c r="B8" s="223" t="s">
        <v>6</v>
      </c>
      <c r="C8" s="241">
        <f>Voorblad!$E$22</f>
        <v>44013</v>
      </c>
      <c r="D8" s="73"/>
    </row>
    <row r="9" spans="2:26" ht="16">
      <c r="B9" s="77" t="s">
        <v>17</v>
      </c>
      <c r="C9" s="69" t="s">
        <v>60</v>
      </c>
      <c r="D9" s="73"/>
    </row>
    <row r="10" spans="2:26" ht="16">
      <c r="B10" s="77"/>
      <c r="C10" s="73"/>
      <c r="D10" s="73"/>
    </row>
    <row r="11" spans="2:26" ht="16" customHeight="1">
      <c r="B11" s="78"/>
      <c r="C11" s="199" t="s">
        <v>243</v>
      </c>
      <c r="D11" s="122"/>
    </row>
    <row r="12" spans="2:26" ht="18">
      <c r="B12" s="505"/>
      <c r="C12" s="199">
        <v>0</v>
      </c>
      <c r="D12" s="157" t="s">
        <v>235</v>
      </c>
    </row>
    <row r="13" spans="2:26" ht="14" thickBot="1">
      <c r="B13" s="78"/>
      <c r="C13" s="80"/>
      <c r="D13" s="80"/>
    </row>
    <row r="14" spans="2:26" ht="18.75" customHeight="1">
      <c r="B14" s="935" t="s">
        <v>168</v>
      </c>
      <c r="C14" s="936"/>
      <c r="D14" s="936"/>
      <c r="E14" s="936"/>
      <c r="F14" s="936"/>
      <c r="G14" s="936"/>
      <c r="H14" s="936"/>
      <c r="I14" s="664"/>
      <c r="J14" s="664"/>
      <c r="K14" s="664"/>
      <c r="L14" s="664"/>
      <c r="M14" s="664"/>
      <c r="N14" s="664"/>
      <c r="O14" s="664"/>
      <c r="P14" s="664"/>
      <c r="Q14" s="664"/>
      <c r="R14" s="664"/>
      <c r="S14" s="664"/>
      <c r="T14" s="664"/>
      <c r="U14" s="664"/>
      <c r="V14" s="664"/>
      <c r="W14" s="664"/>
      <c r="X14" s="665"/>
    </row>
    <row r="15" spans="2:26">
      <c r="B15" s="666"/>
      <c r="C15" s="667"/>
      <c r="D15" s="937" t="s">
        <v>174</v>
      </c>
      <c r="E15" s="937"/>
      <c r="F15" s="937"/>
      <c r="G15" s="937"/>
      <c r="H15" s="937"/>
      <c r="I15" s="668"/>
      <c r="J15" s="669" t="s">
        <v>175</v>
      </c>
      <c r="K15" s="670"/>
      <c r="L15" s="670"/>
      <c r="M15" s="670"/>
      <c r="N15" s="671"/>
      <c r="O15" s="670"/>
      <c r="P15" s="672"/>
      <c r="Q15" s="672"/>
      <c r="R15" s="672"/>
      <c r="S15" s="672"/>
      <c r="T15" s="672"/>
      <c r="U15" s="672"/>
      <c r="V15" s="672"/>
      <c r="W15" s="672"/>
      <c r="X15" s="673"/>
    </row>
    <row r="16" spans="2:26" ht="61" customHeight="1" thickBot="1">
      <c r="B16" s="674" t="s">
        <v>28</v>
      </c>
      <c r="C16" s="872" t="s">
        <v>167</v>
      </c>
      <c r="D16" s="873" t="s">
        <v>406</v>
      </c>
      <c r="E16" s="872" t="s">
        <v>167</v>
      </c>
      <c r="F16" s="873" t="s">
        <v>176</v>
      </c>
      <c r="G16" s="873" t="s">
        <v>167</v>
      </c>
      <c r="H16" s="873" t="s">
        <v>177</v>
      </c>
      <c r="I16" s="676" t="s">
        <v>178</v>
      </c>
      <c r="J16" s="675" t="s">
        <v>179</v>
      </c>
      <c r="K16" s="676" t="s">
        <v>180</v>
      </c>
      <c r="L16" s="676" t="s">
        <v>181</v>
      </c>
      <c r="M16" s="676" t="s">
        <v>182</v>
      </c>
      <c r="N16" s="676" t="s">
        <v>183</v>
      </c>
      <c r="O16" s="677" t="s">
        <v>184</v>
      </c>
      <c r="P16" s="676" t="s">
        <v>219</v>
      </c>
      <c r="Q16" s="676" t="s">
        <v>220</v>
      </c>
      <c r="R16" s="676" t="s">
        <v>221</v>
      </c>
      <c r="S16" s="678"/>
      <c r="T16" s="678" t="s">
        <v>185</v>
      </c>
      <c r="U16" s="678" t="s">
        <v>186</v>
      </c>
      <c r="V16" s="678" t="s">
        <v>187</v>
      </c>
      <c r="W16" s="677" t="s">
        <v>188</v>
      </c>
      <c r="X16" s="679" t="s">
        <v>124</v>
      </c>
      <c r="Y16" s="138"/>
      <c r="Z16" s="138"/>
    </row>
    <row r="17" spans="1:26" ht="16" hidden="1" customHeight="1">
      <c r="A17" s="462"/>
      <c r="B17" s="680"/>
      <c r="C17" s="874"/>
      <c r="D17" s="875"/>
      <c r="E17" s="874"/>
      <c r="F17" s="875"/>
      <c r="G17" s="874"/>
      <c r="H17" s="876"/>
      <c r="I17" s="656"/>
      <c r="J17" s="657"/>
      <c r="K17" s="657"/>
      <c r="L17" s="658"/>
      <c r="M17" s="658"/>
      <c r="N17" s="659"/>
      <c r="O17" s="660"/>
      <c r="P17" s="661"/>
      <c r="Q17" s="661"/>
      <c r="R17" s="661"/>
      <c r="S17" s="661"/>
      <c r="T17" s="662"/>
      <c r="U17" s="662"/>
      <c r="V17" s="662"/>
      <c r="W17" s="662"/>
      <c r="X17" s="663"/>
      <c r="Z17" s="138"/>
    </row>
    <row r="18" spans="1:26" ht="16" hidden="1" customHeight="1">
      <c r="A18" s="462"/>
      <c r="B18" s="680"/>
      <c r="C18" s="877"/>
      <c r="D18" s="878"/>
      <c r="E18" s="877"/>
      <c r="F18" s="878"/>
      <c r="G18" s="877"/>
      <c r="H18" s="879"/>
      <c r="I18" s="656"/>
      <c r="J18" s="657"/>
      <c r="K18" s="657"/>
      <c r="L18" s="139"/>
      <c r="M18" s="139"/>
      <c r="N18" s="289"/>
      <c r="O18" s="660"/>
      <c r="P18" s="290"/>
      <c r="Q18" s="290"/>
      <c r="R18" s="290"/>
      <c r="S18" s="290"/>
      <c r="T18" s="291"/>
      <c r="U18" s="291"/>
      <c r="V18" s="291"/>
      <c r="W18" s="662"/>
      <c r="X18" s="292"/>
      <c r="Z18" s="138"/>
    </row>
    <row r="19" spans="1:26" ht="16" hidden="1" customHeight="1">
      <c r="A19" s="462"/>
      <c r="B19" s="680"/>
      <c r="C19" s="877"/>
      <c r="D19" s="878"/>
      <c r="E19" s="877"/>
      <c r="F19" s="878"/>
      <c r="G19" s="877"/>
      <c r="H19" s="879"/>
      <c r="I19" s="656"/>
      <c r="J19" s="657"/>
      <c r="K19" s="657"/>
      <c r="L19" s="139"/>
      <c r="M19" s="139"/>
      <c r="N19" s="289"/>
      <c r="O19" s="660"/>
      <c r="P19" s="290"/>
      <c r="Q19" s="290"/>
      <c r="R19" s="290"/>
      <c r="S19" s="290"/>
      <c r="T19" s="291"/>
      <c r="U19" s="291"/>
      <c r="V19" s="291"/>
      <c r="W19" s="662"/>
      <c r="X19" s="292"/>
      <c r="Z19" s="138"/>
    </row>
    <row r="20" spans="1:26" ht="16" customHeight="1">
      <c r="A20" s="885">
        <f>VLOOKUP(B20,'1.1a-Jaarprijzen'!$B$11:$G$134,6,FALSE)</f>
        <v>2</v>
      </c>
      <c r="B20" s="864" t="s">
        <v>635</v>
      </c>
      <c r="C20" s="877">
        <v>6</v>
      </c>
      <c r="D20" s="878">
        <v>21.46</v>
      </c>
      <c r="E20" s="877">
        <v>6</v>
      </c>
      <c r="F20" s="878">
        <v>21.46</v>
      </c>
      <c r="G20" s="877">
        <v>6</v>
      </c>
      <c r="H20" s="879">
        <v>3.26</v>
      </c>
      <c r="I20" s="656"/>
      <c r="J20" s="657"/>
      <c r="K20" s="657"/>
      <c r="L20" s="139">
        <f>IF(I20=0,0,D20/I20)*C20</f>
        <v>0</v>
      </c>
      <c r="M20" s="139">
        <f>IF(J20=0,0,F20/J20)*E20</f>
        <v>0</v>
      </c>
      <c r="N20" s="289">
        <f>IF(K20=0,0,H20/K20)*G20</f>
        <v>0</v>
      </c>
      <c r="O20" s="660">
        <f>'1.0-Contractblad'!$K$105</f>
        <v>0</v>
      </c>
      <c r="P20" s="290">
        <f>IF(I20=0,0,L20*O20)</f>
        <v>0</v>
      </c>
      <c r="Q20" s="290">
        <f>IF(J20=0,0,M20*O20)</f>
        <v>0</v>
      </c>
      <c r="R20" s="290">
        <f>IF(K20=0,0,N20*O20)</f>
        <v>0</v>
      </c>
      <c r="S20" s="290"/>
      <c r="T20" s="291">
        <f>IF(D20=0,0,P20/C20/D20)</f>
        <v>0</v>
      </c>
      <c r="U20" s="291">
        <f>IF(F20=0,0,Q20/E20/F20)</f>
        <v>0</v>
      </c>
      <c r="V20" s="291">
        <f>IF(H20=0,0,R20/G20/H20)</f>
        <v>0</v>
      </c>
      <c r="W20" s="662">
        <f>C141*D141</f>
        <v>0</v>
      </c>
      <c r="X20" s="292">
        <f>IF(I20=0,0,P20+Q20+R20)</f>
        <v>0</v>
      </c>
      <c r="Z20" s="138"/>
    </row>
    <row r="21" spans="1:26" ht="16" customHeight="1">
      <c r="A21" s="885">
        <f>VLOOKUP(B21,'1.1a-Jaarprijzen'!$B$11:$G$134,6,FALSE)</f>
        <v>2</v>
      </c>
      <c r="B21" s="864" t="s">
        <v>485</v>
      </c>
      <c r="C21" s="877">
        <v>6</v>
      </c>
      <c r="D21" s="878">
        <v>55.26</v>
      </c>
      <c r="E21" s="877">
        <v>4</v>
      </c>
      <c r="F21" s="878">
        <v>38.89</v>
      </c>
      <c r="G21" s="877">
        <v>4</v>
      </c>
      <c r="H21" s="879">
        <v>13.42</v>
      </c>
      <c r="I21" s="656"/>
      <c r="J21" s="657"/>
      <c r="K21" s="657"/>
      <c r="L21" s="139">
        <f t="shared" ref="L21:L44" si="0">IF(I21=0,0,D21/I21)*C21</f>
        <v>0</v>
      </c>
      <c r="M21" s="139">
        <f t="shared" ref="M21:M44" si="1">IF(J21=0,0,F21/J21)*E21</f>
        <v>0</v>
      </c>
      <c r="N21" s="289">
        <f t="shared" ref="N21:N44" si="2">IF(K21=0,0,H21/K21)*G21</f>
        <v>0</v>
      </c>
      <c r="O21" s="660">
        <f>'1.0-Contractblad'!$K$105</f>
        <v>0</v>
      </c>
      <c r="P21" s="290">
        <f t="shared" ref="P21:P44" si="3">IF(I21=0,0,L21*O21)</f>
        <v>0</v>
      </c>
      <c r="Q21" s="290">
        <f t="shared" ref="Q21:Q44" si="4">IF(J21=0,0,M21*O21)</f>
        <v>0</v>
      </c>
      <c r="R21" s="290">
        <f t="shared" ref="R21:R44" si="5">IF(K21=0,0,N21*O21)</f>
        <v>0</v>
      </c>
      <c r="S21" s="290"/>
      <c r="T21" s="291">
        <f t="shared" ref="T21:T44" si="6">IF(D21=0,0,P21/C21/D21)</f>
        <v>0</v>
      </c>
      <c r="U21" s="291">
        <f t="shared" ref="U21:U44" si="7">IF(F21=0,0,Q21/E21/F21)</f>
        <v>0</v>
      </c>
      <c r="V21" s="291">
        <f t="shared" ref="V21:V44" si="8">IF(H21=0,0,R21/G21/H21)</f>
        <v>0</v>
      </c>
      <c r="W21" s="662">
        <f>C142*D142</f>
        <v>0</v>
      </c>
      <c r="X21" s="292">
        <f t="shared" ref="X21:X44" si="9">IF(I21=0,0,P21+Q21+R21)</f>
        <v>0</v>
      </c>
      <c r="Z21" s="138"/>
    </row>
    <row r="22" spans="1:26" ht="16" customHeight="1">
      <c r="A22" s="885">
        <f>VLOOKUP(B22,'1.1a-Jaarprijzen'!$B$11:$G$134,6,FALSE)</f>
        <v>2</v>
      </c>
      <c r="B22" s="864" t="s">
        <v>519</v>
      </c>
      <c r="C22" s="877">
        <v>6</v>
      </c>
      <c r="D22" s="878"/>
      <c r="E22" s="877">
        <v>2</v>
      </c>
      <c r="F22" s="878"/>
      <c r="G22" s="877">
        <v>2</v>
      </c>
      <c r="H22" s="879"/>
      <c r="I22" s="656"/>
      <c r="J22" s="657"/>
      <c r="K22" s="657"/>
      <c r="L22" s="139">
        <f t="shared" si="0"/>
        <v>0</v>
      </c>
      <c r="M22" s="139">
        <f t="shared" si="1"/>
        <v>0</v>
      </c>
      <c r="N22" s="289">
        <f t="shared" si="2"/>
        <v>0</v>
      </c>
      <c r="O22" s="660">
        <f>'1.0-Contractblad'!$K$105</f>
        <v>0</v>
      </c>
      <c r="P22" s="290">
        <f t="shared" si="3"/>
        <v>0</v>
      </c>
      <c r="Q22" s="290">
        <f t="shared" si="4"/>
        <v>0</v>
      </c>
      <c r="R22" s="290">
        <f t="shared" si="5"/>
        <v>0</v>
      </c>
      <c r="S22" s="290"/>
      <c r="T22" s="291">
        <f t="shared" si="6"/>
        <v>0</v>
      </c>
      <c r="U22" s="291">
        <f t="shared" si="7"/>
        <v>0</v>
      </c>
      <c r="V22" s="291">
        <f t="shared" si="8"/>
        <v>0</v>
      </c>
      <c r="W22" s="662">
        <f>C143*D143</f>
        <v>0</v>
      </c>
      <c r="X22" s="292">
        <f t="shared" si="9"/>
        <v>0</v>
      </c>
      <c r="Z22" s="138"/>
    </row>
    <row r="23" spans="1:26" ht="16" customHeight="1">
      <c r="A23" s="885">
        <f>VLOOKUP(B23,'1.1a-Jaarprijzen'!$B$11:$G$134,6,FALSE)</f>
        <v>2</v>
      </c>
      <c r="B23" s="864" t="s">
        <v>992</v>
      </c>
      <c r="C23" s="877">
        <v>6</v>
      </c>
      <c r="D23" s="878">
        <v>103.94</v>
      </c>
      <c r="E23" s="877">
        <v>3</v>
      </c>
      <c r="F23" s="878">
        <v>88</v>
      </c>
      <c r="G23" s="877">
        <v>3</v>
      </c>
      <c r="H23" s="879">
        <v>11.5</v>
      </c>
      <c r="I23" s="656"/>
      <c r="J23" s="657"/>
      <c r="K23" s="657"/>
      <c r="L23" s="139">
        <f>IF(I23=0,0,D23/I23)*C23</f>
        <v>0</v>
      </c>
      <c r="M23" s="139">
        <f>IF(J23=0,0,F23/J23)*E23</f>
        <v>0</v>
      </c>
      <c r="N23" s="289">
        <f>IF(K23=0,0,H23/K23)*G23</f>
        <v>0</v>
      </c>
      <c r="O23" s="660">
        <f>'1.0-Contractblad'!$K$105</f>
        <v>0</v>
      </c>
      <c r="P23" s="290">
        <f>IF(I23=0,0,L23*O23)</f>
        <v>0</v>
      </c>
      <c r="Q23" s="290">
        <f>IF(J23=0,0,M23*O23)</f>
        <v>0</v>
      </c>
      <c r="R23" s="290">
        <f>IF(K23=0,0,N23*O23)</f>
        <v>0</v>
      </c>
      <c r="S23" s="290"/>
      <c r="T23" s="291">
        <f>IF(D23=0,0,P23/C23/D23)</f>
        <v>0</v>
      </c>
      <c r="U23" s="291">
        <f>IF(F23=0,0,Q23/E23/F23)</f>
        <v>0</v>
      </c>
      <c r="V23" s="291">
        <f>IF(H23=0,0,R23/G23/H23)</f>
        <v>0</v>
      </c>
      <c r="W23" s="662">
        <f>C144*D144</f>
        <v>0</v>
      </c>
      <c r="X23" s="292">
        <f>IF(I23=0,0,P23+Q23+R23)</f>
        <v>0</v>
      </c>
      <c r="Z23" s="138"/>
    </row>
    <row r="24" spans="1:26" ht="16" customHeight="1">
      <c r="A24" s="885">
        <f>VLOOKUP(B24,'1.1a-Jaarprijzen'!$B$11:$G$134,6,FALSE)</f>
        <v>2</v>
      </c>
      <c r="B24" s="864" t="s">
        <v>701</v>
      </c>
      <c r="C24" s="877">
        <v>6</v>
      </c>
      <c r="D24" s="878">
        <v>68.989999999999995</v>
      </c>
      <c r="E24" s="877">
        <v>3</v>
      </c>
      <c r="F24" s="878">
        <v>93.28</v>
      </c>
      <c r="G24" s="877">
        <v>3</v>
      </c>
      <c r="H24" s="879">
        <v>97.21</v>
      </c>
      <c r="I24" s="656"/>
      <c r="J24" s="657"/>
      <c r="K24" s="657"/>
      <c r="L24" s="139">
        <f t="shared" si="0"/>
        <v>0</v>
      </c>
      <c r="M24" s="139">
        <f t="shared" si="1"/>
        <v>0</v>
      </c>
      <c r="N24" s="289">
        <f t="shared" si="2"/>
        <v>0</v>
      </c>
      <c r="O24" s="660">
        <f>'1.0-Contractblad'!$K$105</f>
        <v>0</v>
      </c>
      <c r="P24" s="290">
        <f t="shared" si="3"/>
        <v>0</v>
      </c>
      <c r="Q24" s="290">
        <f t="shared" si="4"/>
        <v>0</v>
      </c>
      <c r="R24" s="290">
        <f t="shared" si="5"/>
        <v>0</v>
      </c>
      <c r="S24" s="290"/>
      <c r="T24" s="291">
        <f t="shared" si="6"/>
        <v>0</v>
      </c>
      <c r="U24" s="291">
        <f t="shared" si="7"/>
        <v>0</v>
      </c>
      <c r="V24" s="291">
        <f t="shared" si="8"/>
        <v>0</v>
      </c>
      <c r="W24" s="662">
        <f>C145*D145</f>
        <v>0</v>
      </c>
      <c r="X24" s="292">
        <f t="shared" si="9"/>
        <v>0</v>
      </c>
      <c r="Z24" s="138"/>
    </row>
    <row r="25" spans="1:26" ht="16" customHeight="1">
      <c r="A25" s="885">
        <f>VLOOKUP(B25,'1.1a-Jaarprijzen'!$B$11:$G$134,6,FALSE)</f>
        <v>2</v>
      </c>
      <c r="B25" s="864" t="s">
        <v>700</v>
      </c>
      <c r="C25" s="877">
        <v>6</v>
      </c>
      <c r="D25" s="878">
        <v>42.32</v>
      </c>
      <c r="E25" s="877">
        <v>3</v>
      </c>
      <c r="F25" s="878">
        <v>42.32</v>
      </c>
      <c r="G25" s="877">
        <v>3</v>
      </c>
      <c r="H25" s="879">
        <v>25</v>
      </c>
      <c r="I25" s="656"/>
      <c r="J25" s="657"/>
      <c r="K25" s="657"/>
      <c r="L25" s="139">
        <f t="shared" si="0"/>
        <v>0</v>
      </c>
      <c r="M25" s="139">
        <f t="shared" si="1"/>
        <v>0</v>
      </c>
      <c r="N25" s="289">
        <f t="shared" si="2"/>
        <v>0</v>
      </c>
      <c r="O25" s="660">
        <f>'1.0-Contractblad'!$K$105</f>
        <v>0</v>
      </c>
      <c r="P25" s="290">
        <f t="shared" si="3"/>
        <v>0</v>
      </c>
      <c r="Q25" s="290">
        <f t="shared" si="4"/>
        <v>0</v>
      </c>
      <c r="R25" s="290">
        <f t="shared" si="5"/>
        <v>0</v>
      </c>
      <c r="S25" s="290"/>
      <c r="T25" s="291">
        <f t="shared" si="6"/>
        <v>0</v>
      </c>
      <c r="U25" s="291">
        <f t="shared" si="7"/>
        <v>0</v>
      </c>
      <c r="V25" s="291">
        <f t="shared" si="8"/>
        <v>0</v>
      </c>
      <c r="W25" s="662">
        <f>C146*D146</f>
        <v>0</v>
      </c>
      <c r="X25" s="292">
        <f t="shared" si="9"/>
        <v>0</v>
      </c>
      <c r="Z25" s="138"/>
    </row>
    <row r="26" spans="1:26" ht="16" customHeight="1">
      <c r="A26" s="885">
        <f>VLOOKUP(B26,'1.1a-Jaarprijzen'!$B$11:$G$134,6,FALSE)</f>
        <v>2</v>
      </c>
      <c r="B26" s="864" t="s">
        <v>738</v>
      </c>
      <c r="C26" s="877">
        <v>4</v>
      </c>
      <c r="D26" s="878">
        <v>29.78</v>
      </c>
      <c r="E26" s="877">
        <v>2</v>
      </c>
      <c r="F26" s="878">
        <v>29.78</v>
      </c>
      <c r="G26" s="877">
        <v>2</v>
      </c>
      <c r="H26" s="879">
        <v>4.3499999999999996</v>
      </c>
      <c r="I26" s="656"/>
      <c r="J26" s="657"/>
      <c r="K26" s="657"/>
      <c r="L26" s="139">
        <f>IF(I26=0,0,D26/I26)*C26</f>
        <v>0</v>
      </c>
      <c r="M26" s="139">
        <f>IF(J26=0,0,F26/J26)*E26</f>
        <v>0</v>
      </c>
      <c r="N26" s="289">
        <f>IF(K26=0,0,H26/K26)*G26</f>
        <v>0</v>
      </c>
      <c r="O26" s="660">
        <f>'1.0-Contractblad'!$K$105</f>
        <v>0</v>
      </c>
      <c r="P26" s="290">
        <f>IF(I26=0,0,L26*O26)</f>
        <v>0</v>
      </c>
      <c r="Q26" s="290">
        <f>IF(J26=0,0,M26*O26)</f>
        <v>0</v>
      </c>
      <c r="R26" s="290">
        <f>IF(K26=0,0,N26*O26)</f>
        <v>0</v>
      </c>
      <c r="S26" s="290"/>
      <c r="T26" s="291">
        <f>IF(D26=0,0,P26/C26/D26)</f>
        <v>0</v>
      </c>
      <c r="U26" s="291">
        <f>IF(F26=0,0,Q26/E26/F26)</f>
        <v>0</v>
      </c>
      <c r="V26" s="291">
        <f>IF(H26=0,0,R26/G26/H26)</f>
        <v>0</v>
      </c>
      <c r="W26" s="662">
        <f>C147*D147</f>
        <v>0</v>
      </c>
      <c r="X26" s="292">
        <f>IF(I26=0,0,P26+Q26+R26)</f>
        <v>0</v>
      </c>
      <c r="Z26" s="138"/>
    </row>
    <row r="27" spans="1:26" ht="16" customHeight="1">
      <c r="A27" s="885">
        <f>VLOOKUP(B27,'1.1a-Jaarprijzen'!$B$11:$G$134,6,FALSE)</f>
        <v>2</v>
      </c>
      <c r="B27" s="864" t="s">
        <v>672</v>
      </c>
      <c r="C27" s="877">
        <v>6</v>
      </c>
      <c r="D27" s="878">
        <v>72.5</v>
      </c>
      <c r="E27" s="877">
        <v>3</v>
      </c>
      <c r="F27" s="878">
        <v>68.099999999999994</v>
      </c>
      <c r="G27" s="877">
        <v>3</v>
      </c>
      <c r="H27" s="879">
        <v>66.33</v>
      </c>
      <c r="I27" s="656"/>
      <c r="J27" s="657"/>
      <c r="K27" s="657"/>
      <c r="L27" s="139">
        <f t="shared" si="0"/>
        <v>0</v>
      </c>
      <c r="M27" s="139">
        <f t="shared" si="1"/>
        <v>0</v>
      </c>
      <c r="N27" s="289">
        <f t="shared" si="2"/>
        <v>0</v>
      </c>
      <c r="O27" s="660">
        <f>'1.0-Contractblad'!$K$105</f>
        <v>0</v>
      </c>
      <c r="P27" s="290">
        <f t="shared" si="3"/>
        <v>0</v>
      </c>
      <c r="Q27" s="290">
        <f t="shared" si="4"/>
        <v>0</v>
      </c>
      <c r="R27" s="290">
        <f t="shared" si="5"/>
        <v>0</v>
      </c>
      <c r="S27" s="290"/>
      <c r="T27" s="291">
        <f t="shared" si="6"/>
        <v>0</v>
      </c>
      <c r="U27" s="291">
        <f t="shared" si="7"/>
        <v>0</v>
      </c>
      <c r="V27" s="291">
        <f t="shared" si="8"/>
        <v>0</v>
      </c>
      <c r="W27" s="662">
        <f>C148*D148</f>
        <v>0</v>
      </c>
      <c r="X27" s="292">
        <f t="shared" si="9"/>
        <v>0</v>
      </c>
      <c r="Z27" s="138"/>
    </row>
    <row r="28" spans="1:26" ht="16" customHeight="1">
      <c r="A28" s="885">
        <f>VLOOKUP(B28,'1.1a-Jaarprijzen'!$B$11:$G$134,6,FALSE)</f>
        <v>2</v>
      </c>
      <c r="B28" s="864" t="s">
        <v>777</v>
      </c>
      <c r="C28" s="877">
        <v>6</v>
      </c>
      <c r="D28" s="878">
        <v>120.65</v>
      </c>
      <c r="E28" s="877">
        <v>3</v>
      </c>
      <c r="F28" s="878">
        <v>121.59</v>
      </c>
      <c r="G28" s="877">
        <v>3</v>
      </c>
      <c r="H28" s="879">
        <v>14.47</v>
      </c>
      <c r="I28" s="656"/>
      <c r="J28" s="657"/>
      <c r="K28" s="657"/>
      <c r="L28" s="139">
        <f t="shared" si="0"/>
        <v>0</v>
      </c>
      <c r="M28" s="139">
        <f t="shared" si="1"/>
        <v>0</v>
      </c>
      <c r="N28" s="289">
        <f t="shared" si="2"/>
        <v>0</v>
      </c>
      <c r="O28" s="660">
        <f>'1.0-Contractblad'!$K$105</f>
        <v>0</v>
      </c>
      <c r="P28" s="290">
        <f t="shared" si="3"/>
        <v>0</v>
      </c>
      <c r="Q28" s="290">
        <f t="shared" si="4"/>
        <v>0</v>
      </c>
      <c r="R28" s="290">
        <f t="shared" si="5"/>
        <v>0</v>
      </c>
      <c r="S28" s="290"/>
      <c r="T28" s="291">
        <f t="shared" si="6"/>
        <v>0</v>
      </c>
      <c r="U28" s="291">
        <f t="shared" si="7"/>
        <v>0</v>
      </c>
      <c r="V28" s="291">
        <f t="shared" si="8"/>
        <v>0</v>
      </c>
      <c r="W28" s="662">
        <f>C149*D149</f>
        <v>0</v>
      </c>
      <c r="X28" s="292">
        <f t="shared" si="9"/>
        <v>0</v>
      </c>
      <c r="Z28" s="138"/>
    </row>
    <row r="29" spans="1:26" ht="16" customHeight="1">
      <c r="A29" s="885">
        <f>VLOOKUP(B29,'1.1a-Jaarprijzen'!$B$11:$G$134,6,FALSE)</f>
        <v>2</v>
      </c>
      <c r="B29" s="864" t="s">
        <v>797</v>
      </c>
      <c r="C29" s="877">
        <v>6</v>
      </c>
      <c r="D29" s="878">
        <v>239.69</v>
      </c>
      <c r="E29" s="877">
        <v>3</v>
      </c>
      <c r="F29" s="878">
        <v>239.69</v>
      </c>
      <c r="G29" s="877">
        <v>3</v>
      </c>
      <c r="H29" s="879">
        <v>40.770000000000003</v>
      </c>
      <c r="I29" s="656"/>
      <c r="J29" s="657"/>
      <c r="K29" s="657"/>
      <c r="L29" s="139">
        <f t="shared" si="0"/>
        <v>0</v>
      </c>
      <c r="M29" s="139">
        <f t="shared" si="1"/>
        <v>0</v>
      </c>
      <c r="N29" s="289">
        <f t="shared" si="2"/>
        <v>0</v>
      </c>
      <c r="O29" s="660">
        <f>'1.0-Contractblad'!$K$105</f>
        <v>0</v>
      </c>
      <c r="P29" s="290">
        <f t="shared" si="3"/>
        <v>0</v>
      </c>
      <c r="Q29" s="290">
        <f t="shared" si="4"/>
        <v>0</v>
      </c>
      <c r="R29" s="290">
        <f t="shared" si="5"/>
        <v>0</v>
      </c>
      <c r="S29" s="290"/>
      <c r="T29" s="291">
        <f t="shared" si="6"/>
        <v>0</v>
      </c>
      <c r="U29" s="291">
        <f t="shared" si="7"/>
        <v>0</v>
      </c>
      <c r="V29" s="291">
        <f t="shared" si="8"/>
        <v>0</v>
      </c>
      <c r="W29" s="662">
        <f>C150*D150</f>
        <v>0</v>
      </c>
      <c r="X29" s="292">
        <f t="shared" si="9"/>
        <v>0</v>
      </c>
      <c r="Z29" s="138"/>
    </row>
    <row r="30" spans="1:26" ht="16" customHeight="1">
      <c r="A30" s="885">
        <f>VLOOKUP(B30,'1.1a-Jaarprijzen'!$B$11:$G$134,6,FALSE)</f>
        <v>2</v>
      </c>
      <c r="B30" s="864" t="s">
        <v>990</v>
      </c>
      <c r="C30" s="877">
        <v>4</v>
      </c>
      <c r="D30" s="878">
        <v>12.06</v>
      </c>
      <c r="E30" s="877">
        <v>2</v>
      </c>
      <c r="F30" s="878">
        <v>15.79</v>
      </c>
      <c r="G30" s="877">
        <v>2</v>
      </c>
      <c r="H30" s="879">
        <v>34.72</v>
      </c>
      <c r="I30" s="656"/>
      <c r="J30" s="657"/>
      <c r="K30" s="657"/>
      <c r="L30" s="139">
        <f t="shared" si="0"/>
        <v>0</v>
      </c>
      <c r="M30" s="139">
        <f t="shared" si="1"/>
        <v>0</v>
      </c>
      <c r="N30" s="289">
        <f t="shared" si="2"/>
        <v>0</v>
      </c>
      <c r="O30" s="660">
        <f>'1.0-Contractblad'!$K$105</f>
        <v>0</v>
      </c>
      <c r="P30" s="290">
        <f t="shared" si="3"/>
        <v>0</v>
      </c>
      <c r="Q30" s="290">
        <f t="shared" si="4"/>
        <v>0</v>
      </c>
      <c r="R30" s="290">
        <f t="shared" si="5"/>
        <v>0</v>
      </c>
      <c r="S30" s="290"/>
      <c r="T30" s="291">
        <f t="shared" si="6"/>
        <v>0</v>
      </c>
      <c r="U30" s="291">
        <f t="shared" si="7"/>
        <v>0</v>
      </c>
      <c r="V30" s="291">
        <f t="shared" si="8"/>
        <v>0</v>
      </c>
      <c r="W30" s="662">
        <f>C151*D151</f>
        <v>0</v>
      </c>
      <c r="X30" s="292">
        <f t="shared" si="9"/>
        <v>0</v>
      </c>
      <c r="Z30" s="138"/>
    </row>
    <row r="31" spans="1:26" ht="16" customHeight="1">
      <c r="A31" s="885">
        <f>VLOOKUP(B31,'1.1a-Jaarprijzen'!$B$11:$G$134,6,FALSE)</f>
        <v>2</v>
      </c>
      <c r="B31" s="864" t="s">
        <v>991</v>
      </c>
      <c r="C31" s="877">
        <v>4</v>
      </c>
      <c r="D31" s="878">
        <v>9.14</v>
      </c>
      <c r="E31" s="877">
        <v>2</v>
      </c>
      <c r="F31" s="878">
        <v>9.14</v>
      </c>
      <c r="G31" s="877">
        <v>2</v>
      </c>
      <c r="H31" s="879">
        <v>5.4</v>
      </c>
      <c r="I31" s="656"/>
      <c r="J31" s="657"/>
      <c r="K31" s="657"/>
      <c r="L31" s="139">
        <f t="shared" si="0"/>
        <v>0</v>
      </c>
      <c r="M31" s="139">
        <f t="shared" si="1"/>
        <v>0</v>
      </c>
      <c r="N31" s="289">
        <f t="shared" si="2"/>
        <v>0</v>
      </c>
      <c r="O31" s="660">
        <f>'1.0-Contractblad'!$K$105</f>
        <v>0</v>
      </c>
      <c r="P31" s="290">
        <f t="shared" si="3"/>
        <v>0</v>
      </c>
      <c r="Q31" s="290">
        <f t="shared" si="4"/>
        <v>0</v>
      </c>
      <c r="R31" s="290">
        <f t="shared" si="5"/>
        <v>0</v>
      </c>
      <c r="S31" s="290"/>
      <c r="T31" s="291">
        <f t="shared" si="6"/>
        <v>0</v>
      </c>
      <c r="U31" s="291">
        <f t="shared" si="7"/>
        <v>0</v>
      </c>
      <c r="V31" s="291">
        <f t="shared" si="8"/>
        <v>0</v>
      </c>
      <c r="W31" s="662">
        <f>C152*D152</f>
        <v>0</v>
      </c>
      <c r="X31" s="292">
        <f t="shared" si="9"/>
        <v>0</v>
      </c>
      <c r="Z31" s="138"/>
    </row>
    <row r="32" spans="1:26" ht="16" customHeight="1">
      <c r="A32" s="885">
        <f>VLOOKUP(B32,'1.1a-Jaarprijzen'!$B$11:$G$134,6,FALSE)</f>
        <v>2</v>
      </c>
      <c r="B32" s="864" t="s">
        <v>550</v>
      </c>
      <c r="C32" s="877">
        <v>4</v>
      </c>
      <c r="D32" s="878">
        <v>18.75</v>
      </c>
      <c r="E32" s="877">
        <v>2</v>
      </c>
      <c r="F32" s="878">
        <v>18.75</v>
      </c>
      <c r="G32" s="877">
        <v>2</v>
      </c>
      <c r="H32" s="879">
        <v>18.34</v>
      </c>
      <c r="I32" s="656"/>
      <c r="J32" s="657"/>
      <c r="K32" s="657"/>
      <c r="L32" s="139">
        <f t="shared" si="0"/>
        <v>0</v>
      </c>
      <c r="M32" s="139">
        <f t="shared" si="1"/>
        <v>0</v>
      </c>
      <c r="N32" s="289">
        <f t="shared" si="2"/>
        <v>0</v>
      </c>
      <c r="O32" s="660">
        <f>'1.0-Contractblad'!$K$105</f>
        <v>0</v>
      </c>
      <c r="P32" s="290">
        <f t="shared" si="3"/>
        <v>0</v>
      </c>
      <c r="Q32" s="290">
        <f t="shared" si="4"/>
        <v>0</v>
      </c>
      <c r="R32" s="290">
        <f t="shared" si="5"/>
        <v>0</v>
      </c>
      <c r="S32" s="290"/>
      <c r="T32" s="291">
        <f t="shared" si="6"/>
        <v>0</v>
      </c>
      <c r="U32" s="291">
        <f t="shared" si="7"/>
        <v>0</v>
      </c>
      <c r="V32" s="291">
        <f t="shared" si="8"/>
        <v>0</v>
      </c>
      <c r="W32" s="662">
        <f>C153*D153</f>
        <v>0</v>
      </c>
      <c r="X32" s="292">
        <f t="shared" si="9"/>
        <v>0</v>
      </c>
      <c r="Z32" s="138"/>
    </row>
    <row r="33" spans="1:26" ht="16" customHeight="1">
      <c r="A33" s="885">
        <f>VLOOKUP(B33,'1.1a-Jaarprijzen'!$B$11:$G$134,6,FALSE)</f>
        <v>2</v>
      </c>
      <c r="B33" s="864" t="s">
        <v>834</v>
      </c>
      <c r="C33" s="877">
        <v>2</v>
      </c>
      <c r="D33" s="878">
        <v>65</v>
      </c>
      <c r="E33" s="877">
        <v>2</v>
      </c>
      <c r="F33" s="878">
        <v>65</v>
      </c>
      <c r="G33" s="877">
        <v>2</v>
      </c>
      <c r="H33" s="879">
        <v>29.65</v>
      </c>
      <c r="I33" s="656"/>
      <c r="J33" s="657"/>
      <c r="K33" s="657"/>
      <c r="L33" s="139">
        <f t="shared" si="0"/>
        <v>0</v>
      </c>
      <c r="M33" s="139">
        <f t="shared" si="1"/>
        <v>0</v>
      </c>
      <c r="N33" s="289">
        <f t="shared" si="2"/>
        <v>0</v>
      </c>
      <c r="O33" s="660">
        <f>'1.0-Contractblad'!$K$105</f>
        <v>0</v>
      </c>
      <c r="P33" s="290">
        <f t="shared" si="3"/>
        <v>0</v>
      </c>
      <c r="Q33" s="290">
        <f t="shared" si="4"/>
        <v>0</v>
      </c>
      <c r="R33" s="290">
        <f t="shared" si="5"/>
        <v>0</v>
      </c>
      <c r="S33" s="290"/>
      <c r="T33" s="291">
        <f t="shared" si="6"/>
        <v>0</v>
      </c>
      <c r="U33" s="291">
        <f t="shared" si="7"/>
        <v>0</v>
      </c>
      <c r="V33" s="291">
        <f t="shared" si="8"/>
        <v>0</v>
      </c>
      <c r="W33" s="662">
        <f>C154*D154</f>
        <v>0</v>
      </c>
      <c r="X33" s="292">
        <f t="shared" si="9"/>
        <v>0</v>
      </c>
      <c r="Z33" s="138"/>
    </row>
    <row r="34" spans="1:26" ht="16" customHeight="1">
      <c r="A34" s="885">
        <f>VLOOKUP(B34,'1.1a-Jaarprijzen'!$B$11:$G$134,6,FALSE)</f>
        <v>2</v>
      </c>
      <c r="B34" s="864" t="s">
        <v>586</v>
      </c>
      <c r="C34" s="877">
        <v>4</v>
      </c>
      <c r="D34" s="878">
        <v>2.5</v>
      </c>
      <c r="E34" s="877">
        <v>2</v>
      </c>
      <c r="F34" s="878">
        <v>2.5</v>
      </c>
      <c r="G34" s="877">
        <v>2</v>
      </c>
      <c r="H34" s="879">
        <v>1.5</v>
      </c>
      <c r="I34" s="656"/>
      <c r="J34" s="657"/>
      <c r="K34" s="657"/>
      <c r="L34" s="139">
        <f t="shared" si="0"/>
        <v>0</v>
      </c>
      <c r="M34" s="139">
        <f t="shared" si="1"/>
        <v>0</v>
      </c>
      <c r="N34" s="289">
        <f t="shared" si="2"/>
        <v>0</v>
      </c>
      <c r="O34" s="660">
        <f>'1.0-Contractblad'!$K$105</f>
        <v>0</v>
      </c>
      <c r="P34" s="290">
        <f t="shared" si="3"/>
        <v>0</v>
      </c>
      <c r="Q34" s="290">
        <f t="shared" si="4"/>
        <v>0</v>
      </c>
      <c r="R34" s="290">
        <f t="shared" si="5"/>
        <v>0</v>
      </c>
      <c r="S34" s="290"/>
      <c r="T34" s="291">
        <f t="shared" si="6"/>
        <v>0</v>
      </c>
      <c r="U34" s="291">
        <f t="shared" si="7"/>
        <v>0</v>
      </c>
      <c r="V34" s="291">
        <f t="shared" si="8"/>
        <v>0</v>
      </c>
      <c r="W34" s="662">
        <f>C155*D155</f>
        <v>0</v>
      </c>
      <c r="X34" s="292">
        <f t="shared" si="9"/>
        <v>0</v>
      </c>
      <c r="Z34" s="138"/>
    </row>
    <row r="35" spans="1:26" ht="16" customHeight="1">
      <c r="A35" s="885">
        <f>VLOOKUP(B35,'1.1a-Jaarprijzen'!$B$11:$G$134,6,FALSE)</f>
        <v>2</v>
      </c>
      <c r="B35" s="864" t="s">
        <v>948</v>
      </c>
      <c r="C35" s="877">
        <v>4</v>
      </c>
      <c r="D35" s="878">
        <v>8.2100000000000009</v>
      </c>
      <c r="E35" s="877">
        <v>2</v>
      </c>
      <c r="F35" s="878">
        <v>8.1999999999999993</v>
      </c>
      <c r="G35" s="877">
        <v>2</v>
      </c>
      <c r="H35" s="879">
        <v>6.39</v>
      </c>
      <c r="I35" s="656"/>
      <c r="J35" s="657"/>
      <c r="K35" s="657"/>
      <c r="L35" s="139">
        <f t="shared" si="0"/>
        <v>0</v>
      </c>
      <c r="M35" s="139">
        <f t="shared" si="1"/>
        <v>0</v>
      </c>
      <c r="N35" s="289">
        <f t="shared" si="2"/>
        <v>0</v>
      </c>
      <c r="O35" s="660">
        <f>'1.0-Contractblad'!$K$105</f>
        <v>0</v>
      </c>
      <c r="P35" s="290">
        <f t="shared" si="3"/>
        <v>0</v>
      </c>
      <c r="Q35" s="290">
        <f t="shared" si="4"/>
        <v>0</v>
      </c>
      <c r="R35" s="290">
        <f t="shared" si="5"/>
        <v>0</v>
      </c>
      <c r="S35" s="290"/>
      <c r="T35" s="291">
        <f t="shared" si="6"/>
        <v>0</v>
      </c>
      <c r="U35" s="291">
        <f t="shared" si="7"/>
        <v>0</v>
      </c>
      <c r="V35" s="291">
        <f t="shared" si="8"/>
        <v>0</v>
      </c>
      <c r="W35" s="662">
        <f>C156*D156</f>
        <v>0</v>
      </c>
      <c r="X35" s="292">
        <f t="shared" si="9"/>
        <v>0</v>
      </c>
      <c r="Z35" s="138"/>
    </row>
    <row r="36" spans="1:26" ht="16" customHeight="1">
      <c r="A36" s="885">
        <f>VLOOKUP(B36,'1.1a-Jaarprijzen'!$B$11:$G$134,6,FALSE)</f>
        <v>2</v>
      </c>
      <c r="B36" s="864" t="s">
        <v>597</v>
      </c>
      <c r="C36" s="877">
        <v>2</v>
      </c>
      <c r="D36" s="878"/>
      <c r="E36" s="877">
        <v>2</v>
      </c>
      <c r="F36" s="878"/>
      <c r="G36" s="877">
        <v>2</v>
      </c>
      <c r="H36" s="879"/>
      <c r="I36" s="656"/>
      <c r="J36" s="657"/>
      <c r="K36" s="657"/>
      <c r="L36" s="139">
        <f t="shared" si="0"/>
        <v>0</v>
      </c>
      <c r="M36" s="139">
        <f t="shared" si="1"/>
        <v>0</v>
      </c>
      <c r="N36" s="289">
        <f t="shared" si="2"/>
        <v>0</v>
      </c>
      <c r="O36" s="660">
        <f>'1.0-Contractblad'!$K$105</f>
        <v>0</v>
      </c>
      <c r="P36" s="290">
        <f t="shared" si="3"/>
        <v>0</v>
      </c>
      <c r="Q36" s="290">
        <f t="shared" si="4"/>
        <v>0</v>
      </c>
      <c r="R36" s="290">
        <f t="shared" si="5"/>
        <v>0</v>
      </c>
      <c r="S36" s="290"/>
      <c r="T36" s="291">
        <f t="shared" si="6"/>
        <v>0</v>
      </c>
      <c r="U36" s="291">
        <f t="shared" si="7"/>
        <v>0</v>
      </c>
      <c r="V36" s="291">
        <f t="shared" si="8"/>
        <v>0</v>
      </c>
      <c r="W36" s="662">
        <f>C157*D157</f>
        <v>0</v>
      </c>
      <c r="X36" s="292">
        <f t="shared" si="9"/>
        <v>0</v>
      </c>
      <c r="Z36" s="138"/>
    </row>
    <row r="37" spans="1:26" ht="16" customHeight="1">
      <c r="A37" s="885">
        <f>VLOOKUP(B37,'1.1a-Jaarprijzen'!$B$11:$G$134,6,FALSE)</f>
        <v>2</v>
      </c>
      <c r="B37" s="864" t="s">
        <v>855</v>
      </c>
      <c r="C37" s="877">
        <v>6</v>
      </c>
      <c r="D37" s="878">
        <v>28.59</v>
      </c>
      <c r="E37" s="877">
        <v>3</v>
      </c>
      <c r="F37" s="878">
        <v>28.59</v>
      </c>
      <c r="G37" s="877">
        <v>3</v>
      </c>
      <c r="H37" s="879">
        <v>20.350000000000001</v>
      </c>
      <c r="I37" s="656"/>
      <c r="J37" s="657"/>
      <c r="K37" s="657"/>
      <c r="L37" s="139">
        <f t="shared" si="0"/>
        <v>0</v>
      </c>
      <c r="M37" s="139">
        <f t="shared" si="1"/>
        <v>0</v>
      </c>
      <c r="N37" s="289">
        <f t="shared" si="2"/>
        <v>0</v>
      </c>
      <c r="O37" s="660">
        <f>'1.0-Contractblad'!$K$105</f>
        <v>0</v>
      </c>
      <c r="P37" s="290">
        <f t="shared" si="3"/>
        <v>0</v>
      </c>
      <c r="Q37" s="290">
        <f t="shared" si="4"/>
        <v>0</v>
      </c>
      <c r="R37" s="290">
        <f t="shared" si="5"/>
        <v>0</v>
      </c>
      <c r="S37" s="290"/>
      <c r="T37" s="291">
        <f t="shared" si="6"/>
        <v>0</v>
      </c>
      <c r="U37" s="291">
        <f t="shared" si="7"/>
        <v>0</v>
      </c>
      <c r="V37" s="291">
        <f t="shared" si="8"/>
        <v>0</v>
      </c>
      <c r="W37" s="662">
        <f>C158*D158</f>
        <v>0</v>
      </c>
      <c r="X37" s="292">
        <f t="shared" si="9"/>
        <v>0</v>
      </c>
      <c r="Z37" s="138"/>
    </row>
    <row r="38" spans="1:26" ht="16" customHeight="1">
      <c r="A38" s="885">
        <f>VLOOKUP(B38,'1.1a-Jaarprijzen'!$B$11:$G$134,6,FALSE)</f>
        <v>2</v>
      </c>
      <c r="B38" s="864" t="s">
        <v>629</v>
      </c>
      <c r="C38" s="877">
        <v>6</v>
      </c>
      <c r="D38" s="878">
        <v>78.08</v>
      </c>
      <c r="E38" s="877">
        <v>3</v>
      </c>
      <c r="F38" s="878">
        <v>78.08</v>
      </c>
      <c r="G38" s="877">
        <v>3</v>
      </c>
      <c r="H38" s="879">
        <v>59.36</v>
      </c>
      <c r="I38" s="656"/>
      <c r="J38" s="657"/>
      <c r="K38" s="657"/>
      <c r="L38" s="139">
        <f t="shared" si="0"/>
        <v>0</v>
      </c>
      <c r="M38" s="139">
        <f t="shared" si="1"/>
        <v>0</v>
      </c>
      <c r="N38" s="289">
        <f t="shared" si="2"/>
        <v>0</v>
      </c>
      <c r="O38" s="660">
        <f>'1.0-Contractblad'!$K$105</f>
        <v>0</v>
      </c>
      <c r="P38" s="290">
        <f t="shared" si="3"/>
        <v>0</v>
      </c>
      <c r="Q38" s="290">
        <f t="shared" si="4"/>
        <v>0</v>
      </c>
      <c r="R38" s="290">
        <f t="shared" si="5"/>
        <v>0</v>
      </c>
      <c r="S38" s="290"/>
      <c r="T38" s="291">
        <f t="shared" si="6"/>
        <v>0</v>
      </c>
      <c r="U38" s="291">
        <f t="shared" si="7"/>
        <v>0</v>
      </c>
      <c r="V38" s="291">
        <f t="shared" si="8"/>
        <v>0</v>
      </c>
      <c r="W38" s="662">
        <f>C159*D159</f>
        <v>0</v>
      </c>
      <c r="X38" s="292">
        <f t="shared" si="9"/>
        <v>0</v>
      </c>
      <c r="Z38" s="138"/>
    </row>
    <row r="39" spans="1:26" ht="16" customHeight="1">
      <c r="A39" s="885">
        <f>VLOOKUP(B39,'1.1a-Jaarprijzen'!$B$11:$G$134,6,FALSE)</f>
        <v>2</v>
      </c>
      <c r="B39" s="864" t="s">
        <v>863</v>
      </c>
      <c r="C39" s="877">
        <v>2</v>
      </c>
      <c r="D39" s="878">
        <v>37.18</v>
      </c>
      <c r="E39" s="877">
        <v>1</v>
      </c>
      <c r="F39" s="878">
        <v>37.18</v>
      </c>
      <c r="G39" s="877">
        <v>2</v>
      </c>
      <c r="H39" s="879">
        <v>2.2799999999999998</v>
      </c>
      <c r="I39" s="656"/>
      <c r="J39" s="657"/>
      <c r="K39" s="657"/>
      <c r="L39" s="139">
        <f t="shared" si="0"/>
        <v>0</v>
      </c>
      <c r="M39" s="139">
        <f t="shared" si="1"/>
        <v>0</v>
      </c>
      <c r="N39" s="289">
        <f t="shared" si="2"/>
        <v>0</v>
      </c>
      <c r="O39" s="660">
        <f>'1.0-Contractblad'!$K$105</f>
        <v>0</v>
      </c>
      <c r="P39" s="290">
        <f t="shared" si="3"/>
        <v>0</v>
      </c>
      <c r="Q39" s="290">
        <f t="shared" si="4"/>
        <v>0</v>
      </c>
      <c r="R39" s="290">
        <f t="shared" si="5"/>
        <v>0</v>
      </c>
      <c r="S39" s="290"/>
      <c r="T39" s="291">
        <f t="shared" si="6"/>
        <v>0</v>
      </c>
      <c r="U39" s="291">
        <f t="shared" si="7"/>
        <v>0</v>
      </c>
      <c r="V39" s="291">
        <f t="shared" si="8"/>
        <v>0</v>
      </c>
      <c r="W39" s="662">
        <f>C160*D160</f>
        <v>0</v>
      </c>
      <c r="X39" s="292">
        <f t="shared" si="9"/>
        <v>0</v>
      </c>
      <c r="Z39" s="138"/>
    </row>
    <row r="40" spans="1:26" ht="16" customHeight="1">
      <c r="A40" s="885">
        <f>VLOOKUP(B40,'1.1a-Jaarprijzen'!$B$11:$G$134,6,FALSE)</f>
        <v>2</v>
      </c>
      <c r="B40" s="864" t="s">
        <v>866</v>
      </c>
      <c r="C40" s="877">
        <v>6</v>
      </c>
      <c r="D40" s="878">
        <v>59.1</v>
      </c>
      <c r="E40" s="877">
        <v>3</v>
      </c>
      <c r="F40" s="878">
        <v>59.1</v>
      </c>
      <c r="G40" s="877">
        <v>3</v>
      </c>
      <c r="H40" s="879">
        <v>18.559999999999995</v>
      </c>
      <c r="I40" s="656"/>
      <c r="J40" s="657"/>
      <c r="K40" s="657"/>
      <c r="L40" s="139">
        <f>IF(I40=0,0,D40/I40)*C40</f>
        <v>0</v>
      </c>
      <c r="M40" s="139">
        <f>IF(J40=0,0,F40/J40)*E40</f>
        <v>0</v>
      </c>
      <c r="N40" s="289">
        <f>IF(K40=0,0,H40/K40)*G40</f>
        <v>0</v>
      </c>
      <c r="O40" s="660">
        <f>'1.0-Contractblad'!$K$105</f>
        <v>0</v>
      </c>
      <c r="P40" s="290">
        <f>IF(I40=0,0,L40*O40)</f>
        <v>0</v>
      </c>
      <c r="Q40" s="290">
        <f>IF(J40=0,0,M40*O40)</f>
        <v>0</v>
      </c>
      <c r="R40" s="290">
        <f>IF(K40=0,0,N40*O40)</f>
        <v>0</v>
      </c>
      <c r="S40" s="290"/>
      <c r="T40" s="291">
        <f>IF(D40=0,0,P40/C40/D40)</f>
        <v>0</v>
      </c>
      <c r="U40" s="291">
        <f>IF(F40=0,0,Q40/E40/F40)</f>
        <v>0</v>
      </c>
      <c r="V40" s="291">
        <f>IF(H40=0,0,R40/G40/H40)</f>
        <v>0</v>
      </c>
      <c r="W40" s="662">
        <f>C161*D161</f>
        <v>0</v>
      </c>
      <c r="X40" s="292">
        <f>IF(I40=0,0,P40+Q40+R40)</f>
        <v>0</v>
      </c>
      <c r="Z40" s="138"/>
    </row>
    <row r="41" spans="1:26" ht="16" customHeight="1">
      <c r="A41" s="885">
        <f>VLOOKUP(B41,'1.1a-Jaarprijzen'!$B$11:$G$134,6,FALSE)</f>
        <v>2</v>
      </c>
      <c r="B41" s="864" t="s">
        <v>892</v>
      </c>
      <c r="C41" s="877">
        <v>4</v>
      </c>
      <c r="D41" s="878">
        <v>54.71</v>
      </c>
      <c r="E41" s="877">
        <v>2</v>
      </c>
      <c r="F41" s="878">
        <v>54.71</v>
      </c>
      <c r="G41" s="877">
        <v>2</v>
      </c>
      <c r="H41" s="879">
        <v>65.39</v>
      </c>
      <c r="I41" s="656"/>
      <c r="J41" s="657"/>
      <c r="K41" s="657"/>
      <c r="L41" s="139">
        <f t="shared" si="0"/>
        <v>0</v>
      </c>
      <c r="M41" s="139">
        <f t="shared" si="1"/>
        <v>0</v>
      </c>
      <c r="N41" s="289">
        <f t="shared" si="2"/>
        <v>0</v>
      </c>
      <c r="O41" s="660">
        <f>'1.0-Contractblad'!$K$105</f>
        <v>0</v>
      </c>
      <c r="P41" s="290">
        <f t="shared" si="3"/>
        <v>0</v>
      </c>
      <c r="Q41" s="290">
        <f t="shared" si="4"/>
        <v>0</v>
      </c>
      <c r="R41" s="290">
        <f t="shared" si="5"/>
        <v>0</v>
      </c>
      <c r="S41" s="290"/>
      <c r="T41" s="291">
        <f t="shared" si="6"/>
        <v>0</v>
      </c>
      <c r="U41" s="291">
        <f t="shared" si="7"/>
        <v>0</v>
      </c>
      <c r="V41" s="291">
        <f t="shared" si="8"/>
        <v>0</v>
      </c>
      <c r="W41" s="662">
        <f>C162*D162</f>
        <v>0</v>
      </c>
      <c r="X41" s="292">
        <f t="shared" si="9"/>
        <v>0</v>
      </c>
      <c r="Z41" s="138"/>
    </row>
    <row r="42" spans="1:26" ht="16" customHeight="1">
      <c r="A42" s="885">
        <f>VLOOKUP(B42,'1.1a-Jaarprijzen'!$B$11:$G$134,6,FALSE)</f>
        <v>2</v>
      </c>
      <c r="B42" s="864" t="s">
        <v>922</v>
      </c>
      <c r="C42" s="877">
        <v>4</v>
      </c>
      <c r="D42" s="878">
        <v>133.34</v>
      </c>
      <c r="E42" s="877">
        <v>2</v>
      </c>
      <c r="F42" s="878">
        <v>133.34</v>
      </c>
      <c r="G42" s="877">
        <v>2</v>
      </c>
      <c r="H42" s="879">
        <v>149.47999999999999</v>
      </c>
      <c r="I42" s="656"/>
      <c r="J42" s="657"/>
      <c r="K42" s="657"/>
      <c r="L42" s="139">
        <f>IF(I42=0,0,D42/I42)*C42</f>
        <v>0</v>
      </c>
      <c r="M42" s="139">
        <f>IF(J42=0,0,F42/J42)*E42</f>
        <v>0</v>
      </c>
      <c r="N42" s="289">
        <f>IF(K42=0,0,H42/K42)*G42</f>
        <v>0</v>
      </c>
      <c r="O42" s="660">
        <f>'1.0-Contractblad'!$K$105</f>
        <v>0</v>
      </c>
      <c r="P42" s="290">
        <f>IF(I42=0,0,L42*O42)</f>
        <v>0</v>
      </c>
      <c r="Q42" s="290">
        <f>IF(J42=0,0,M42*O42)</f>
        <v>0</v>
      </c>
      <c r="R42" s="290">
        <f>IF(K42=0,0,N42*O42)</f>
        <v>0</v>
      </c>
      <c r="S42" s="290"/>
      <c r="T42" s="291">
        <f>IF(D42=0,0,P42/C42/D42)</f>
        <v>0</v>
      </c>
      <c r="U42" s="291">
        <f>IF(F42=0,0,Q42/E42/F42)</f>
        <v>0</v>
      </c>
      <c r="V42" s="291">
        <f>IF(H42=0,0,R42/G42/H42)</f>
        <v>0</v>
      </c>
      <c r="W42" s="662">
        <f>C163*D163</f>
        <v>0</v>
      </c>
      <c r="X42" s="292">
        <f>IF(I42=0,0,P42+Q42+R42)</f>
        <v>0</v>
      </c>
      <c r="Z42" s="138"/>
    </row>
    <row r="43" spans="1:26" ht="16" customHeight="1">
      <c r="A43" s="885">
        <f>VLOOKUP(B43,'1.1a-Jaarprijzen'!$B$11:$G$134,6,FALSE)</f>
        <v>2</v>
      </c>
      <c r="B43" s="864" t="s">
        <v>922</v>
      </c>
      <c r="C43" s="877">
        <v>1</v>
      </c>
      <c r="D43" s="878">
        <v>90.1</v>
      </c>
      <c r="E43" s="877">
        <v>1</v>
      </c>
      <c r="F43" s="878">
        <v>90.1</v>
      </c>
      <c r="G43" s="877">
        <v>2</v>
      </c>
      <c r="H43" s="879">
        <v>4.6399999999999997</v>
      </c>
      <c r="I43" s="656"/>
      <c r="J43" s="657"/>
      <c r="K43" s="657"/>
      <c r="L43" s="139">
        <f t="shared" si="0"/>
        <v>0</v>
      </c>
      <c r="M43" s="139">
        <f t="shared" si="1"/>
        <v>0</v>
      </c>
      <c r="N43" s="289">
        <f t="shared" si="2"/>
        <v>0</v>
      </c>
      <c r="O43" s="660">
        <f>'1.0-Contractblad'!$K$105</f>
        <v>0</v>
      </c>
      <c r="P43" s="290">
        <f t="shared" si="3"/>
        <v>0</v>
      </c>
      <c r="Q43" s="290">
        <f t="shared" si="4"/>
        <v>0</v>
      </c>
      <c r="R43" s="290">
        <f t="shared" si="5"/>
        <v>0</v>
      </c>
      <c r="S43" s="290"/>
      <c r="T43" s="291">
        <f t="shared" si="6"/>
        <v>0</v>
      </c>
      <c r="U43" s="291">
        <f t="shared" si="7"/>
        <v>0</v>
      </c>
      <c r="V43" s="291">
        <f t="shared" si="8"/>
        <v>0</v>
      </c>
      <c r="W43" s="662">
        <f>C164*D164</f>
        <v>0</v>
      </c>
      <c r="X43" s="292">
        <f t="shared" si="9"/>
        <v>0</v>
      </c>
      <c r="Z43" s="138"/>
    </row>
    <row r="44" spans="1:26" ht="16" customHeight="1">
      <c r="A44" s="885">
        <f>VLOOKUP(B44,'1.1a-Jaarprijzen'!$B$11:$G$134,6,FALSE)</f>
        <v>2</v>
      </c>
      <c r="B44" s="864" t="s">
        <v>956</v>
      </c>
      <c r="C44" s="877">
        <v>12</v>
      </c>
      <c r="D44" s="878">
        <v>72.44</v>
      </c>
      <c r="E44" s="877">
        <v>6</v>
      </c>
      <c r="F44" s="878">
        <v>72.44</v>
      </c>
      <c r="G44" s="877">
        <v>6</v>
      </c>
      <c r="H44" s="879">
        <v>17.78</v>
      </c>
      <c r="I44" s="656"/>
      <c r="J44" s="657"/>
      <c r="K44" s="657"/>
      <c r="L44" s="139">
        <f t="shared" si="0"/>
        <v>0</v>
      </c>
      <c r="M44" s="139">
        <f t="shared" si="1"/>
        <v>0</v>
      </c>
      <c r="N44" s="289">
        <f t="shared" si="2"/>
        <v>0</v>
      </c>
      <c r="O44" s="660">
        <f>'1.0-Contractblad'!$K$105</f>
        <v>0</v>
      </c>
      <c r="P44" s="290">
        <f t="shared" si="3"/>
        <v>0</v>
      </c>
      <c r="Q44" s="290">
        <f t="shared" si="4"/>
        <v>0</v>
      </c>
      <c r="R44" s="290">
        <f t="shared" si="5"/>
        <v>0</v>
      </c>
      <c r="S44" s="290"/>
      <c r="T44" s="291">
        <f t="shared" si="6"/>
        <v>0</v>
      </c>
      <c r="U44" s="291">
        <f t="shared" si="7"/>
        <v>0</v>
      </c>
      <c r="V44" s="291">
        <f t="shared" si="8"/>
        <v>0</v>
      </c>
      <c r="W44" s="662">
        <f>C165*D165</f>
        <v>0</v>
      </c>
      <c r="X44" s="292">
        <f t="shared" si="9"/>
        <v>0</v>
      </c>
      <c r="Z44" s="138"/>
    </row>
    <row r="45" spans="1:26" ht="16" customHeight="1">
      <c r="A45" s="885">
        <f>VLOOKUP(B45,'1.1a-Jaarprijzen'!$B$11:$G$134,6,FALSE)</f>
        <v>2</v>
      </c>
      <c r="B45" s="864" t="s">
        <v>969</v>
      </c>
      <c r="C45" s="877">
        <v>4</v>
      </c>
      <c r="D45" s="878">
        <v>30.64</v>
      </c>
      <c r="E45" s="877">
        <v>4</v>
      </c>
      <c r="F45" s="878">
        <v>30.64</v>
      </c>
      <c r="G45" s="877">
        <v>4</v>
      </c>
      <c r="H45" s="878"/>
      <c r="I45" s="656"/>
      <c r="J45" s="657"/>
      <c r="K45" s="657"/>
      <c r="L45" s="139">
        <f t="shared" ref="L45:L47" si="10">IF(I45=0,0,D45/I45)*C45</f>
        <v>0</v>
      </c>
      <c r="M45" s="139">
        <f t="shared" ref="M45:M47" si="11">IF(J45=0,0,F45/J45)*E45</f>
        <v>0</v>
      </c>
      <c r="N45" s="289">
        <f t="shared" ref="N45:N47" si="12">IF(K45=0,0,H45/K45)*G45</f>
        <v>0</v>
      </c>
      <c r="O45" s="660">
        <f>'1.0-Contractblad'!$K$105</f>
        <v>0</v>
      </c>
      <c r="P45" s="290">
        <f t="shared" ref="P45:P47" si="13">IF(I45=0,0,L45*O45)</f>
        <v>0</v>
      </c>
      <c r="Q45" s="290">
        <f t="shared" ref="Q45:Q47" si="14">IF(J45=0,0,M45*O45)</f>
        <v>0</v>
      </c>
      <c r="R45" s="290">
        <f t="shared" ref="R45:R47" si="15">IF(K45=0,0,N45*O45)</f>
        <v>0</v>
      </c>
      <c r="S45" s="290"/>
      <c r="T45" s="291">
        <f t="shared" ref="T45:T47" si="16">IF(D45=0,0,P45/C45/D45)</f>
        <v>0</v>
      </c>
      <c r="U45" s="291">
        <f t="shared" ref="U45:U47" si="17">IF(F45=0,0,Q45/E45/F45)</f>
        <v>0</v>
      </c>
      <c r="V45" s="291">
        <f t="shared" ref="V45:V47" si="18">IF(H45=0,0,R45/G45/H45)</f>
        <v>0</v>
      </c>
      <c r="W45" s="662">
        <f>C166*D166</f>
        <v>0</v>
      </c>
      <c r="X45" s="292">
        <f t="shared" ref="X45:X47" si="19">IF(I45=0,0,P45+Q45+R45)</f>
        <v>0</v>
      </c>
      <c r="Z45" s="138"/>
    </row>
    <row r="46" spans="1:26" ht="16" customHeight="1">
      <c r="A46" s="885" t="e">
        <f>VLOOKUP(B46,'1.1a-Jaarprijzen'!$B$11:$G$134,6,FALSE)</f>
        <v>#N/A</v>
      </c>
      <c r="B46" s="864" t="s">
        <v>858</v>
      </c>
      <c r="C46" s="877">
        <v>6</v>
      </c>
      <c r="D46" s="878">
        <v>29.81</v>
      </c>
      <c r="E46" s="877">
        <v>3</v>
      </c>
      <c r="F46" s="878">
        <v>29.81</v>
      </c>
      <c r="G46" s="877">
        <v>3</v>
      </c>
      <c r="H46" s="879">
        <v>1.98</v>
      </c>
      <c r="I46" s="656"/>
      <c r="J46" s="657"/>
      <c r="K46" s="657"/>
      <c r="L46" s="139">
        <f t="shared" si="10"/>
        <v>0</v>
      </c>
      <c r="M46" s="139">
        <f t="shared" si="11"/>
        <v>0</v>
      </c>
      <c r="N46" s="289">
        <f t="shared" si="12"/>
        <v>0</v>
      </c>
      <c r="O46" s="660">
        <f>'1.0-Contractblad'!$K$105</f>
        <v>0</v>
      </c>
      <c r="P46" s="290">
        <f t="shared" si="13"/>
        <v>0</v>
      </c>
      <c r="Q46" s="290">
        <f t="shared" si="14"/>
        <v>0</v>
      </c>
      <c r="R46" s="290">
        <f t="shared" si="15"/>
        <v>0</v>
      </c>
      <c r="S46" s="290"/>
      <c r="T46" s="291">
        <f t="shared" si="16"/>
        <v>0</v>
      </c>
      <c r="U46" s="291">
        <f t="shared" si="17"/>
        <v>0</v>
      </c>
      <c r="V46" s="291">
        <f t="shared" si="18"/>
        <v>0</v>
      </c>
      <c r="W46" s="662">
        <f>C167*D167</f>
        <v>0</v>
      </c>
      <c r="X46" s="292">
        <f t="shared" si="19"/>
        <v>0</v>
      </c>
      <c r="Z46" s="138"/>
    </row>
    <row r="47" spans="1:26" ht="16" customHeight="1">
      <c r="A47" s="885" t="e">
        <f>VLOOKUP(B47,'1.1a-Jaarprijzen'!$B$11:$G$134,6,FALSE)</f>
        <v>#N/A</v>
      </c>
      <c r="B47" s="864" t="s">
        <v>857</v>
      </c>
      <c r="C47" s="877">
        <v>6</v>
      </c>
      <c r="D47" s="878">
        <v>100.45</v>
      </c>
      <c r="E47" s="877">
        <v>3</v>
      </c>
      <c r="F47" s="878">
        <v>100.45</v>
      </c>
      <c r="G47" s="877">
        <v>3</v>
      </c>
      <c r="H47" s="879">
        <v>92.63</v>
      </c>
      <c r="I47" s="656"/>
      <c r="J47" s="657"/>
      <c r="K47" s="657"/>
      <c r="L47" s="139">
        <f t="shared" si="10"/>
        <v>0</v>
      </c>
      <c r="M47" s="139">
        <f t="shared" si="11"/>
        <v>0</v>
      </c>
      <c r="N47" s="289">
        <f t="shared" si="12"/>
        <v>0</v>
      </c>
      <c r="O47" s="660">
        <f>'1.0-Contractblad'!$K$105</f>
        <v>0</v>
      </c>
      <c r="P47" s="290">
        <f t="shared" si="13"/>
        <v>0</v>
      </c>
      <c r="Q47" s="290">
        <f t="shared" si="14"/>
        <v>0</v>
      </c>
      <c r="R47" s="290">
        <f t="shared" si="15"/>
        <v>0</v>
      </c>
      <c r="S47" s="290"/>
      <c r="T47" s="291">
        <f t="shared" si="16"/>
        <v>0</v>
      </c>
      <c r="U47" s="291">
        <f t="shared" si="17"/>
        <v>0</v>
      </c>
      <c r="V47" s="291">
        <f t="shared" si="18"/>
        <v>0</v>
      </c>
      <c r="W47" s="662">
        <f>C168*D168</f>
        <v>0</v>
      </c>
      <c r="X47" s="292">
        <f t="shared" si="19"/>
        <v>0</v>
      </c>
      <c r="Z47" s="138"/>
    </row>
    <row r="48" spans="1:26" ht="16" hidden="1" customHeight="1">
      <c r="A48" s="462"/>
      <c r="B48" s="864"/>
      <c r="C48" s="877"/>
      <c r="D48" s="878"/>
      <c r="E48" s="877"/>
      <c r="F48" s="878"/>
      <c r="G48" s="877"/>
      <c r="H48" s="878"/>
      <c r="I48" s="656"/>
      <c r="J48" s="657"/>
      <c r="K48" s="657"/>
      <c r="L48" s="139"/>
      <c r="M48" s="139"/>
      <c r="N48" s="289"/>
      <c r="O48" s="660"/>
      <c r="P48" s="290"/>
      <c r="Q48" s="290"/>
      <c r="R48" s="290"/>
      <c r="S48" s="290"/>
      <c r="T48" s="291"/>
      <c r="U48" s="291"/>
      <c r="V48" s="291"/>
      <c r="W48" s="662"/>
      <c r="X48" s="292"/>
      <c r="Z48" s="138"/>
    </row>
    <row r="49" spans="1:26" ht="16" hidden="1" customHeight="1">
      <c r="A49" s="462"/>
      <c r="B49" s="864"/>
      <c r="C49" s="877"/>
      <c r="D49" s="878"/>
      <c r="E49" s="877"/>
      <c r="F49" s="878"/>
      <c r="G49" s="877"/>
      <c r="H49" s="878"/>
      <c r="I49" s="656"/>
      <c r="J49" s="657"/>
      <c r="K49" s="657"/>
      <c r="L49" s="139"/>
      <c r="M49" s="139"/>
      <c r="N49" s="289"/>
      <c r="O49" s="660"/>
      <c r="P49" s="290"/>
      <c r="Q49" s="290"/>
      <c r="R49" s="290"/>
      <c r="S49" s="290"/>
      <c r="T49" s="291"/>
      <c r="U49" s="291"/>
      <c r="V49" s="291"/>
      <c r="W49" s="662"/>
      <c r="X49" s="292"/>
      <c r="Z49" s="138"/>
    </row>
    <row r="50" spans="1:26" ht="16" hidden="1" customHeight="1">
      <c r="A50" s="462"/>
      <c r="B50" s="864"/>
      <c r="C50" s="877"/>
      <c r="D50" s="878"/>
      <c r="E50" s="877"/>
      <c r="F50" s="878"/>
      <c r="G50" s="877"/>
      <c r="H50" s="878"/>
      <c r="I50" s="656"/>
      <c r="J50" s="657"/>
      <c r="K50" s="657"/>
      <c r="L50" s="139"/>
      <c r="M50" s="139"/>
      <c r="N50" s="289"/>
      <c r="O50" s="660"/>
      <c r="P50" s="290"/>
      <c r="Q50" s="290"/>
      <c r="R50" s="290"/>
      <c r="S50" s="290"/>
      <c r="T50" s="291"/>
      <c r="U50" s="291"/>
      <c r="V50" s="291"/>
      <c r="W50" s="662"/>
      <c r="X50" s="292"/>
      <c r="Z50" s="138"/>
    </row>
    <row r="51" spans="1:26" ht="16" hidden="1" customHeight="1">
      <c r="A51" s="462"/>
      <c r="B51" s="864"/>
      <c r="C51" s="877"/>
      <c r="D51" s="878"/>
      <c r="E51" s="877"/>
      <c r="F51" s="878"/>
      <c r="G51" s="877"/>
      <c r="H51" s="878"/>
      <c r="I51" s="656"/>
      <c r="J51" s="657"/>
      <c r="K51" s="657"/>
      <c r="L51" s="139"/>
      <c r="M51" s="139"/>
      <c r="N51" s="289"/>
      <c r="O51" s="660"/>
      <c r="P51" s="290"/>
      <c r="Q51" s="290"/>
      <c r="R51" s="290"/>
      <c r="S51" s="290"/>
      <c r="T51" s="291"/>
      <c r="U51" s="291"/>
      <c r="V51" s="291"/>
      <c r="W51" s="662"/>
      <c r="X51" s="292"/>
      <c r="Z51" s="138"/>
    </row>
    <row r="52" spans="1:26" ht="16" hidden="1" customHeight="1">
      <c r="A52" s="462"/>
      <c r="B52" s="864"/>
      <c r="C52" s="877"/>
      <c r="D52" s="878"/>
      <c r="E52" s="877"/>
      <c r="F52" s="878"/>
      <c r="G52" s="877"/>
      <c r="H52" s="879"/>
      <c r="I52" s="656"/>
      <c r="J52" s="657"/>
      <c r="K52" s="657"/>
      <c r="L52" s="139"/>
      <c r="M52" s="139"/>
      <c r="N52" s="289"/>
      <c r="O52" s="660"/>
      <c r="P52" s="290"/>
      <c r="Q52" s="290"/>
      <c r="R52" s="290"/>
      <c r="S52" s="290"/>
      <c r="T52" s="291"/>
      <c r="U52" s="291"/>
      <c r="V52" s="291"/>
      <c r="W52" s="662"/>
      <c r="X52" s="292"/>
      <c r="Z52" s="138"/>
    </row>
    <row r="53" spans="1:26" ht="16" hidden="1" customHeight="1">
      <c r="A53" s="462"/>
      <c r="B53" s="864"/>
      <c r="C53" s="877"/>
      <c r="D53" s="878"/>
      <c r="E53" s="877"/>
      <c r="F53" s="878"/>
      <c r="G53" s="877"/>
      <c r="H53" s="879"/>
      <c r="I53" s="656"/>
      <c r="J53" s="657"/>
      <c r="K53" s="657"/>
      <c r="L53" s="139"/>
      <c r="M53" s="139"/>
      <c r="N53" s="289"/>
      <c r="O53" s="660"/>
      <c r="P53" s="290"/>
      <c r="Q53" s="290"/>
      <c r="R53" s="290"/>
      <c r="S53" s="290"/>
      <c r="T53" s="291"/>
      <c r="U53" s="291"/>
      <c r="V53" s="291"/>
      <c r="W53" s="662"/>
      <c r="X53" s="292"/>
      <c r="Z53" s="138"/>
    </row>
    <row r="54" spans="1:26" ht="16" hidden="1" customHeight="1">
      <c r="A54" s="462"/>
      <c r="B54" s="864"/>
      <c r="C54" s="877"/>
      <c r="D54" s="878"/>
      <c r="E54" s="877"/>
      <c r="F54" s="878"/>
      <c r="G54" s="877"/>
      <c r="H54" s="879"/>
      <c r="I54" s="656"/>
      <c r="J54" s="657"/>
      <c r="K54" s="657"/>
      <c r="L54" s="139"/>
      <c r="M54" s="139"/>
      <c r="N54" s="289"/>
      <c r="O54" s="660"/>
      <c r="P54" s="290"/>
      <c r="Q54" s="290"/>
      <c r="R54" s="290"/>
      <c r="S54" s="290"/>
      <c r="T54" s="291"/>
      <c r="U54" s="291"/>
      <c r="V54" s="291"/>
      <c r="W54" s="662"/>
      <c r="X54" s="292"/>
      <c r="Z54" s="138"/>
    </row>
    <row r="55" spans="1:26" ht="16" hidden="1" customHeight="1">
      <c r="A55" s="462"/>
      <c r="B55" s="864"/>
      <c r="C55" s="877"/>
      <c r="D55" s="878"/>
      <c r="E55" s="877"/>
      <c r="F55" s="878"/>
      <c r="G55" s="877"/>
      <c r="H55" s="879"/>
      <c r="I55" s="656"/>
      <c r="J55" s="657"/>
      <c r="K55" s="657"/>
      <c r="L55" s="139"/>
      <c r="M55" s="139"/>
      <c r="N55" s="289"/>
      <c r="O55" s="660"/>
      <c r="P55" s="290"/>
      <c r="Q55" s="290"/>
      <c r="R55" s="290"/>
      <c r="S55" s="290"/>
      <c r="T55" s="291"/>
      <c r="U55" s="291"/>
      <c r="V55" s="291"/>
      <c r="W55" s="662"/>
      <c r="X55" s="292"/>
      <c r="Z55" s="138"/>
    </row>
    <row r="56" spans="1:26" ht="16" hidden="1" customHeight="1">
      <c r="A56" s="462"/>
      <c r="B56" s="864"/>
      <c r="C56" s="877"/>
      <c r="D56" s="878"/>
      <c r="E56" s="877"/>
      <c r="F56" s="878"/>
      <c r="G56" s="877"/>
      <c r="H56" s="879"/>
      <c r="I56" s="656"/>
      <c r="J56" s="657"/>
      <c r="K56" s="657"/>
      <c r="L56" s="139"/>
      <c r="M56" s="139"/>
      <c r="N56" s="289"/>
      <c r="O56" s="660"/>
      <c r="P56" s="290"/>
      <c r="Q56" s="290"/>
      <c r="R56" s="290"/>
      <c r="S56" s="290"/>
      <c r="T56" s="291"/>
      <c r="U56" s="291"/>
      <c r="V56" s="291"/>
      <c r="W56" s="662"/>
      <c r="X56" s="292"/>
      <c r="Z56" s="138"/>
    </row>
    <row r="57" spans="1:26" ht="16" hidden="1" customHeight="1">
      <c r="A57" s="462"/>
      <c r="B57" s="864"/>
      <c r="C57" s="877"/>
      <c r="D57" s="878"/>
      <c r="E57" s="877"/>
      <c r="F57" s="878"/>
      <c r="G57" s="877"/>
      <c r="H57" s="879"/>
      <c r="I57" s="656"/>
      <c r="J57" s="657"/>
      <c r="K57" s="657"/>
      <c r="L57" s="139"/>
      <c r="M57" s="139"/>
      <c r="N57" s="289"/>
      <c r="O57" s="660"/>
      <c r="P57" s="290"/>
      <c r="Q57" s="290"/>
      <c r="R57" s="290"/>
      <c r="S57" s="290"/>
      <c r="T57" s="291"/>
      <c r="U57" s="291"/>
      <c r="V57" s="291"/>
      <c r="W57" s="662"/>
      <c r="X57" s="292"/>
      <c r="Z57" s="138"/>
    </row>
    <row r="58" spans="1:26" ht="16" hidden="1" customHeight="1">
      <c r="A58" s="462"/>
      <c r="B58" s="864"/>
      <c r="C58" s="877"/>
      <c r="D58" s="878"/>
      <c r="E58" s="877"/>
      <c r="F58" s="878"/>
      <c r="G58" s="877"/>
      <c r="H58" s="879"/>
      <c r="I58" s="656"/>
      <c r="J58" s="657"/>
      <c r="K58" s="657"/>
      <c r="L58" s="139"/>
      <c r="M58" s="139"/>
      <c r="N58" s="289"/>
      <c r="O58" s="660"/>
      <c r="P58" s="290"/>
      <c r="Q58" s="290"/>
      <c r="R58" s="290"/>
      <c r="S58" s="290"/>
      <c r="T58" s="291"/>
      <c r="U58" s="291"/>
      <c r="V58" s="291"/>
      <c r="W58" s="662"/>
      <c r="X58" s="292"/>
      <c r="Z58" s="138"/>
    </row>
    <row r="59" spans="1:26" ht="16" hidden="1" customHeight="1">
      <c r="A59" s="462"/>
      <c r="B59" s="864"/>
      <c r="C59" s="877"/>
      <c r="D59" s="878"/>
      <c r="E59" s="877"/>
      <c r="F59" s="878"/>
      <c r="G59" s="877"/>
      <c r="H59" s="879"/>
      <c r="I59" s="656"/>
      <c r="J59" s="657"/>
      <c r="K59" s="657"/>
      <c r="L59" s="139"/>
      <c r="M59" s="139"/>
      <c r="N59" s="289"/>
      <c r="O59" s="660"/>
      <c r="P59" s="290"/>
      <c r="Q59" s="290"/>
      <c r="R59" s="290"/>
      <c r="S59" s="290"/>
      <c r="T59" s="291"/>
      <c r="U59" s="291"/>
      <c r="V59" s="291"/>
      <c r="W59" s="662"/>
      <c r="X59" s="292"/>
      <c r="Z59" s="138"/>
    </row>
    <row r="60" spans="1:26" ht="16" hidden="1" customHeight="1">
      <c r="A60" s="462"/>
      <c r="B60" s="864"/>
      <c r="C60" s="877"/>
      <c r="D60" s="878"/>
      <c r="E60" s="877"/>
      <c r="F60" s="878"/>
      <c r="G60" s="877"/>
      <c r="H60" s="879"/>
      <c r="I60" s="656"/>
      <c r="J60" s="657"/>
      <c r="K60" s="657"/>
      <c r="L60" s="139"/>
      <c r="M60" s="139"/>
      <c r="N60" s="289"/>
      <c r="O60" s="660"/>
      <c r="P60" s="290"/>
      <c r="Q60" s="290"/>
      <c r="R60" s="290"/>
      <c r="S60" s="290"/>
      <c r="T60" s="291"/>
      <c r="U60" s="291"/>
      <c r="V60" s="291"/>
      <c r="W60" s="662"/>
      <c r="X60" s="292"/>
      <c r="Z60" s="138"/>
    </row>
    <row r="61" spans="1:26" ht="16" hidden="1" customHeight="1">
      <c r="A61" s="462"/>
      <c r="B61" s="864"/>
      <c r="C61" s="877"/>
      <c r="D61" s="878"/>
      <c r="E61" s="877"/>
      <c r="F61" s="878"/>
      <c r="G61" s="877"/>
      <c r="H61" s="879"/>
      <c r="I61" s="656"/>
      <c r="J61" s="657"/>
      <c r="K61" s="657"/>
      <c r="L61" s="139"/>
      <c r="M61" s="139"/>
      <c r="N61" s="289"/>
      <c r="O61" s="660"/>
      <c r="P61" s="290"/>
      <c r="Q61" s="290"/>
      <c r="R61" s="290"/>
      <c r="S61" s="290"/>
      <c r="T61" s="291"/>
      <c r="U61" s="291"/>
      <c r="V61" s="291"/>
      <c r="W61" s="662"/>
      <c r="X61" s="292"/>
      <c r="Z61" s="138"/>
    </row>
    <row r="62" spans="1:26" ht="16" hidden="1" customHeight="1">
      <c r="A62" s="462"/>
      <c r="B62" s="864"/>
      <c r="C62" s="877"/>
      <c r="D62" s="878"/>
      <c r="E62" s="877"/>
      <c r="F62" s="878"/>
      <c r="G62" s="877"/>
      <c r="H62" s="879"/>
      <c r="I62" s="656"/>
      <c r="J62" s="657"/>
      <c r="K62" s="657"/>
      <c r="L62" s="139"/>
      <c r="M62" s="139"/>
      <c r="N62" s="289"/>
      <c r="O62" s="660"/>
      <c r="P62" s="290"/>
      <c r="Q62" s="290"/>
      <c r="R62" s="290"/>
      <c r="S62" s="290"/>
      <c r="T62" s="291"/>
      <c r="U62" s="291"/>
      <c r="V62" s="291"/>
      <c r="W62" s="662"/>
      <c r="X62" s="292"/>
      <c r="Z62" s="138"/>
    </row>
    <row r="63" spans="1:26" ht="16" hidden="1" customHeight="1">
      <c r="A63" s="462"/>
      <c r="B63" s="864"/>
      <c r="C63" s="877"/>
      <c r="D63" s="878"/>
      <c r="E63" s="877"/>
      <c r="F63" s="878"/>
      <c r="G63" s="877"/>
      <c r="H63" s="879"/>
      <c r="I63" s="656"/>
      <c r="J63" s="657"/>
      <c r="K63" s="657"/>
      <c r="L63" s="139"/>
      <c r="M63" s="139"/>
      <c r="N63" s="289"/>
      <c r="O63" s="660"/>
      <c r="P63" s="290"/>
      <c r="Q63" s="290"/>
      <c r="R63" s="290"/>
      <c r="S63" s="290"/>
      <c r="T63" s="291"/>
      <c r="U63" s="291"/>
      <c r="V63" s="291"/>
      <c r="W63" s="662"/>
      <c r="X63" s="292"/>
      <c r="Z63" s="138"/>
    </row>
    <row r="64" spans="1:26" ht="16" hidden="1" customHeight="1">
      <c r="A64" s="462"/>
      <c r="B64" s="864"/>
      <c r="C64" s="877"/>
      <c r="D64" s="878"/>
      <c r="E64" s="877"/>
      <c r="F64" s="878"/>
      <c r="G64" s="877"/>
      <c r="H64" s="879"/>
      <c r="I64" s="656"/>
      <c r="J64" s="657"/>
      <c r="K64" s="657"/>
      <c r="L64" s="139"/>
      <c r="M64" s="139"/>
      <c r="N64" s="289"/>
      <c r="O64" s="660"/>
      <c r="P64" s="290"/>
      <c r="Q64" s="290"/>
      <c r="R64" s="290"/>
      <c r="S64" s="290"/>
      <c r="T64" s="291"/>
      <c r="U64" s="291"/>
      <c r="V64" s="291"/>
      <c r="W64" s="662"/>
      <c r="X64" s="292"/>
      <c r="Z64" s="138"/>
    </row>
    <row r="65" spans="1:26" ht="16" hidden="1" customHeight="1">
      <c r="A65" s="462"/>
      <c r="B65" s="864"/>
      <c r="C65" s="877"/>
      <c r="D65" s="878"/>
      <c r="E65" s="877"/>
      <c r="F65" s="878"/>
      <c r="G65" s="877"/>
      <c r="H65" s="879"/>
      <c r="I65" s="656"/>
      <c r="J65" s="657"/>
      <c r="K65" s="657"/>
      <c r="L65" s="139"/>
      <c r="M65" s="139"/>
      <c r="N65" s="289"/>
      <c r="O65" s="660"/>
      <c r="P65" s="290"/>
      <c r="Q65" s="290"/>
      <c r="R65" s="290"/>
      <c r="S65" s="290"/>
      <c r="T65" s="291"/>
      <c r="U65" s="291"/>
      <c r="V65" s="291"/>
      <c r="W65" s="662"/>
      <c r="X65" s="292"/>
      <c r="Z65" s="138"/>
    </row>
    <row r="66" spans="1:26" ht="16" hidden="1" customHeight="1">
      <c r="A66" s="462"/>
      <c r="B66" s="864"/>
      <c r="C66" s="877"/>
      <c r="D66" s="878"/>
      <c r="E66" s="877"/>
      <c r="F66" s="878"/>
      <c r="G66" s="877"/>
      <c r="H66" s="879"/>
      <c r="I66" s="656"/>
      <c r="J66" s="657"/>
      <c r="K66" s="657"/>
      <c r="L66" s="139"/>
      <c r="M66" s="139"/>
      <c r="N66" s="289"/>
      <c r="O66" s="660"/>
      <c r="P66" s="290"/>
      <c r="Q66" s="290"/>
      <c r="R66" s="290"/>
      <c r="S66" s="290"/>
      <c r="T66" s="291"/>
      <c r="U66" s="291"/>
      <c r="V66" s="291"/>
      <c r="W66" s="662"/>
      <c r="X66" s="292"/>
      <c r="Z66" s="138"/>
    </row>
    <row r="67" spans="1:26" ht="16" hidden="1" customHeight="1">
      <c r="A67" s="462"/>
      <c r="B67" s="864"/>
      <c r="C67" s="877"/>
      <c r="D67" s="878"/>
      <c r="E67" s="877"/>
      <c r="F67" s="878"/>
      <c r="G67" s="877"/>
      <c r="H67" s="879"/>
      <c r="I67" s="656"/>
      <c r="J67" s="657"/>
      <c r="K67" s="657"/>
      <c r="L67" s="139"/>
      <c r="M67" s="139"/>
      <c r="N67" s="289"/>
      <c r="O67" s="660"/>
      <c r="P67" s="290"/>
      <c r="Q67" s="290"/>
      <c r="R67" s="290"/>
      <c r="S67" s="290"/>
      <c r="T67" s="291"/>
      <c r="U67" s="291"/>
      <c r="V67" s="291"/>
      <c r="W67" s="662"/>
      <c r="X67" s="292"/>
      <c r="Z67" s="138"/>
    </row>
    <row r="68" spans="1:26" ht="16" hidden="1" customHeight="1">
      <c r="A68" s="462"/>
      <c r="B68" s="864"/>
      <c r="C68" s="877"/>
      <c r="D68" s="878"/>
      <c r="E68" s="877"/>
      <c r="F68" s="878"/>
      <c r="G68" s="877"/>
      <c r="H68" s="879"/>
      <c r="I68" s="656"/>
      <c r="J68" s="657"/>
      <c r="K68" s="657"/>
      <c r="L68" s="139"/>
      <c r="M68" s="139"/>
      <c r="N68" s="289"/>
      <c r="O68" s="660"/>
      <c r="P68" s="290"/>
      <c r="Q68" s="290"/>
      <c r="R68" s="290"/>
      <c r="S68" s="290"/>
      <c r="T68" s="291"/>
      <c r="U68" s="291"/>
      <c r="V68" s="291"/>
      <c r="W68" s="662"/>
      <c r="X68" s="292"/>
      <c r="Z68" s="138"/>
    </row>
    <row r="69" spans="1:26" ht="16" hidden="1" customHeight="1">
      <c r="A69" s="462"/>
      <c r="B69" s="864"/>
      <c r="C69" s="877"/>
      <c r="D69" s="878"/>
      <c r="E69" s="877"/>
      <c r="F69" s="878"/>
      <c r="G69" s="877"/>
      <c r="H69" s="879"/>
      <c r="I69" s="656"/>
      <c r="J69" s="657"/>
      <c r="K69" s="657"/>
      <c r="L69" s="139"/>
      <c r="M69" s="139"/>
      <c r="N69" s="289"/>
      <c r="O69" s="660"/>
      <c r="P69" s="290"/>
      <c r="Q69" s="290"/>
      <c r="R69" s="290"/>
      <c r="S69" s="290"/>
      <c r="T69" s="291"/>
      <c r="U69" s="291"/>
      <c r="V69" s="291"/>
      <c r="W69" s="662"/>
      <c r="X69" s="292"/>
      <c r="Z69" s="138"/>
    </row>
    <row r="70" spans="1:26" ht="16" hidden="1" customHeight="1">
      <c r="A70" s="462"/>
      <c r="B70" s="864"/>
      <c r="C70" s="877"/>
      <c r="D70" s="878"/>
      <c r="E70" s="877"/>
      <c r="F70" s="878"/>
      <c r="G70" s="877"/>
      <c r="H70" s="879"/>
      <c r="I70" s="656"/>
      <c r="J70" s="657"/>
      <c r="K70" s="657"/>
      <c r="L70" s="139"/>
      <c r="M70" s="139"/>
      <c r="N70" s="289"/>
      <c r="O70" s="660"/>
      <c r="P70" s="290"/>
      <c r="Q70" s="290"/>
      <c r="R70" s="290"/>
      <c r="S70" s="290"/>
      <c r="T70" s="291"/>
      <c r="U70" s="291"/>
      <c r="V70" s="291"/>
      <c r="W70" s="662"/>
      <c r="X70" s="292"/>
      <c r="Z70" s="138"/>
    </row>
    <row r="71" spans="1:26" ht="16" hidden="1" customHeight="1">
      <c r="A71" s="462"/>
      <c r="B71" s="864"/>
      <c r="C71" s="877"/>
      <c r="D71" s="878"/>
      <c r="E71" s="877"/>
      <c r="F71" s="878"/>
      <c r="G71" s="877"/>
      <c r="H71" s="879"/>
      <c r="I71" s="656"/>
      <c r="J71" s="657"/>
      <c r="K71" s="657"/>
      <c r="L71" s="139"/>
      <c r="M71" s="139"/>
      <c r="N71" s="289"/>
      <c r="O71" s="660"/>
      <c r="P71" s="290"/>
      <c r="Q71" s="290"/>
      <c r="R71" s="290"/>
      <c r="S71" s="290"/>
      <c r="T71" s="291"/>
      <c r="U71" s="291"/>
      <c r="V71" s="291"/>
      <c r="W71" s="662"/>
      <c r="X71" s="292"/>
      <c r="Z71" s="138"/>
    </row>
    <row r="72" spans="1:26" ht="16" hidden="1" customHeight="1">
      <c r="A72" s="462"/>
      <c r="B72" s="864"/>
      <c r="C72" s="877"/>
      <c r="D72" s="878"/>
      <c r="E72" s="877"/>
      <c r="F72" s="878"/>
      <c r="G72" s="877"/>
      <c r="H72" s="879"/>
      <c r="I72" s="656"/>
      <c r="J72" s="657"/>
      <c r="K72" s="657"/>
      <c r="L72" s="139"/>
      <c r="M72" s="139"/>
      <c r="N72" s="289"/>
      <c r="O72" s="660"/>
      <c r="P72" s="290"/>
      <c r="Q72" s="290"/>
      <c r="R72" s="290"/>
      <c r="S72" s="290"/>
      <c r="T72" s="291"/>
      <c r="U72" s="291"/>
      <c r="V72" s="291"/>
      <c r="W72" s="662"/>
      <c r="X72" s="292"/>
      <c r="Z72" s="138"/>
    </row>
    <row r="73" spans="1:26" ht="16" hidden="1" customHeight="1">
      <c r="A73" s="462"/>
      <c r="B73" s="864"/>
      <c r="C73" s="877"/>
      <c r="D73" s="878"/>
      <c r="E73" s="877"/>
      <c r="F73" s="878"/>
      <c r="G73" s="877"/>
      <c r="H73" s="879"/>
      <c r="I73" s="656"/>
      <c r="J73" s="657"/>
      <c r="K73" s="657"/>
      <c r="L73" s="139"/>
      <c r="M73" s="139"/>
      <c r="N73" s="289"/>
      <c r="O73" s="660"/>
      <c r="P73" s="290"/>
      <c r="Q73" s="290"/>
      <c r="R73" s="290"/>
      <c r="S73" s="290"/>
      <c r="T73" s="291"/>
      <c r="U73" s="291"/>
      <c r="V73" s="291"/>
      <c r="W73" s="662"/>
      <c r="X73" s="292"/>
      <c r="Z73" s="138"/>
    </row>
    <row r="74" spans="1:26" ht="16" hidden="1" customHeight="1">
      <c r="A74" s="462"/>
      <c r="B74" s="864"/>
      <c r="C74" s="877"/>
      <c r="D74" s="878"/>
      <c r="E74" s="877"/>
      <c r="F74" s="878"/>
      <c r="G74" s="877"/>
      <c r="H74" s="879"/>
      <c r="I74" s="656"/>
      <c r="J74" s="657"/>
      <c r="K74" s="657"/>
      <c r="L74" s="139"/>
      <c r="M74" s="139"/>
      <c r="N74" s="289"/>
      <c r="O74" s="660"/>
      <c r="P74" s="290"/>
      <c r="Q74" s="290"/>
      <c r="R74" s="290"/>
      <c r="S74" s="290"/>
      <c r="T74" s="291"/>
      <c r="U74" s="291"/>
      <c r="V74" s="291"/>
      <c r="W74" s="662"/>
      <c r="X74" s="292"/>
      <c r="Z74" s="138"/>
    </row>
    <row r="75" spans="1:26" ht="16" hidden="1" customHeight="1">
      <c r="A75" s="462"/>
      <c r="B75" s="864"/>
      <c r="C75" s="877"/>
      <c r="D75" s="878"/>
      <c r="E75" s="877"/>
      <c r="F75" s="878"/>
      <c r="G75" s="877"/>
      <c r="H75" s="879"/>
      <c r="I75" s="656"/>
      <c r="J75" s="657"/>
      <c r="K75" s="657"/>
      <c r="L75" s="139"/>
      <c r="M75" s="139"/>
      <c r="N75" s="289"/>
      <c r="O75" s="660"/>
      <c r="P75" s="290"/>
      <c r="Q75" s="290"/>
      <c r="R75" s="290"/>
      <c r="S75" s="290"/>
      <c r="T75" s="291"/>
      <c r="U75" s="291"/>
      <c r="V75" s="291"/>
      <c r="W75" s="662"/>
      <c r="X75" s="292"/>
      <c r="Z75" s="138"/>
    </row>
    <row r="76" spans="1:26" ht="16" hidden="1" customHeight="1">
      <c r="A76" s="462"/>
      <c r="B76" s="864"/>
      <c r="C76" s="877"/>
      <c r="D76" s="878"/>
      <c r="E76" s="877"/>
      <c r="F76" s="878"/>
      <c r="G76" s="877"/>
      <c r="H76" s="879"/>
      <c r="I76" s="656"/>
      <c r="J76" s="657"/>
      <c r="K76" s="657"/>
      <c r="L76" s="139"/>
      <c r="M76" s="139"/>
      <c r="N76" s="289"/>
      <c r="O76" s="660"/>
      <c r="P76" s="290"/>
      <c r="Q76" s="290"/>
      <c r="R76" s="290"/>
      <c r="S76" s="290"/>
      <c r="T76" s="291"/>
      <c r="U76" s="291"/>
      <c r="V76" s="291"/>
      <c r="W76" s="662"/>
      <c r="X76" s="292"/>
      <c r="Z76" s="138"/>
    </row>
    <row r="77" spans="1:26" ht="16" hidden="1" customHeight="1">
      <c r="A77" s="462"/>
      <c r="B77" s="864"/>
      <c r="C77" s="877"/>
      <c r="D77" s="878"/>
      <c r="E77" s="877"/>
      <c r="F77" s="878"/>
      <c r="G77" s="877"/>
      <c r="H77" s="879"/>
      <c r="I77" s="656"/>
      <c r="J77" s="657"/>
      <c r="K77" s="657"/>
      <c r="L77" s="139"/>
      <c r="M77" s="139"/>
      <c r="N77" s="289"/>
      <c r="O77" s="660"/>
      <c r="P77" s="290"/>
      <c r="Q77" s="290"/>
      <c r="R77" s="290"/>
      <c r="S77" s="290"/>
      <c r="T77" s="291"/>
      <c r="U77" s="291"/>
      <c r="V77" s="291"/>
      <c r="W77" s="662"/>
      <c r="X77" s="292"/>
      <c r="Z77" s="138"/>
    </row>
    <row r="78" spans="1:26" ht="16" hidden="1" customHeight="1">
      <c r="A78" s="462"/>
      <c r="B78" s="864"/>
      <c r="C78" s="877"/>
      <c r="D78" s="878"/>
      <c r="E78" s="877"/>
      <c r="F78" s="878"/>
      <c r="G78" s="877"/>
      <c r="H78" s="879"/>
      <c r="I78" s="656"/>
      <c r="J78" s="657"/>
      <c r="K78" s="657"/>
      <c r="L78" s="139"/>
      <c r="M78" s="139"/>
      <c r="N78" s="289"/>
      <c r="O78" s="660"/>
      <c r="P78" s="290"/>
      <c r="Q78" s="290"/>
      <c r="R78" s="290"/>
      <c r="S78" s="290"/>
      <c r="T78" s="291"/>
      <c r="U78" s="291"/>
      <c r="V78" s="291"/>
      <c r="W78" s="662"/>
      <c r="X78" s="292"/>
      <c r="Z78" s="138"/>
    </row>
    <row r="79" spans="1:26" ht="16" hidden="1" customHeight="1">
      <c r="A79" s="462"/>
      <c r="B79" s="864"/>
      <c r="C79" s="877"/>
      <c r="D79" s="878"/>
      <c r="E79" s="877"/>
      <c r="F79" s="878"/>
      <c r="G79" s="877"/>
      <c r="H79" s="879"/>
      <c r="I79" s="656"/>
      <c r="J79" s="657"/>
      <c r="K79" s="657"/>
      <c r="L79" s="139"/>
      <c r="M79" s="139"/>
      <c r="N79" s="289"/>
      <c r="O79" s="660"/>
      <c r="P79" s="290"/>
      <c r="Q79" s="290"/>
      <c r="R79" s="290"/>
      <c r="S79" s="290"/>
      <c r="T79" s="291"/>
      <c r="U79" s="291"/>
      <c r="V79" s="291"/>
      <c r="W79" s="662"/>
      <c r="X79" s="292"/>
      <c r="Z79" s="138"/>
    </row>
    <row r="80" spans="1:26" ht="16" hidden="1" customHeight="1">
      <c r="A80" s="462"/>
      <c r="B80" s="864"/>
      <c r="C80" s="877"/>
      <c r="D80" s="878"/>
      <c r="E80" s="877"/>
      <c r="F80" s="878"/>
      <c r="G80" s="877"/>
      <c r="H80" s="879"/>
      <c r="I80" s="656"/>
      <c r="J80" s="657"/>
      <c r="K80" s="657"/>
      <c r="L80" s="139"/>
      <c r="M80" s="139"/>
      <c r="N80" s="289"/>
      <c r="O80" s="660"/>
      <c r="P80" s="290"/>
      <c r="Q80" s="290"/>
      <c r="R80" s="290"/>
      <c r="S80" s="290"/>
      <c r="T80" s="291"/>
      <c r="U80" s="291"/>
      <c r="V80" s="291"/>
      <c r="W80" s="662"/>
      <c r="X80" s="292"/>
      <c r="Z80" s="138"/>
    </row>
    <row r="81" spans="1:26" ht="16" hidden="1" customHeight="1">
      <c r="A81" s="462"/>
      <c r="B81" s="864"/>
      <c r="C81" s="877"/>
      <c r="D81" s="878"/>
      <c r="E81" s="877"/>
      <c r="F81" s="878"/>
      <c r="G81" s="877"/>
      <c r="H81" s="879"/>
      <c r="I81" s="656"/>
      <c r="J81" s="657"/>
      <c r="K81" s="657"/>
      <c r="L81" s="139"/>
      <c r="M81" s="139"/>
      <c r="N81" s="289"/>
      <c r="O81" s="660"/>
      <c r="P81" s="290"/>
      <c r="Q81" s="290"/>
      <c r="R81" s="290"/>
      <c r="S81" s="290"/>
      <c r="T81" s="291"/>
      <c r="U81" s="291"/>
      <c r="V81" s="291"/>
      <c r="W81" s="662"/>
      <c r="X81" s="292"/>
      <c r="Z81" s="138"/>
    </row>
    <row r="82" spans="1:26" ht="16" hidden="1" customHeight="1">
      <c r="A82" s="462"/>
      <c r="B82" s="864"/>
      <c r="C82" s="877"/>
      <c r="D82" s="878"/>
      <c r="E82" s="877"/>
      <c r="F82" s="878"/>
      <c r="G82" s="877"/>
      <c r="H82" s="879"/>
      <c r="I82" s="656"/>
      <c r="J82" s="657"/>
      <c r="K82" s="657"/>
      <c r="L82" s="139"/>
      <c r="M82" s="139"/>
      <c r="N82" s="289"/>
      <c r="O82" s="660"/>
      <c r="P82" s="290"/>
      <c r="Q82" s="290"/>
      <c r="R82" s="290"/>
      <c r="S82" s="290"/>
      <c r="T82" s="291"/>
      <c r="U82" s="291"/>
      <c r="V82" s="291"/>
      <c r="W82" s="662"/>
      <c r="X82" s="292"/>
      <c r="Z82" s="138"/>
    </row>
    <row r="83" spans="1:26" ht="16" hidden="1" customHeight="1">
      <c r="A83" s="462"/>
      <c r="B83" s="864"/>
      <c r="C83" s="877"/>
      <c r="D83" s="878"/>
      <c r="E83" s="877"/>
      <c r="F83" s="878"/>
      <c r="G83" s="877"/>
      <c r="H83" s="879"/>
      <c r="I83" s="656"/>
      <c r="J83" s="657"/>
      <c r="K83" s="657"/>
      <c r="L83" s="139"/>
      <c r="M83" s="139"/>
      <c r="N83" s="289"/>
      <c r="O83" s="660"/>
      <c r="P83" s="290"/>
      <c r="Q83" s="290"/>
      <c r="R83" s="290"/>
      <c r="S83" s="290"/>
      <c r="T83" s="291"/>
      <c r="U83" s="291"/>
      <c r="V83" s="291"/>
      <c r="W83" s="662"/>
      <c r="X83" s="292"/>
      <c r="Z83" s="138"/>
    </row>
    <row r="84" spans="1:26" ht="16" hidden="1" customHeight="1">
      <c r="A84" s="462"/>
      <c r="B84" s="864"/>
      <c r="C84" s="877"/>
      <c r="D84" s="878"/>
      <c r="E84" s="877"/>
      <c r="F84" s="878"/>
      <c r="G84" s="877"/>
      <c r="H84" s="879"/>
      <c r="I84" s="656"/>
      <c r="J84" s="657"/>
      <c r="K84" s="657"/>
      <c r="L84" s="139"/>
      <c r="M84" s="139"/>
      <c r="N84" s="289"/>
      <c r="O84" s="660"/>
      <c r="P84" s="290"/>
      <c r="Q84" s="290"/>
      <c r="R84" s="290"/>
      <c r="S84" s="290"/>
      <c r="T84" s="291"/>
      <c r="U84" s="291"/>
      <c r="V84" s="291"/>
      <c r="W84" s="662"/>
      <c r="X84" s="292"/>
      <c r="Z84" s="138"/>
    </row>
    <row r="85" spans="1:26" ht="16" hidden="1" customHeight="1">
      <c r="A85" s="462"/>
      <c r="B85" s="864"/>
      <c r="C85" s="877"/>
      <c r="D85" s="878"/>
      <c r="E85" s="877"/>
      <c r="F85" s="878"/>
      <c r="G85" s="877"/>
      <c r="H85" s="879"/>
      <c r="I85" s="656"/>
      <c r="J85" s="657"/>
      <c r="K85" s="657"/>
      <c r="L85" s="139"/>
      <c r="M85" s="139"/>
      <c r="N85" s="289"/>
      <c r="O85" s="660"/>
      <c r="P85" s="290"/>
      <c r="Q85" s="290"/>
      <c r="R85" s="290"/>
      <c r="S85" s="290"/>
      <c r="T85" s="291"/>
      <c r="U85" s="291"/>
      <c r="V85" s="291"/>
      <c r="W85" s="662"/>
      <c r="X85" s="292"/>
      <c r="Z85" s="138"/>
    </row>
    <row r="86" spans="1:26" ht="16" hidden="1" customHeight="1">
      <c r="A86" s="462"/>
      <c r="B86" s="864"/>
      <c r="C86" s="877"/>
      <c r="D86" s="878"/>
      <c r="E86" s="877"/>
      <c r="F86" s="878"/>
      <c r="G86" s="877"/>
      <c r="H86" s="879"/>
      <c r="I86" s="656"/>
      <c r="J86" s="657"/>
      <c r="K86" s="657"/>
      <c r="L86" s="139"/>
      <c r="M86" s="139"/>
      <c r="N86" s="289"/>
      <c r="O86" s="660"/>
      <c r="P86" s="290"/>
      <c r="Q86" s="290"/>
      <c r="R86" s="290"/>
      <c r="S86" s="290"/>
      <c r="T86" s="291"/>
      <c r="U86" s="291"/>
      <c r="V86" s="291"/>
      <c r="W86" s="662"/>
      <c r="X86" s="292"/>
      <c r="Z86" s="138"/>
    </row>
    <row r="87" spans="1:26" ht="16" hidden="1" customHeight="1">
      <c r="A87" s="462"/>
      <c r="B87" s="864"/>
      <c r="C87" s="877"/>
      <c r="D87" s="878"/>
      <c r="E87" s="877"/>
      <c r="F87" s="878"/>
      <c r="G87" s="877"/>
      <c r="H87" s="879"/>
      <c r="I87" s="656"/>
      <c r="J87" s="657"/>
      <c r="K87" s="657"/>
      <c r="L87" s="139"/>
      <c r="M87" s="139"/>
      <c r="N87" s="289"/>
      <c r="O87" s="660"/>
      <c r="P87" s="290"/>
      <c r="Q87" s="290"/>
      <c r="R87" s="290"/>
      <c r="S87" s="290"/>
      <c r="T87" s="291"/>
      <c r="U87" s="291"/>
      <c r="V87" s="291"/>
      <c r="W87" s="662"/>
      <c r="X87" s="292"/>
      <c r="Z87" s="138"/>
    </row>
    <row r="88" spans="1:26" ht="16" hidden="1" customHeight="1">
      <c r="A88" s="462"/>
      <c r="B88" s="864"/>
      <c r="C88" s="877"/>
      <c r="D88" s="878"/>
      <c r="E88" s="877"/>
      <c r="F88" s="878"/>
      <c r="G88" s="877"/>
      <c r="H88" s="879"/>
      <c r="I88" s="656"/>
      <c r="J88" s="657"/>
      <c r="K88" s="657"/>
      <c r="L88" s="139"/>
      <c r="M88" s="139"/>
      <c r="N88" s="289"/>
      <c r="O88" s="660"/>
      <c r="P88" s="290"/>
      <c r="Q88" s="290"/>
      <c r="R88" s="290"/>
      <c r="S88" s="290"/>
      <c r="T88" s="291"/>
      <c r="U88" s="291"/>
      <c r="V88" s="291"/>
      <c r="W88" s="662"/>
      <c r="X88" s="292"/>
      <c r="Z88" s="138"/>
    </row>
    <row r="89" spans="1:26" ht="16" hidden="1" customHeight="1">
      <c r="A89" s="462"/>
      <c r="B89" s="864"/>
      <c r="C89" s="877"/>
      <c r="D89" s="878"/>
      <c r="E89" s="877"/>
      <c r="F89" s="878"/>
      <c r="G89" s="877"/>
      <c r="H89" s="879"/>
      <c r="I89" s="656"/>
      <c r="J89" s="657"/>
      <c r="K89" s="657"/>
      <c r="L89" s="139"/>
      <c r="M89" s="139"/>
      <c r="N89" s="289"/>
      <c r="O89" s="660"/>
      <c r="P89" s="290"/>
      <c r="Q89" s="290"/>
      <c r="R89" s="290"/>
      <c r="S89" s="290"/>
      <c r="T89" s="291"/>
      <c r="U89" s="291"/>
      <c r="V89" s="291"/>
      <c r="W89" s="662"/>
      <c r="X89" s="292"/>
      <c r="Z89" s="138"/>
    </row>
    <row r="90" spans="1:26" ht="16" hidden="1" customHeight="1">
      <c r="A90" s="462"/>
      <c r="B90" s="864"/>
      <c r="C90" s="877"/>
      <c r="D90" s="878"/>
      <c r="E90" s="877"/>
      <c r="F90" s="878"/>
      <c r="G90" s="877"/>
      <c r="H90" s="879"/>
      <c r="I90" s="656"/>
      <c r="J90" s="657"/>
      <c r="K90" s="657"/>
      <c r="L90" s="139"/>
      <c r="M90" s="139"/>
      <c r="N90" s="289"/>
      <c r="O90" s="660"/>
      <c r="P90" s="290"/>
      <c r="Q90" s="290"/>
      <c r="R90" s="290"/>
      <c r="S90" s="290"/>
      <c r="T90" s="291"/>
      <c r="U90" s="291"/>
      <c r="V90" s="291"/>
      <c r="W90" s="662"/>
      <c r="X90" s="292"/>
      <c r="Z90" s="138"/>
    </row>
    <row r="91" spans="1:26" ht="16" hidden="1" customHeight="1">
      <c r="A91" s="462"/>
      <c r="B91" s="864"/>
      <c r="C91" s="877"/>
      <c r="D91" s="878"/>
      <c r="E91" s="877"/>
      <c r="F91" s="878"/>
      <c r="G91" s="877"/>
      <c r="H91" s="879"/>
      <c r="I91" s="656"/>
      <c r="J91" s="657"/>
      <c r="K91" s="657"/>
      <c r="L91" s="139"/>
      <c r="M91" s="139"/>
      <c r="N91" s="289"/>
      <c r="O91" s="660"/>
      <c r="P91" s="290"/>
      <c r="Q91" s="290"/>
      <c r="R91" s="290"/>
      <c r="S91" s="290"/>
      <c r="T91" s="291"/>
      <c r="U91" s="291"/>
      <c r="V91" s="291"/>
      <c r="W91" s="662"/>
      <c r="X91" s="292"/>
      <c r="Z91" s="138"/>
    </row>
    <row r="92" spans="1:26" ht="16" hidden="1" customHeight="1">
      <c r="A92" s="462"/>
      <c r="B92" s="864"/>
      <c r="C92" s="877"/>
      <c r="D92" s="878"/>
      <c r="E92" s="877"/>
      <c r="F92" s="878"/>
      <c r="G92" s="877"/>
      <c r="H92" s="879"/>
      <c r="I92" s="656"/>
      <c r="J92" s="657"/>
      <c r="K92" s="657"/>
      <c r="L92" s="139"/>
      <c r="M92" s="139"/>
      <c r="N92" s="289"/>
      <c r="O92" s="660"/>
      <c r="P92" s="290"/>
      <c r="Q92" s="290"/>
      <c r="R92" s="290"/>
      <c r="S92" s="290"/>
      <c r="T92" s="291"/>
      <c r="U92" s="291"/>
      <c r="V92" s="291"/>
      <c r="W92" s="662"/>
      <c r="X92" s="292"/>
      <c r="Z92" s="138"/>
    </row>
    <row r="93" spans="1:26" ht="16" hidden="1" customHeight="1">
      <c r="A93" s="462"/>
      <c r="B93" s="864"/>
      <c r="C93" s="877"/>
      <c r="D93" s="878"/>
      <c r="E93" s="877"/>
      <c r="F93" s="878"/>
      <c r="G93" s="877"/>
      <c r="H93" s="879"/>
      <c r="I93" s="656"/>
      <c r="J93" s="657"/>
      <c r="K93" s="657"/>
      <c r="L93" s="139"/>
      <c r="M93" s="139"/>
      <c r="N93" s="289"/>
      <c r="O93" s="660"/>
      <c r="P93" s="290"/>
      <c r="Q93" s="290"/>
      <c r="R93" s="290"/>
      <c r="S93" s="290"/>
      <c r="T93" s="291"/>
      <c r="U93" s="291"/>
      <c r="V93" s="291"/>
      <c r="W93" s="662"/>
      <c r="X93" s="292"/>
      <c r="Z93" s="138"/>
    </row>
    <row r="94" spans="1:26" ht="16" hidden="1" customHeight="1">
      <c r="A94" s="462"/>
      <c r="B94" s="864"/>
      <c r="C94" s="877"/>
      <c r="D94" s="878"/>
      <c r="E94" s="877"/>
      <c r="F94" s="878"/>
      <c r="G94" s="877"/>
      <c r="H94" s="879"/>
      <c r="I94" s="656"/>
      <c r="J94" s="657"/>
      <c r="K94" s="657"/>
      <c r="L94" s="139"/>
      <c r="M94" s="139"/>
      <c r="N94" s="289"/>
      <c r="O94" s="660"/>
      <c r="P94" s="290"/>
      <c r="Q94" s="290"/>
      <c r="R94" s="290"/>
      <c r="S94" s="290"/>
      <c r="T94" s="291"/>
      <c r="U94" s="291"/>
      <c r="V94" s="291"/>
      <c r="W94" s="662"/>
      <c r="X94" s="292"/>
      <c r="Z94" s="138"/>
    </row>
    <row r="95" spans="1:26" ht="16" hidden="1" customHeight="1">
      <c r="A95" s="462"/>
      <c r="B95" s="864"/>
      <c r="C95" s="877"/>
      <c r="D95" s="878"/>
      <c r="E95" s="877"/>
      <c r="F95" s="878"/>
      <c r="G95" s="877"/>
      <c r="H95" s="879"/>
      <c r="I95" s="656"/>
      <c r="J95" s="657"/>
      <c r="K95" s="657"/>
      <c r="L95" s="139"/>
      <c r="M95" s="139"/>
      <c r="N95" s="289"/>
      <c r="O95" s="660"/>
      <c r="P95" s="290"/>
      <c r="Q95" s="290"/>
      <c r="R95" s="290"/>
      <c r="S95" s="290"/>
      <c r="T95" s="291"/>
      <c r="U95" s="291"/>
      <c r="V95" s="291"/>
      <c r="W95" s="662"/>
      <c r="X95" s="292"/>
      <c r="Z95" s="138"/>
    </row>
    <row r="96" spans="1:26" ht="16" hidden="1" customHeight="1">
      <c r="A96" s="462"/>
      <c r="B96" s="864"/>
      <c r="C96" s="877"/>
      <c r="D96" s="878"/>
      <c r="E96" s="877"/>
      <c r="F96" s="878"/>
      <c r="G96" s="877"/>
      <c r="H96" s="879"/>
      <c r="I96" s="656"/>
      <c r="J96" s="657"/>
      <c r="K96" s="657"/>
      <c r="L96" s="139"/>
      <c r="M96" s="139"/>
      <c r="N96" s="289"/>
      <c r="O96" s="660"/>
      <c r="P96" s="290"/>
      <c r="Q96" s="290"/>
      <c r="R96" s="290"/>
      <c r="S96" s="290"/>
      <c r="T96" s="291"/>
      <c r="U96" s="291"/>
      <c r="V96" s="291"/>
      <c r="W96" s="662"/>
      <c r="X96" s="292"/>
      <c r="Z96" s="138"/>
    </row>
    <row r="97" spans="1:26" ht="16" hidden="1" customHeight="1">
      <c r="A97" s="462"/>
      <c r="B97" s="864"/>
      <c r="C97" s="877"/>
      <c r="D97" s="878"/>
      <c r="E97" s="877"/>
      <c r="F97" s="878"/>
      <c r="G97" s="877"/>
      <c r="H97" s="879"/>
      <c r="I97" s="656"/>
      <c r="J97" s="657"/>
      <c r="K97" s="657"/>
      <c r="L97" s="139"/>
      <c r="M97" s="139"/>
      <c r="N97" s="289"/>
      <c r="O97" s="660"/>
      <c r="P97" s="290"/>
      <c r="Q97" s="290"/>
      <c r="R97" s="290"/>
      <c r="S97" s="290"/>
      <c r="T97" s="291"/>
      <c r="U97" s="291"/>
      <c r="V97" s="291"/>
      <c r="W97" s="662"/>
      <c r="X97" s="292"/>
      <c r="Z97" s="138"/>
    </row>
    <row r="98" spans="1:26" ht="16" hidden="1" customHeight="1">
      <c r="A98" s="462"/>
      <c r="B98" s="864"/>
      <c r="C98" s="877"/>
      <c r="D98" s="878"/>
      <c r="E98" s="877"/>
      <c r="F98" s="878"/>
      <c r="G98" s="877"/>
      <c r="H98" s="879"/>
      <c r="I98" s="656"/>
      <c r="J98" s="657"/>
      <c r="K98" s="657"/>
      <c r="L98" s="139"/>
      <c r="M98" s="139"/>
      <c r="N98" s="289"/>
      <c r="O98" s="660"/>
      <c r="P98" s="290"/>
      <c r="Q98" s="290"/>
      <c r="R98" s="290"/>
      <c r="S98" s="290"/>
      <c r="T98" s="291"/>
      <c r="U98" s="291"/>
      <c r="V98" s="291"/>
      <c r="W98" s="662"/>
      <c r="X98" s="292"/>
      <c r="Z98" s="138"/>
    </row>
    <row r="99" spans="1:26" ht="16" hidden="1" customHeight="1">
      <c r="A99" s="462"/>
      <c r="B99" s="864"/>
      <c r="C99" s="877"/>
      <c r="D99" s="878"/>
      <c r="E99" s="877"/>
      <c r="F99" s="878"/>
      <c r="G99" s="877"/>
      <c r="H99" s="879"/>
      <c r="I99" s="656"/>
      <c r="J99" s="657"/>
      <c r="K99" s="657"/>
      <c r="L99" s="139"/>
      <c r="M99" s="139"/>
      <c r="N99" s="289"/>
      <c r="O99" s="660"/>
      <c r="P99" s="290"/>
      <c r="Q99" s="290"/>
      <c r="R99" s="290"/>
      <c r="S99" s="290"/>
      <c r="T99" s="291"/>
      <c r="U99" s="291"/>
      <c r="V99" s="291"/>
      <c r="W99" s="662"/>
      <c r="X99" s="292"/>
      <c r="Z99" s="138"/>
    </row>
    <row r="100" spans="1:26" ht="16" hidden="1" customHeight="1">
      <c r="A100" s="462"/>
      <c r="B100" s="864"/>
      <c r="C100" s="877"/>
      <c r="D100" s="878"/>
      <c r="E100" s="877"/>
      <c r="F100" s="878"/>
      <c r="G100" s="877"/>
      <c r="H100" s="879"/>
      <c r="I100" s="656"/>
      <c r="J100" s="657"/>
      <c r="K100" s="657"/>
      <c r="L100" s="139"/>
      <c r="M100" s="139"/>
      <c r="N100" s="289"/>
      <c r="O100" s="660"/>
      <c r="P100" s="290"/>
      <c r="Q100" s="290"/>
      <c r="R100" s="290"/>
      <c r="S100" s="290"/>
      <c r="T100" s="291"/>
      <c r="U100" s="291"/>
      <c r="V100" s="291"/>
      <c r="W100" s="662"/>
      <c r="X100" s="292"/>
      <c r="Z100" s="138"/>
    </row>
    <row r="101" spans="1:26" ht="16" hidden="1" customHeight="1">
      <c r="A101" s="462"/>
      <c r="B101" s="864"/>
      <c r="C101" s="877"/>
      <c r="D101" s="878"/>
      <c r="E101" s="877"/>
      <c r="F101" s="878"/>
      <c r="G101" s="877"/>
      <c r="H101" s="879"/>
      <c r="I101" s="656"/>
      <c r="J101" s="657"/>
      <c r="K101" s="657"/>
      <c r="L101" s="139"/>
      <c r="M101" s="139"/>
      <c r="N101" s="289"/>
      <c r="O101" s="660"/>
      <c r="P101" s="290"/>
      <c r="Q101" s="290"/>
      <c r="R101" s="290"/>
      <c r="S101" s="290"/>
      <c r="T101" s="291"/>
      <c r="U101" s="291"/>
      <c r="V101" s="291"/>
      <c r="W101" s="662"/>
      <c r="X101" s="292"/>
      <c r="Z101" s="138"/>
    </row>
    <row r="102" spans="1:26" ht="16" hidden="1" customHeight="1">
      <c r="A102" s="462"/>
      <c r="B102" s="864"/>
      <c r="C102" s="877"/>
      <c r="D102" s="878"/>
      <c r="E102" s="877"/>
      <c r="F102" s="878"/>
      <c r="G102" s="877"/>
      <c r="H102" s="879"/>
      <c r="I102" s="656"/>
      <c r="J102" s="657"/>
      <c r="K102" s="657"/>
      <c r="L102" s="139"/>
      <c r="M102" s="139"/>
      <c r="N102" s="289"/>
      <c r="O102" s="660"/>
      <c r="P102" s="290"/>
      <c r="Q102" s="290"/>
      <c r="R102" s="290"/>
      <c r="S102" s="290"/>
      <c r="T102" s="291"/>
      <c r="U102" s="291"/>
      <c r="V102" s="291"/>
      <c r="W102" s="662"/>
      <c r="X102" s="292"/>
      <c r="Z102" s="138"/>
    </row>
    <row r="103" spans="1:26" ht="16" hidden="1" customHeight="1">
      <c r="A103" s="462"/>
      <c r="B103" s="864"/>
      <c r="C103" s="877"/>
      <c r="D103" s="878"/>
      <c r="E103" s="877"/>
      <c r="F103" s="878"/>
      <c r="G103" s="877"/>
      <c r="H103" s="879"/>
      <c r="I103" s="656"/>
      <c r="J103" s="657"/>
      <c r="K103" s="657"/>
      <c r="L103" s="139"/>
      <c r="M103" s="139"/>
      <c r="N103" s="289"/>
      <c r="O103" s="660"/>
      <c r="P103" s="290"/>
      <c r="Q103" s="290"/>
      <c r="R103" s="290"/>
      <c r="S103" s="290"/>
      <c r="T103" s="291"/>
      <c r="U103" s="291"/>
      <c r="V103" s="291"/>
      <c r="W103" s="662"/>
      <c r="X103" s="292"/>
      <c r="Z103" s="138"/>
    </row>
    <row r="104" spans="1:26" ht="16" hidden="1" customHeight="1">
      <c r="A104" s="462"/>
      <c r="B104" s="864"/>
      <c r="C104" s="877"/>
      <c r="D104" s="878"/>
      <c r="E104" s="877"/>
      <c r="F104" s="878"/>
      <c r="G104" s="877"/>
      <c r="H104" s="879"/>
      <c r="I104" s="656"/>
      <c r="J104" s="657"/>
      <c r="K104" s="657"/>
      <c r="L104" s="139"/>
      <c r="M104" s="139"/>
      <c r="N104" s="289"/>
      <c r="O104" s="660"/>
      <c r="P104" s="290"/>
      <c r="Q104" s="290"/>
      <c r="R104" s="290"/>
      <c r="S104" s="290"/>
      <c r="T104" s="291"/>
      <c r="U104" s="291"/>
      <c r="V104" s="291"/>
      <c r="W104" s="662"/>
      <c r="X104" s="292"/>
      <c r="Z104" s="138"/>
    </row>
    <row r="105" spans="1:26" ht="16" hidden="1" customHeight="1">
      <c r="A105" s="462"/>
      <c r="B105" s="864"/>
      <c r="C105" s="877"/>
      <c r="D105" s="878"/>
      <c r="E105" s="877"/>
      <c r="F105" s="878"/>
      <c r="G105" s="877"/>
      <c r="H105" s="879"/>
      <c r="I105" s="656"/>
      <c r="J105" s="657"/>
      <c r="K105" s="657"/>
      <c r="L105" s="139"/>
      <c r="M105" s="139"/>
      <c r="N105" s="289"/>
      <c r="O105" s="660"/>
      <c r="P105" s="290"/>
      <c r="Q105" s="290"/>
      <c r="R105" s="290"/>
      <c r="S105" s="290"/>
      <c r="T105" s="291"/>
      <c r="U105" s="291"/>
      <c r="V105" s="291"/>
      <c r="W105" s="662"/>
      <c r="X105" s="292"/>
      <c r="Z105" s="138"/>
    </row>
    <row r="106" spans="1:26" ht="16" hidden="1" customHeight="1">
      <c r="A106" s="462"/>
      <c r="B106" s="864"/>
      <c r="C106" s="877"/>
      <c r="D106" s="878"/>
      <c r="E106" s="877"/>
      <c r="F106" s="878"/>
      <c r="G106" s="877"/>
      <c r="H106" s="879"/>
      <c r="I106" s="656"/>
      <c r="J106" s="657"/>
      <c r="K106" s="657"/>
      <c r="L106" s="139"/>
      <c r="M106" s="139"/>
      <c r="N106" s="289"/>
      <c r="O106" s="660"/>
      <c r="P106" s="290"/>
      <c r="Q106" s="290"/>
      <c r="R106" s="290"/>
      <c r="S106" s="290"/>
      <c r="T106" s="291"/>
      <c r="U106" s="291"/>
      <c r="V106" s="291"/>
      <c r="W106" s="662"/>
      <c r="X106" s="292"/>
      <c r="Z106" s="138"/>
    </row>
    <row r="107" spans="1:26" ht="16" hidden="1" customHeight="1">
      <c r="A107" s="462"/>
      <c r="B107" s="864"/>
      <c r="C107" s="877"/>
      <c r="D107" s="878"/>
      <c r="E107" s="877"/>
      <c r="F107" s="878"/>
      <c r="G107" s="877"/>
      <c r="H107" s="879"/>
      <c r="I107" s="656"/>
      <c r="J107" s="657"/>
      <c r="K107" s="657"/>
      <c r="L107" s="139"/>
      <c r="M107" s="139"/>
      <c r="N107" s="289"/>
      <c r="O107" s="660"/>
      <c r="P107" s="290"/>
      <c r="Q107" s="290"/>
      <c r="R107" s="290"/>
      <c r="S107" s="290"/>
      <c r="T107" s="291"/>
      <c r="U107" s="291"/>
      <c r="V107" s="291"/>
      <c r="W107" s="662"/>
      <c r="X107" s="292"/>
      <c r="Z107" s="138"/>
    </row>
    <row r="108" spans="1:26" ht="16" hidden="1" customHeight="1">
      <c r="A108" s="462"/>
      <c r="B108" s="864"/>
      <c r="C108" s="877"/>
      <c r="D108" s="878"/>
      <c r="E108" s="877"/>
      <c r="F108" s="878"/>
      <c r="G108" s="877"/>
      <c r="H108" s="879"/>
      <c r="I108" s="656"/>
      <c r="J108" s="657"/>
      <c r="K108" s="657"/>
      <c r="L108" s="139"/>
      <c r="M108" s="139"/>
      <c r="N108" s="289"/>
      <c r="O108" s="660"/>
      <c r="P108" s="290"/>
      <c r="Q108" s="290"/>
      <c r="R108" s="290"/>
      <c r="S108" s="290"/>
      <c r="T108" s="291"/>
      <c r="U108" s="291"/>
      <c r="V108" s="291"/>
      <c r="W108" s="662"/>
      <c r="X108" s="292"/>
      <c r="Z108" s="138"/>
    </row>
    <row r="109" spans="1:26" ht="16" hidden="1" customHeight="1">
      <c r="A109" s="462"/>
      <c r="B109" s="864"/>
      <c r="C109" s="877"/>
      <c r="D109" s="878"/>
      <c r="E109" s="877"/>
      <c r="F109" s="878"/>
      <c r="G109" s="877"/>
      <c r="H109" s="879"/>
      <c r="I109" s="656"/>
      <c r="J109" s="657"/>
      <c r="K109" s="657"/>
      <c r="L109" s="139"/>
      <c r="M109" s="139"/>
      <c r="N109" s="289"/>
      <c r="O109" s="660"/>
      <c r="P109" s="290"/>
      <c r="Q109" s="290"/>
      <c r="R109" s="290"/>
      <c r="S109" s="290"/>
      <c r="T109" s="291"/>
      <c r="U109" s="291"/>
      <c r="V109" s="291"/>
      <c r="W109" s="662"/>
      <c r="X109" s="292"/>
      <c r="Z109" s="138"/>
    </row>
    <row r="110" spans="1:26" ht="16" hidden="1" customHeight="1">
      <c r="A110" s="462"/>
      <c r="B110" s="864"/>
      <c r="C110" s="877"/>
      <c r="D110" s="878"/>
      <c r="E110" s="877"/>
      <c r="F110" s="878"/>
      <c r="G110" s="877"/>
      <c r="H110" s="879"/>
      <c r="I110" s="656"/>
      <c r="J110" s="657"/>
      <c r="K110" s="657"/>
      <c r="L110" s="139"/>
      <c r="M110" s="139"/>
      <c r="N110" s="289"/>
      <c r="O110" s="660"/>
      <c r="P110" s="290"/>
      <c r="Q110" s="290"/>
      <c r="R110" s="290"/>
      <c r="S110" s="290"/>
      <c r="T110" s="291"/>
      <c r="U110" s="291"/>
      <c r="V110" s="291"/>
      <c r="W110" s="662"/>
      <c r="X110" s="292"/>
      <c r="Z110" s="138"/>
    </row>
    <row r="111" spans="1:26" ht="16" hidden="1" customHeight="1">
      <c r="A111" s="462"/>
      <c r="B111" s="864"/>
      <c r="C111" s="877"/>
      <c r="D111" s="878"/>
      <c r="E111" s="877"/>
      <c r="F111" s="878"/>
      <c r="G111" s="877"/>
      <c r="H111" s="879"/>
      <c r="I111" s="656"/>
      <c r="J111" s="657"/>
      <c r="K111" s="657"/>
      <c r="L111" s="139"/>
      <c r="M111" s="139"/>
      <c r="N111" s="289"/>
      <c r="O111" s="660"/>
      <c r="P111" s="290"/>
      <c r="Q111" s="290"/>
      <c r="R111" s="290"/>
      <c r="S111" s="290"/>
      <c r="T111" s="291"/>
      <c r="U111" s="291"/>
      <c r="V111" s="291"/>
      <c r="W111" s="662"/>
      <c r="X111" s="292"/>
      <c r="Z111" s="138"/>
    </row>
    <row r="112" spans="1:26" ht="16" hidden="1" customHeight="1">
      <c r="A112" s="462"/>
      <c r="B112" s="864"/>
      <c r="C112" s="877"/>
      <c r="D112" s="878"/>
      <c r="E112" s="877"/>
      <c r="F112" s="878"/>
      <c r="G112" s="877"/>
      <c r="H112" s="879"/>
      <c r="I112" s="656"/>
      <c r="J112" s="657"/>
      <c r="K112" s="657"/>
      <c r="L112" s="139"/>
      <c r="M112" s="139"/>
      <c r="N112" s="289"/>
      <c r="O112" s="660"/>
      <c r="P112" s="290"/>
      <c r="Q112" s="290"/>
      <c r="R112" s="290"/>
      <c r="S112" s="290"/>
      <c r="T112" s="291"/>
      <c r="U112" s="291"/>
      <c r="V112" s="291"/>
      <c r="W112" s="662"/>
      <c r="X112" s="292"/>
      <c r="Z112" s="138"/>
    </row>
    <row r="113" spans="1:26" ht="16" hidden="1" customHeight="1">
      <c r="A113" s="462"/>
      <c r="B113" s="864"/>
      <c r="C113" s="877"/>
      <c r="D113" s="878"/>
      <c r="E113" s="877"/>
      <c r="F113" s="878"/>
      <c r="G113" s="877"/>
      <c r="H113" s="879"/>
      <c r="I113" s="656"/>
      <c r="J113" s="657"/>
      <c r="K113" s="657"/>
      <c r="L113" s="139"/>
      <c r="M113" s="139"/>
      <c r="N113" s="289"/>
      <c r="O113" s="660"/>
      <c r="P113" s="290"/>
      <c r="Q113" s="290"/>
      <c r="R113" s="290"/>
      <c r="S113" s="290"/>
      <c r="T113" s="291"/>
      <c r="U113" s="291"/>
      <c r="V113" s="291"/>
      <c r="W113" s="662"/>
      <c r="X113" s="292"/>
      <c r="Z113" s="138"/>
    </row>
    <row r="114" spans="1:26" ht="16" hidden="1" customHeight="1">
      <c r="A114" s="462"/>
      <c r="B114" s="864"/>
      <c r="C114" s="877"/>
      <c r="D114" s="878"/>
      <c r="E114" s="877"/>
      <c r="F114" s="878"/>
      <c r="G114" s="877"/>
      <c r="H114" s="879"/>
      <c r="I114" s="656"/>
      <c r="J114" s="657"/>
      <c r="K114" s="657"/>
      <c r="L114" s="139"/>
      <c r="M114" s="139"/>
      <c r="N114" s="289"/>
      <c r="O114" s="660"/>
      <c r="P114" s="290"/>
      <c r="Q114" s="290"/>
      <c r="R114" s="290"/>
      <c r="S114" s="290"/>
      <c r="T114" s="291"/>
      <c r="U114" s="291"/>
      <c r="V114" s="291"/>
      <c r="W114" s="662"/>
      <c r="X114" s="292"/>
      <c r="Z114" s="138"/>
    </row>
    <row r="115" spans="1:26" ht="16" hidden="1" customHeight="1">
      <c r="A115" s="462"/>
      <c r="B115" s="864"/>
      <c r="C115" s="877"/>
      <c r="D115" s="878"/>
      <c r="E115" s="877"/>
      <c r="F115" s="878"/>
      <c r="G115" s="877"/>
      <c r="H115" s="879"/>
      <c r="I115" s="656"/>
      <c r="J115" s="657"/>
      <c r="K115" s="657"/>
      <c r="L115" s="139"/>
      <c r="M115" s="139"/>
      <c r="N115" s="289"/>
      <c r="O115" s="660"/>
      <c r="P115" s="290"/>
      <c r="Q115" s="290"/>
      <c r="R115" s="290"/>
      <c r="S115" s="290"/>
      <c r="T115" s="291"/>
      <c r="U115" s="291"/>
      <c r="V115" s="291"/>
      <c r="W115" s="662"/>
      <c r="X115" s="292"/>
      <c r="Z115" s="138"/>
    </row>
    <row r="116" spans="1:26" ht="16" hidden="1" customHeight="1">
      <c r="A116" s="462"/>
      <c r="B116" s="864"/>
      <c r="C116" s="877"/>
      <c r="D116" s="878"/>
      <c r="E116" s="877"/>
      <c r="F116" s="878"/>
      <c r="G116" s="877"/>
      <c r="H116" s="879"/>
      <c r="I116" s="656"/>
      <c r="J116" s="657"/>
      <c r="K116" s="657"/>
      <c r="L116" s="139"/>
      <c r="M116" s="139"/>
      <c r="N116" s="289"/>
      <c r="O116" s="660"/>
      <c r="P116" s="290"/>
      <c r="Q116" s="290"/>
      <c r="R116" s="290"/>
      <c r="S116" s="290"/>
      <c r="T116" s="291"/>
      <c r="U116" s="291"/>
      <c r="V116" s="291"/>
      <c r="W116" s="662"/>
      <c r="X116" s="292"/>
      <c r="Z116" s="138"/>
    </row>
    <row r="117" spans="1:26" ht="16" hidden="1" customHeight="1">
      <c r="A117" s="462"/>
      <c r="B117" s="864"/>
      <c r="C117" s="877"/>
      <c r="D117" s="878"/>
      <c r="E117" s="877"/>
      <c r="F117" s="878"/>
      <c r="G117" s="877"/>
      <c r="H117" s="879"/>
      <c r="I117" s="656"/>
      <c r="J117" s="657"/>
      <c r="K117" s="657"/>
      <c r="L117" s="139"/>
      <c r="M117" s="139"/>
      <c r="N117" s="289"/>
      <c r="O117" s="660"/>
      <c r="P117" s="290"/>
      <c r="Q117" s="290"/>
      <c r="R117" s="290"/>
      <c r="S117" s="290"/>
      <c r="T117" s="291"/>
      <c r="U117" s="291"/>
      <c r="V117" s="291"/>
      <c r="W117" s="662"/>
      <c r="X117" s="292"/>
      <c r="Z117" s="138"/>
    </row>
    <row r="118" spans="1:26" ht="16" hidden="1" customHeight="1">
      <c r="A118" s="462"/>
      <c r="B118" s="864"/>
      <c r="C118" s="877"/>
      <c r="D118" s="878"/>
      <c r="E118" s="877"/>
      <c r="F118" s="878"/>
      <c r="G118" s="877"/>
      <c r="H118" s="879"/>
      <c r="I118" s="656"/>
      <c r="J118" s="657"/>
      <c r="K118" s="657"/>
      <c r="L118" s="139"/>
      <c r="M118" s="139"/>
      <c r="N118" s="289"/>
      <c r="O118" s="660"/>
      <c r="P118" s="290"/>
      <c r="Q118" s="290"/>
      <c r="R118" s="290"/>
      <c r="S118" s="290"/>
      <c r="T118" s="291"/>
      <c r="U118" s="291"/>
      <c r="V118" s="291"/>
      <c r="W118" s="662"/>
      <c r="X118" s="292"/>
      <c r="Z118" s="138"/>
    </row>
    <row r="119" spans="1:26" ht="16" hidden="1" customHeight="1">
      <c r="A119" s="462"/>
      <c r="B119" s="864"/>
      <c r="C119" s="877"/>
      <c r="D119" s="878"/>
      <c r="E119" s="877"/>
      <c r="F119" s="878"/>
      <c r="G119" s="877"/>
      <c r="H119" s="879"/>
      <c r="I119" s="656"/>
      <c r="J119" s="657"/>
      <c r="K119" s="657"/>
      <c r="L119" s="139"/>
      <c r="M119" s="139"/>
      <c r="N119" s="289"/>
      <c r="O119" s="660"/>
      <c r="P119" s="290"/>
      <c r="Q119" s="290"/>
      <c r="R119" s="290"/>
      <c r="S119" s="290"/>
      <c r="T119" s="291"/>
      <c r="U119" s="291"/>
      <c r="V119" s="291"/>
      <c r="W119" s="662"/>
      <c r="X119" s="292"/>
      <c r="Z119" s="138"/>
    </row>
    <row r="120" spans="1:26" ht="16" hidden="1" customHeight="1">
      <c r="A120" s="462"/>
      <c r="B120" s="864"/>
      <c r="C120" s="877"/>
      <c r="D120" s="878"/>
      <c r="E120" s="877"/>
      <c r="F120" s="878"/>
      <c r="G120" s="877"/>
      <c r="H120" s="879"/>
      <c r="I120" s="656"/>
      <c r="J120" s="657"/>
      <c r="K120" s="657"/>
      <c r="L120" s="139"/>
      <c r="M120" s="139"/>
      <c r="N120" s="289"/>
      <c r="O120" s="660"/>
      <c r="P120" s="290"/>
      <c r="Q120" s="290"/>
      <c r="R120" s="290"/>
      <c r="S120" s="290"/>
      <c r="T120" s="291"/>
      <c r="U120" s="291"/>
      <c r="V120" s="291"/>
      <c r="W120" s="662"/>
      <c r="X120" s="292"/>
      <c r="Z120" s="138"/>
    </row>
    <row r="121" spans="1:26" ht="16" hidden="1" customHeight="1">
      <c r="A121" s="462"/>
      <c r="B121" s="864"/>
      <c r="C121" s="877"/>
      <c r="D121" s="878"/>
      <c r="E121" s="877"/>
      <c r="F121" s="878"/>
      <c r="G121" s="877"/>
      <c r="H121" s="879"/>
      <c r="I121" s="656"/>
      <c r="J121" s="657"/>
      <c r="K121" s="657"/>
      <c r="L121" s="139"/>
      <c r="M121" s="139"/>
      <c r="N121" s="289"/>
      <c r="O121" s="660"/>
      <c r="P121" s="290"/>
      <c r="Q121" s="290"/>
      <c r="R121" s="290"/>
      <c r="S121" s="290"/>
      <c r="T121" s="291"/>
      <c r="U121" s="291"/>
      <c r="V121" s="291"/>
      <c r="W121" s="662"/>
      <c r="X121" s="292"/>
      <c r="Z121" s="138"/>
    </row>
    <row r="122" spans="1:26" ht="16" hidden="1" customHeight="1">
      <c r="A122" s="462"/>
      <c r="B122" s="864"/>
      <c r="C122" s="877"/>
      <c r="D122" s="878"/>
      <c r="E122" s="877"/>
      <c r="F122" s="878"/>
      <c r="G122" s="877"/>
      <c r="H122" s="879"/>
      <c r="I122" s="656"/>
      <c r="J122" s="657"/>
      <c r="K122" s="657"/>
      <c r="L122" s="139"/>
      <c r="M122" s="139"/>
      <c r="N122" s="289"/>
      <c r="O122" s="660"/>
      <c r="P122" s="290"/>
      <c r="Q122" s="290"/>
      <c r="R122" s="290"/>
      <c r="S122" s="290"/>
      <c r="T122" s="291"/>
      <c r="U122" s="291"/>
      <c r="V122" s="291"/>
      <c r="W122" s="662"/>
      <c r="X122" s="292"/>
      <c r="Z122" s="138"/>
    </row>
    <row r="123" spans="1:26" ht="16" hidden="1" customHeight="1">
      <c r="A123" s="462"/>
      <c r="B123" s="864"/>
      <c r="C123" s="877"/>
      <c r="D123" s="878"/>
      <c r="E123" s="877"/>
      <c r="F123" s="878"/>
      <c r="G123" s="877"/>
      <c r="H123" s="879"/>
      <c r="I123" s="656"/>
      <c r="J123" s="657"/>
      <c r="K123" s="657"/>
      <c r="L123" s="139"/>
      <c r="M123" s="139"/>
      <c r="N123" s="289"/>
      <c r="O123" s="660"/>
      <c r="P123" s="290"/>
      <c r="Q123" s="290"/>
      <c r="R123" s="290"/>
      <c r="S123" s="290"/>
      <c r="T123" s="291"/>
      <c r="U123" s="291"/>
      <c r="V123" s="291"/>
      <c r="W123" s="662"/>
      <c r="X123" s="292"/>
      <c r="Z123" s="138"/>
    </row>
    <row r="124" spans="1:26" ht="16" hidden="1" customHeight="1">
      <c r="A124" s="462"/>
      <c r="B124" s="864"/>
      <c r="C124" s="877"/>
      <c r="D124" s="878"/>
      <c r="E124" s="877"/>
      <c r="F124" s="878"/>
      <c r="G124" s="877"/>
      <c r="H124" s="879"/>
      <c r="I124" s="656"/>
      <c r="J124" s="657"/>
      <c r="K124" s="657"/>
      <c r="L124" s="139"/>
      <c r="M124" s="139"/>
      <c r="N124" s="289"/>
      <c r="O124" s="660"/>
      <c r="P124" s="290"/>
      <c r="Q124" s="290"/>
      <c r="R124" s="290"/>
      <c r="S124" s="290"/>
      <c r="T124" s="291"/>
      <c r="U124" s="291"/>
      <c r="V124" s="291"/>
      <c r="W124" s="662"/>
      <c r="X124" s="292"/>
      <c r="Z124" s="138"/>
    </row>
    <row r="125" spans="1:26" ht="16" hidden="1" customHeight="1">
      <c r="A125" s="462"/>
      <c r="B125" s="864"/>
      <c r="C125" s="877"/>
      <c r="D125" s="878"/>
      <c r="E125" s="877"/>
      <c r="F125" s="878"/>
      <c r="G125" s="877"/>
      <c r="H125" s="879"/>
      <c r="I125" s="656"/>
      <c r="J125" s="657"/>
      <c r="K125" s="657"/>
      <c r="L125" s="139"/>
      <c r="M125" s="139"/>
      <c r="N125" s="289"/>
      <c r="O125" s="660"/>
      <c r="P125" s="290"/>
      <c r="Q125" s="290"/>
      <c r="R125" s="290"/>
      <c r="S125" s="290"/>
      <c r="T125" s="291"/>
      <c r="U125" s="291"/>
      <c r="V125" s="291"/>
      <c r="W125" s="662"/>
      <c r="X125" s="292"/>
      <c r="Z125" s="138"/>
    </row>
    <row r="126" spans="1:26" ht="16" hidden="1" customHeight="1">
      <c r="A126" s="462"/>
      <c r="B126" s="864"/>
      <c r="C126" s="877"/>
      <c r="D126" s="878"/>
      <c r="E126" s="877"/>
      <c r="F126" s="878"/>
      <c r="G126" s="877"/>
      <c r="H126" s="879"/>
      <c r="I126" s="656"/>
      <c r="J126" s="657"/>
      <c r="K126" s="657"/>
      <c r="L126" s="139"/>
      <c r="M126" s="139"/>
      <c r="N126" s="289"/>
      <c r="O126" s="660"/>
      <c r="P126" s="290"/>
      <c r="Q126" s="290"/>
      <c r="R126" s="290"/>
      <c r="S126" s="290"/>
      <c r="T126" s="291"/>
      <c r="U126" s="291"/>
      <c r="V126" s="291"/>
      <c r="W126" s="662"/>
      <c r="X126" s="292"/>
      <c r="Z126" s="138"/>
    </row>
    <row r="127" spans="1:26" ht="16" hidden="1" customHeight="1">
      <c r="A127" s="462"/>
      <c r="B127" s="864"/>
      <c r="C127" s="877"/>
      <c r="D127" s="878"/>
      <c r="E127" s="877"/>
      <c r="F127" s="878"/>
      <c r="G127" s="877"/>
      <c r="H127" s="879"/>
      <c r="I127" s="656"/>
      <c r="J127" s="657"/>
      <c r="K127" s="657"/>
      <c r="L127" s="139"/>
      <c r="M127" s="139"/>
      <c r="N127" s="289"/>
      <c r="O127" s="660"/>
      <c r="P127" s="290"/>
      <c r="Q127" s="290"/>
      <c r="R127" s="290"/>
      <c r="S127" s="290"/>
      <c r="T127" s="291"/>
      <c r="U127" s="291"/>
      <c r="V127" s="291"/>
      <c r="W127" s="662"/>
      <c r="X127" s="292"/>
      <c r="Z127" s="138"/>
    </row>
    <row r="128" spans="1:26">
      <c r="B128" s="91"/>
      <c r="X128" s="158" t="s">
        <v>118</v>
      </c>
      <c r="Z128" s="138"/>
    </row>
    <row r="129" spans="1:26" ht="12.75" customHeight="1">
      <c r="B129" s="70" t="s">
        <v>48</v>
      </c>
      <c r="C129" s="131"/>
      <c r="D129" s="83"/>
      <c r="Z129" s="138"/>
    </row>
    <row r="130" spans="1:26" ht="12.75" customHeight="1">
      <c r="B130" s="84" t="s">
        <v>51</v>
      </c>
      <c r="C130" s="131"/>
      <c r="D130" s="83"/>
      <c r="F130" s="83"/>
      <c r="H130" s="83"/>
      <c r="Q130" s="926" t="s">
        <v>1245</v>
      </c>
      <c r="R130" s="927"/>
      <c r="S130" s="928"/>
      <c r="W130" s="480"/>
      <c r="Z130" s="138"/>
    </row>
    <row r="131" spans="1:26" ht="12.75" customHeight="1">
      <c r="B131" s="84" t="s">
        <v>79</v>
      </c>
      <c r="C131" s="131"/>
      <c r="D131" s="83"/>
      <c r="F131" s="83"/>
      <c r="H131" s="83"/>
      <c r="Q131" s="929"/>
      <c r="R131" s="930"/>
      <c r="S131" s="931"/>
      <c r="W131" s="480"/>
      <c r="Z131" s="138"/>
    </row>
    <row r="132" spans="1:26" ht="12.75" customHeight="1">
      <c r="D132" s="83"/>
      <c r="F132" s="83"/>
      <c r="H132" s="83"/>
      <c r="Q132" s="929"/>
      <c r="R132" s="930"/>
      <c r="S132" s="931"/>
      <c r="W132" s="480"/>
      <c r="Z132" s="138"/>
    </row>
    <row r="133" spans="1:26">
      <c r="Q133" s="929"/>
      <c r="R133" s="930"/>
      <c r="S133" s="931"/>
      <c r="W133" s="480"/>
    </row>
    <row r="134" spans="1:26" s="141" customFormat="1">
      <c r="B134" s="140" t="s">
        <v>189</v>
      </c>
      <c r="C134" s="140"/>
      <c r="D134" s="140"/>
      <c r="E134" s="140"/>
      <c r="F134" s="140"/>
      <c r="K134" s="142"/>
      <c r="L134" s="142"/>
      <c r="M134" s="142"/>
      <c r="Q134" s="929"/>
      <c r="R134" s="930"/>
      <c r="S134" s="931"/>
      <c r="V134" s="143"/>
      <c r="W134" s="481"/>
    </row>
    <row r="135" spans="1:26" s="141" customFormat="1">
      <c r="A135" s="140"/>
      <c r="B135" s="140"/>
      <c r="C135" s="140"/>
      <c r="D135" s="140"/>
      <c r="E135" s="140"/>
      <c r="F135" s="140"/>
      <c r="G135" s="144"/>
      <c r="H135" s="144"/>
      <c r="I135" s="144"/>
      <c r="J135" s="144"/>
      <c r="K135" s="142"/>
      <c r="L135" s="144"/>
      <c r="M135" s="144"/>
      <c r="N135" s="144"/>
      <c r="O135" s="144"/>
      <c r="P135" s="144"/>
      <c r="Q135" s="929"/>
      <c r="R135" s="930"/>
      <c r="S135" s="931"/>
      <c r="W135" s="482"/>
    </row>
    <row r="136" spans="1:26" s="141" customFormat="1">
      <c r="A136" s="140"/>
      <c r="B136" s="140"/>
      <c r="C136" s="140"/>
      <c r="D136" s="140"/>
      <c r="E136" s="140"/>
      <c r="F136" s="140"/>
      <c r="G136" s="144"/>
      <c r="H136" s="144"/>
      <c r="I136" s="144"/>
      <c r="J136" s="144"/>
      <c r="K136" s="142"/>
      <c r="L136" s="144"/>
      <c r="M136" s="144"/>
      <c r="N136" s="144"/>
      <c r="O136" s="144"/>
      <c r="P136" s="144"/>
      <c r="Q136" s="932"/>
      <c r="R136" s="933"/>
      <c r="S136" s="934"/>
      <c r="W136" s="482"/>
    </row>
    <row r="137" spans="1:26" s="141" customFormat="1" ht="28">
      <c r="A137" s="140"/>
      <c r="B137" s="293" t="s">
        <v>28</v>
      </c>
      <c r="C137" s="293" t="s">
        <v>167</v>
      </c>
      <c r="D137" s="880" t="s">
        <v>190</v>
      </c>
      <c r="E137" s="881" t="s">
        <v>191</v>
      </c>
      <c r="F137" s="294"/>
      <c r="G137" s="294"/>
      <c r="H137" s="295"/>
      <c r="I137" s="295"/>
      <c r="J137" s="144"/>
      <c r="K137" s="142"/>
      <c r="L137" s="144"/>
      <c r="M137" s="144"/>
      <c r="N137" s="144"/>
      <c r="O137" s="144"/>
      <c r="P137" s="144"/>
    </row>
    <row r="138" spans="1:26" s="478" customFormat="1" ht="16" hidden="1" customHeight="1">
      <c r="A138" s="140"/>
      <c r="B138" s="475">
        <f>B17</f>
        <v>0</v>
      </c>
      <c r="C138" s="877">
        <v>2</v>
      </c>
      <c r="D138" s="882"/>
      <c r="E138" s="883"/>
      <c r="F138" s="557"/>
      <c r="G138" s="557"/>
      <c r="H138" s="557"/>
      <c r="I138" s="558"/>
      <c r="J138" s="476"/>
      <c r="K138" s="477"/>
      <c r="L138" s="476"/>
      <c r="M138" s="476"/>
      <c r="N138" s="476"/>
      <c r="O138" s="476"/>
      <c r="P138" s="476"/>
    </row>
    <row r="139" spans="1:26" s="479" customFormat="1" ht="16" hidden="1" customHeight="1">
      <c r="B139" s="475">
        <f>B18</f>
        <v>0</v>
      </c>
      <c r="C139" s="877">
        <v>2</v>
      </c>
      <c r="D139" s="882"/>
      <c r="E139" s="883"/>
      <c r="F139" s="557"/>
      <c r="G139" s="557"/>
      <c r="H139" s="557"/>
      <c r="I139" s="558"/>
      <c r="J139" s="476"/>
    </row>
    <row r="140" spans="1:26" s="479" customFormat="1" ht="16" hidden="1" customHeight="1">
      <c r="B140" s="475">
        <f>B19</f>
        <v>0</v>
      </c>
      <c r="C140" s="877">
        <v>2</v>
      </c>
      <c r="D140" s="882"/>
      <c r="E140" s="883"/>
      <c r="F140" s="557"/>
      <c r="G140" s="557"/>
      <c r="H140" s="557"/>
      <c r="I140" s="558"/>
    </row>
    <row r="141" spans="1:26" s="479" customFormat="1" ht="16" customHeight="1">
      <c r="B141" s="475" t="str">
        <f>B20</f>
        <v>Betonloods Ulkesluis</v>
      </c>
      <c r="C141" s="877">
        <v>2</v>
      </c>
      <c r="D141" s="882"/>
      <c r="E141" s="883"/>
      <c r="F141" s="557"/>
      <c r="G141" s="557"/>
      <c r="H141" s="557"/>
      <c r="I141" s="558"/>
    </row>
    <row r="142" spans="1:26" s="479" customFormat="1" ht="16" customHeight="1">
      <c r="B142" s="475" t="str">
        <f>B21</f>
        <v>Noorderpolderhuis</v>
      </c>
      <c r="C142" s="877">
        <v>2</v>
      </c>
      <c r="D142" s="882"/>
      <c r="E142" s="883"/>
      <c r="F142" s="557"/>
      <c r="G142" s="557"/>
      <c r="H142" s="557"/>
      <c r="I142" s="558"/>
    </row>
    <row r="143" spans="1:26" s="479" customFormat="1" ht="16" customHeight="1">
      <c r="B143" s="475" t="str">
        <f>B22</f>
        <v>Oude Zeug Muskusrattenbestrijders</v>
      </c>
      <c r="C143" s="877">
        <v>2</v>
      </c>
      <c r="D143" s="882"/>
      <c r="E143" s="883"/>
      <c r="F143" s="557"/>
      <c r="G143" s="557"/>
      <c r="H143" s="557"/>
      <c r="I143" s="558"/>
    </row>
    <row r="144" spans="1:26" s="479" customFormat="1" ht="16" customHeight="1">
      <c r="B144" s="475" t="str">
        <f>B23</f>
        <v>RWZI Alkmaar Bedrijfsgebouw</v>
      </c>
      <c r="C144" s="877">
        <v>2</v>
      </c>
      <c r="D144" s="882"/>
      <c r="E144" s="883"/>
      <c r="F144" s="557"/>
      <c r="G144" s="557"/>
      <c r="H144" s="557"/>
      <c r="I144" s="558"/>
    </row>
    <row r="145" spans="2:9" s="479" customFormat="1" ht="16" customHeight="1">
      <c r="B145" s="475" t="str">
        <f>B24</f>
        <v>RWZI Beverwijk Bedrijfsgebouw</v>
      </c>
      <c r="C145" s="877">
        <v>2</v>
      </c>
      <c r="D145" s="882"/>
      <c r="E145" s="883"/>
      <c r="F145" s="557"/>
      <c r="G145" s="557"/>
      <c r="H145" s="557"/>
      <c r="I145" s="558"/>
    </row>
    <row r="146" spans="2:9" s="479" customFormat="1" ht="16" customHeight="1">
      <c r="B146" s="475" t="str">
        <f>B25</f>
        <v>RWZI Beverwijk, Slibgebouw</v>
      </c>
      <c r="C146" s="877">
        <v>2</v>
      </c>
      <c r="D146" s="882"/>
      <c r="E146" s="883"/>
      <c r="F146" s="557"/>
      <c r="G146" s="557"/>
      <c r="H146" s="557"/>
      <c r="I146" s="558"/>
    </row>
    <row r="147" spans="2:9" s="479" customFormat="1" ht="16" customHeight="1">
      <c r="B147" s="475" t="str">
        <f>B26</f>
        <v>RWZI De Stolpen</v>
      </c>
      <c r="C147" s="877">
        <v>2</v>
      </c>
      <c r="D147" s="882"/>
      <c r="E147" s="883"/>
      <c r="F147" s="557"/>
      <c r="G147" s="557"/>
      <c r="H147" s="557"/>
      <c r="I147" s="558"/>
    </row>
    <row r="148" spans="2:9" s="479" customFormat="1" ht="16" customHeight="1">
      <c r="B148" s="475" t="str">
        <f>B27</f>
        <v>RWZI Den Helder</v>
      </c>
      <c r="C148" s="877">
        <v>2</v>
      </c>
      <c r="D148" s="882"/>
      <c r="E148" s="883"/>
      <c r="F148" s="557"/>
      <c r="G148" s="557"/>
      <c r="H148" s="557"/>
      <c r="I148" s="558"/>
    </row>
    <row r="149" spans="2:9" s="479" customFormat="1" ht="16" customHeight="1">
      <c r="B149" s="475" t="str">
        <f>B28</f>
        <v>RWZI Geestmerambacht</v>
      </c>
      <c r="C149" s="877">
        <v>2</v>
      </c>
      <c r="D149" s="882"/>
      <c r="E149" s="883"/>
      <c r="F149" s="557"/>
      <c r="G149" s="557"/>
      <c r="H149" s="557"/>
      <c r="I149" s="558"/>
    </row>
    <row r="150" spans="2:9" s="479" customFormat="1" ht="16" customHeight="1">
      <c r="B150" s="475" t="str">
        <f>B29</f>
        <v>RWZI Heiloo</v>
      </c>
      <c r="C150" s="877">
        <v>2</v>
      </c>
      <c r="D150" s="882"/>
      <c r="E150" s="883"/>
      <c r="F150" s="557"/>
      <c r="G150" s="557"/>
      <c r="H150" s="557"/>
      <c r="I150" s="558"/>
    </row>
    <row r="151" spans="2:9">
      <c r="B151" s="475" t="str">
        <f>B30</f>
        <v xml:space="preserve">RWZI Katwoude </v>
      </c>
      <c r="C151" s="877">
        <v>2</v>
      </c>
      <c r="D151" s="882"/>
      <c r="E151" s="883"/>
      <c r="F151" s="557"/>
      <c r="G151" s="557"/>
      <c r="H151" s="557"/>
      <c r="I151" s="558"/>
    </row>
    <row r="152" spans="2:9">
      <c r="B152" s="475" t="str">
        <f>B31</f>
        <v>RWZI Oosthuizen</v>
      </c>
      <c r="C152" s="877">
        <v>2</v>
      </c>
      <c r="D152" s="882"/>
      <c r="E152" s="883"/>
      <c r="F152" s="557"/>
      <c r="G152" s="557"/>
      <c r="H152" s="557"/>
      <c r="I152" s="558"/>
    </row>
    <row r="153" spans="2:9">
      <c r="B153" s="475" t="str">
        <f>B32</f>
        <v>RWZI Ursem</v>
      </c>
      <c r="C153" s="877">
        <v>2</v>
      </c>
      <c r="D153" s="882"/>
      <c r="E153" s="883"/>
      <c r="F153" s="557"/>
      <c r="G153" s="557"/>
      <c r="H153" s="557"/>
      <c r="I153" s="558"/>
    </row>
    <row r="154" spans="2:9">
      <c r="B154" s="475" t="str">
        <f>B33</f>
        <v>RWZI Wervershoof</v>
      </c>
      <c r="C154" s="877">
        <v>2</v>
      </c>
      <c r="D154" s="882"/>
      <c r="E154" s="883"/>
      <c r="F154" s="557"/>
      <c r="G154" s="557"/>
      <c r="H154" s="557"/>
      <c r="I154" s="558"/>
    </row>
    <row r="155" spans="2:9">
      <c r="B155" s="475" t="str">
        <f>B34</f>
        <v>RWZI Wieringen</v>
      </c>
      <c r="C155" s="877">
        <v>2</v>
      </c>
      <c r="D155" s="882"/>
      <c r="E155" s="883"/>
      <c r="F155" s="557"/>
      <c r="G155" s="557"/>
      <c r="H155" s="557"/>
      <c r="I155" s="558"/>
    </row>
    <row r="156" spans="2:9">
      <c r="B156" s="475" t="str">
        <f>B35</f>
        <v>RWZI Wieringermeer</v>
      </c>
      <c r="C156" s="877">
        <v>2</v>
      </c>
      <c r="D156" s="882"/>
      <c r="E156" s="883"/>
      <c r="F156" s="557"/>
      <c r="G156" s="557"/>
      <c r="H156" s="557"/>
      <c r="I156" s="558"/>
    </row>
    <row r="157" spans="2:9">
      <c r="B157" s="475" t="str">
        <f>B36</f>
        <v>RWZI Zaandam Oost Slibgistinggebouw</v>
      </c>
      <c r="C157" s="877">
        <v>2</v>
      </c>
      <c r="D157" s="882"/>
      <c r="E157" s="883"/>
      <c r="F157" s="557"/>
      <c r="G157" s="557"/>
      <c r="H157" s="557"/>
      <c r="I157" s="558"/>
    </row>
    <row r="158" spans="2:9">
      <c r="B158" s="475" t="str">
        <f>B37</f>
        <v>RWZI Zaandam-Oost</v>
      </c>
      <c r="C158" s="877">
        <v>2</v>
      </c>
      <c r="D158" s="882"/>
      <c r="E158" s="883"/>
      <c r="F158" s="557"/>
      <c r="G158" s="557"/>
      <c r="H158" s="557"/>
      <c r="I158" s="558"/>
    </row>
    <row r="159" spans="2:9">
      <c r="B159" s="475" t="str">
        <f>B38</f>
        <v>RWZI Zuidoostbeemster</v>
      </c>
      <c r="C159" s="877">
        <v>2</v>
      </c>
      <c r="D159" s="882"/>
      <c r="E159" s="883"/>
      <c r="F159" s="557"/>
      <c r="G159" s="557"/>
      <c r="H159" s="557"/>
      <c r="I159" s="558"/>
    </row>
    <row r="160" spans="2:9">
      <c r="B160" s="475" t="str">
        <f>B39</f>
        <v>Werf Anna Paulowna</v>
      </c>
      <c r="C160" s="877">
        <v>2</v>
      </c>
      <c r="D160" s="882"/>
      <c r="E160" s="883"/>
      <c r="F160" s="557"/>
      <c r="G160" s="557"/>
      <c r="H160" s="557"/>
      <c r="I160" s="558"/>
    </row>
    <row r="161" spans="2:9">
      <c r="B161" s="475" t="str">
        <f>B40</f>
        <v>Werf Dirkshorn</v>
      </c>
      <c r="C161" s="877">
        <v>2</v>
      </c>
      <c r="D161" s="882"/>
      <c r="E161" s="883"/>
      <c r="F161" s="557"/>
      <c r="G161" s="557"/>
      <c r="H161" s="557"/>
      <c r="I161" s="558"/>
    </row>
    <row r="162" spans="2:9">
      <c r="B162" s="475" t="str">
        <f t="shared" ref="B162:B168" si="20">B41</f>
        <v>Werf Kwadijk</v>
      </c>
      <c r="C162" s="877">
        <v>2</v>
      </c>
      <c r="D162" s="882"/>
      <c r="E162" s="883"/>
      <c r="F162" s="557"/>
      <c r="G162" s="557"/>
      <c r="H162" s="557"/>
      <c r="I162" s="558"/>
    </row>
    <row r="163" spans="2:9">
      <c r="B163" s="475" t="str">
        <f t="shared" si="20"/>
        <v>Werf Zwaagdijk</v>
      </c>
      <c r="C163" s="877">
        <v>2</v>
      </c>
      <c r="D163" s="882"/>
      <c r="E163" s="883"/>
      <c r="F163" s="557"/>
      <c r="G163" s="557"/>
      <c r="H163" s="557"/>
      <c r="I163" s="558"/>
    </row>
    <row r="164" spans="2:9">
      <c r="B164" s="475" t="str">
        <f t="shared" si="20"/>
        <v>Werf Zwaagdijk</v>
      </c>
      <c r="C164" s="877">
        <v>2</v>
      </c>
      <c r="D164" s="882"/>
      <c r="E164" s="883"/>
      <c r="F164" s="557"/>
      <c r="G164" s="557"/>
      <c r="H164" s="557"/>
      <c r="I164" s="558"/>
    </row>
    <row r="165" spans="2:9">
      <c r="B165" s="475" t="str">
        <f t="shared" si="20"/>
        <v>Zand tegen Zee</v>
      </c>
      <c r="C165" s="877">
        <v>2</v>
      </c>
      <c r="D165" s="882"/>
      <c r="E165" s="883"/>
      <c r="F165" s="557"/>
      <c r="G165" s="557"/>
      <c r="H165" s="557"/>
      <c r="I165" s="558"/>
    </row>
    <row r="166" spans="2:9">
      <c r="B166" s="475" t="str">
        <f t="shared" si="20"/>
        <v>RWZI Evertsekoog</v>
      </c>
      <c r="C166" s="877">
        <v>2</v>
      </c>
      <c r="D166" s="882"/>
      <c r="E166" s="883"/>
      <c r="F166" s="557"/>
      <c r="G166" s="557"/>
      <c r="H166" s="557"/>
      <c r="I166" s="558"/>
    </row>
    <row r="167" spans="2:9">
      <c r="B167" s="475" t="str">
        <f t="shared" si="20"/>
        <v>SDI  Beverwijk Sanitairgebouw</v>
      </c>
      <c r="C167" s="877">
        <v>2</v>
      </c>
      <c r="D167" s="882"/>
      <c r="E167" s="883"/>
      <c r="F167" s="557"/>
      <c r="G167" s="557"/>
      <c r="H167" s="557"/>
      <c r="I167" s="558"/>
    </row>
    <row r="168" spans="2:9">
      <c r="B168" s="475" t="str">
        <f t="shared" si="20"/>
        <v>SDI Beverwijk Bedrijfsgebouw</v>
      </c>
      <c r="C168" s="877">
        <v>2</v>
      </c>
      <c r="D168" s="882"/>
      <c r="E168" s="883"/>
      <c r="F168" s="557"/>
      <c r="G168" s="557"/>
      <c r="H168" s="557"/>
      <c r="I168" s="558"/>
    </row>
    <row r="169" spans="2:9" hidden="1">
      <c r="B169" s="475"/>
      <c r="C169" s="877"/>
      <c r="D169" s="882"/>
      <c r="E169" s="883"/>
      <c r="F169" s="557"/>
      <c r="G169" s="557"/>
      <c r="H169" s="557"/>
      <c r="I169" s="558"/>
    </row>
    <row r="170" spans="2:9" hidden="1">
      <c r="B170" s="475"/>
      <c r="C170" s="877"/>
      <c r="D170" s="882"/>
      <c r="E170" s="883"/>
      <c r="F170" s="557"/>
      <c r="G170" s="557"/>
      <c r="H170" s="557"/>
      <c r="I170" s="558"/>
    </row>
    <row r="171" spans="2:9" hidden="1">
      <c r="B171" s="475"/>
      <c r="C171" s="877"/>
      <c r="D171" s="882"/>
      <c r="E171" s="883"/>
      <c r="F171" s="557"/>
      <c r="G171" s="557"/>
      <c r="H171" s="557"/>
      <c r="I171" s="558"/>
    </row>
    <row r="172" spans="2:9" hidden="1">
      <c r="B172" s="475"/>
      <c r="C172" s="877"/>
      <c r="D172" s="882"/>
      <c r="E172" s="883"/>
      <c r="F172" s="557"/>
      <c r="G172" s="557"/>
      <c r="H172" s="557"/>
      <c r="I172" s="558"/>
    </row>
    <row r="173" spans="2:9" hidden="1">
      <c r="B173" s="475"/>
      <c r="C173" s="877"/>
      <c r="D173" s="882"/>
      <c r="E173" s="883"/>
      <c r="F173" s="557"/>
      <c r="G173" s="557"/>
      <c r="H173" s="557"/>
      <c r="I173" s="558"/>
    </row>
    <row r="174" spans="2:9" hidden="1">
      <c r="B174" s="475"/>
      <c r="C174" s="877"/>
      <c r="D174" s="882"/>
      <c r="E174" s="883"/>
      <c r="F174" s="557"/>
      <c r="G174" s="557"/>
      <c r="H174" s="557"/>
      <c r="I174" s="558"/>
    </row>
    <row r="175" spans="2:9" hidden="1">
      <c r="B175" s="475"/>
      <c r="C175" s="877"/>
      <c r="D175" s="882"/>
      <c r="E175" s="883"/>
      <c r="F175" s="557"/>
      <c r="G175" s="557"/>
      <c r="H175" s="557"/>
      <c r="I175" s="558"/>
    </row>
    <row r="176" spans="2:9" hidden="1">
      <c r="B176" s="475"/>
      <c r="C176" s="877"/>
      <c r="D176" s="882"/>
      <c r="E176" s="883"/>
      <c r="F176" s="557"/>
      <c r="G176" s="557"/>
      <c r="H176" s="557"/>
      <c r="I176" s="558"/>
    </row>
    <row r="177" spans="2:9" hidden="1">
      <c r="B177" s="475"/>
      <c r="C177" s="877"/>
      <c r="D177" s="882"/>
      <c r="E177" s="883"/>
      <c r="F177" s="557"/>
      <c r="G177" s="557"/>
      <c r="H177" s="557"/>
      <c r="I177" s="558"/>
    </row>
    <row r="178" spans="2:9" hidden="1">
      <c r="B178" s="475"/>
      <c r="C178" s="877"/>
      <c r="D178" s="882"/>
      <c r="E178" s="883"/>
      <c r="F178" s="557"/>
      <c r="G178" s="557"/>
      <c r="H178" s="557"/>
      <c r="I178" s="558"/>
    </row>
    <row r="179" spans="2:9" hidden="1">
      <c r="B179" s="475"/>
      <c r="C179" s="877"/>
      <c r="D179" s="882"/>
      <c r="E179" s="883"/>
      <c r="F179" s="557"/>
      <c r="G179" s="557"/>
      <c r="H179" s="557"/>
      <c r="I179" s="558"/>
    </row>
    <row r="180" spans="2:9" hidden="1">
      <c r="B180" s="475"/>
      <c r="C180" s="877"/>
      <c r="D180" s="882"/>
      <c r="E180" s="883"/>
      <c r="F180" s="557"/>
      <c r="G180" s="557"/>
      <c r="H180" s="557"/>
      <c r="I180" s="558"/>
    </row>
    <row r="181" spans="2:9" hidden="1">
      <c r="B181" s="475"/>
      <c r="C181" s="877"/>
      <c r="D181" s="882"/>
      <c r="E181" s="883"/>
      <c r="F181" s="557"/>
      <c r="G181" s="557"/>
      <c r="H181" s="557"/>
      <c r="I181" s="558"/>
    </row>
    <row r="182" spans="2:9" hidden="1">
      <c r="B182" s="475"/>
      <c r="C182" s="877"/>
      <c r="D182" s="882"/>
      <c r="E182" s="883"/>
      <c r="F182" s="557"/>
      <c r="G182" s="557"/>
      <c r="H182" s="557"/>
      <c r="I182" s="558"/>
    </row>
    <row r="183" spans="2:9" hidden="1">
      <c r="B183" s="475"/>
      <c r="C183" s="877"/>
      <c r="D183" s="882"/>
      <c r="E183" s="883"/>
      <c r="F183" s="557"/>
      <c r="G183" s="557"/>
      <c r="H183" s="557"/>
      <c r="I183" s="558"/>
    </row>
    <row r="184" spans="2:9" hidden="1">
      <c r="B184" s="475"/>
      <c r="C184" s="877"/>
      <c r="D184" s="882"/>
      <c r="E184" s="883"/>
      <c r="F184" s="557"/>
      <c r="G184" s="557"/>
      <c r="H184" s="557"/>
      <c r="I184" s="558"/>
    </row>
    <row r="185" spans="2:9" hidden="1">
      <c r="B185" s="475"/>
      <c r="C185" s="877"/>
      <c r="D185" s="882"/>
      <c r="E185" s="883"/>
      <c r="F185" s="557"/>
      <c r="G185" s="557"/>
      <c r="H185" s="557"/>
      <c r="I185" s="558"/>
    </row>
    <row r="186" spans="2:9" hidden="1">
      <c r="B186" s="475"/>
      <c r="C186" s="877"/>
      <c r="D186" s="882"/>
      <c r="E186" s="883"/>
      <c r="F186" s="557"/>
      <c r="G186" s="557"/>
      <c r="H186" s="557"/>
      <c r="I186" s="558"/>
    </row>
    <row r="187" spans="2:9" hidden="1">
      <c r="B187" s="475"/>
      <c r="C187" s="877"/>
      <c r="D187" s="882"/>
      <c r="E187" s="883"/>
      <c r="F187" s="557"/>
      <c r="G187" s="557"/>
      <c r="H187" s="557"/>
      <c r="I187" s="558"/>
    </row>
    <row r="188" spans="2:9" hidden="1">
      <c r="B188" s="475"/>
      <c r="C188" s="877"/>
      <c r="D188" s="882"/>
      <c r="E188" s="883"/>
      <c r="F188" s="557"/>
      <c r="G188" s="557"/>
      <c r="H188" s="557"/>
      <c r="I188" s="558"/>
    </row>
    <row r="189" spans="2:9" hidden="1">
      <c r="B189" s="475"/>
      <c r="C189" s="877"/>
      <c r="D189" s="882"/>
      <c r="E189" s="883"/>
      <c r="F189" s="557"/>
      <c r="G189" s="557"/>
      <c r="H189" s="557"/>
      <c r="I189" s="558"/>
    </row>
    <row r="190" spans="2:9" hidden="1">
      <c r="B190" s="475"/>
      <c r="C190" s="877"/>
      <c r="D190" s="882"/>
      <c r="E190" s="883"/>
      <c r="F190" s="557"/>
      <c r="G190" s="557"/>
      <c r="H190" s="557"/>
      <c r="I190" s="558"/>
    </row>
    <row r="191" spans="2:9" hidden="1">
      <c r="B191" s="475"/>
      <c r="C191" s="877"/>
      <c r="D191" s="882"/>
      <c r="E191" s="883"/>
      <c r="F191" s="557"/>
      <c r="G191" s="557"/>
      <c r="H191" s="557"/>
      <c r="I191" s="558"/>
    </row>
    <row r="192" spans="2:9" hidden="1">
      <c r="B192" s="475"/>
      <c r="C192" s="877"/>
      <c r="D192" s="882"/>
      <c r="E192" s="883"/>
      <c r="F192" s="557"/>
      <c r="G192" s="557"/>
      <c r="H192" s="557"/>
      <c r="I192" s="558"/>
    </row>
    <row r="193" spans="2:9" hidden="1">
      <c r="B193" s="475"/>
      <c r="C193" s="877"/>
      <c r="D193" s="882"/>
      <c r="E193" s="883"/>
      <c r="F193" s="557"/>
      <c r="G193" s="557"/>
      <c r="H193" s="557"/>
      <c r="I193" s="558"/>
    </row>
    <row r="194" spans="2:9" hidden="1">
      <c r="B194" s="475"/>
      <c r="C194" s="877"/>
      <c r="D194" s="882"/>
      <c r="E194" s="883"/>
      <c r="F194" s="557"/>
      <c r="G194" s="557"/>
      <c r="H194" s="557"/>
      <c r="I194" s="558"/>
    </row>
    <row r="195" spans="2:9" hidden="1">
      <c r="B195" s="475"/>
      <c r="C195" s="877"/>
      <c r="D195" s="882"/>
      <c r="E195" s="883"/>
      <c r="F195" s="557"/>
      <c r="G195" s="557"/>
      <c r="H195" s="557"/>
      <c r="I195" s="558"/>
    </row>
    <row r="196" spans="2:9" hidden="1">
      <c r="B196" s="475"/>
      <c r="C196" s="877"/>
      <c r="D196" s="882"/>
      <c r="E196" s="883"/>
      <c r="F196" s="557"/>
      <c r="G196" s="557"/>
      <c r="H196" s="557"/>
      <c r="I196" s="558"/>
    </row>
    <row r="197" spans="2:9" hidden="1">
      <c r="B197" s="475"/>
      <c r="C197" s="877"/>
      <c r="D197" s="882"/>
      <c r="E197" s="883"/>
      <c r="F197" s="557"/>
      <c r="G197" s="557"/>
      <c r="H197" s="557"/>
      <c r="I197" s="558"/>
    </row>
    <row r="198" spans="2:9" hidden="1">
      <c r="B198" s="475"/>
      <c r="C198" s="877"/>
      <c r="D198" s="882"/>
      <c r="E198" s="883"/>
      <c r="F198" s="557"/>
      <c r="G198" s="557"/>
      <c r="H198" s="557"/>
      <c r="I198" s="558"/>
    </row>
    <row r="199" spans="2:9" hidden="1">
      <c r="B199" s="475"/>
      <c r="C199" s="877"/>
      <c r="D199" s="882"/>
      <c r="E199" s="883"/>
      <c r="F199" s="557"/>
      <c r="G199" s="557"/>
      <c r="H199" s="557"/>
      <c r="I199" s="558"/>
    </row>
    <row r="200" spans="2:9" hidden="1">
      <c r="B200" s="475"/>
      <c r="C200" s="877"/>
      <c r="D200" s="882"/>
      <c r="E200" s="883"/>
      <c r="F200" s="557"/>
      <c r="G200" s="557"/>
      <c r="H200" s="557"/>
      <c r="I200" s="558"/>
    </row>
    <row r="201" spans="2:9" hidden="1">
      <c r="B201" s="475"/>
      <c r="C201" s="877"/>
      <c r="D201" s="882"/>
      <c r="E201" s="883"/>
      <c r="F201" s="557"/>
      <c r="G201" s="557"/>
      <c r="H201" s="557"/>
      <c r="I201" s="558"/>
    </row>
    <row r="202" spans="2:9" hidden="1">
      <c r="B202" s="475"/>
      <c r="C202" s="877"/>
      <c r="D202" s="882"/>
      <c r="E202" s="883"/>
      <c r="F202" s="557"/>
      <c r="G202" s="557"/>
      <c r="H202" s="557"/>
      <c r="I202" s="558"/>
    </row>
    <row r="203" spans="2:9" hidden="1">
      <c r="B203" s="475"/>
      <c r="C203" s="877"/>
      <c r="D203" s="882"/>
      <c r="E203" s="883"/>
      <c r="F203" s="557"/>
      <c r="G203" s="557"/>
      <c r="H203" s="557"/>
      <c r="I203" s="558"/>
    </row>
    <row r="204" spans="2:9" hidden="1">
      <c r="B204" s="475"/>
      <c r="C204" s="877"/>
      <c r="D204" s="882"/>
      <c r="E204" s="883"/>
      <c r="F204" s="557"/>
      <c r="G204" s="557"/>
      <c r="H204" s="557"/>
      <c r="I204" s="558"/>
    </row>
    <row r="205" spans="2:9" hidden="1">
      <c r="B205" s="475"/>
      <c r="C205" s="877"/>
      <c r="D205" s="882"/>
      <c r="E205" s="883"/>
      <c r="F205" s="557"/>
      <c r="G205" s="557"/>
      <c r="H205" s="557"/>
      <c r="I205" s="558"/>
    </row>
    <row r="206" spans="2:9" hidden="1">
      <c r="B206" s="475"/>
      <c r="C206" s="877"/>
      <c r="D206" s="882"/>
      <c r="E206" s="883"/>
      <c r="F206" s="557"/>
      <c r="G206" s="557"/>
      <c r="H206" s="557"/>
      <c r="I206" s="558"/>
    </row>
    <row r="207" spans="2:9" hidden="1">
      <c r="B207" s="475"/>
      <c r="C207" s="877"/>
      <c r="D207" s="882"/>
      <c r="E207" s="883"/>
      <c r="F207" s="557"/>
      <c r="G207" s="557"/>
      <c r="H207" s="557"/>
      <c r="I207" s="558"/>
    </row>
    <row r="208" spans="2:9" hidden="1">
      <c r="B208" s="475"/>
      <c r="C208" s="877"/>
      <c r="D208" s="882"/>
      <c r="E208" s="883"/>
      <c r="F208" s="557"/>
      <c r="G208" s="557"/>
      <c r="H208" s="557"/>
      <c r="I208" s="558"/>
    </row>
    <row r="209" spans="2:9" hidden="1">
      <c r="B209" s="475"/>
      <c r="C209" s="877"/>
      <c r="D209" s="882"/>
      <c r="E209" s="883"/>
      <c r="F209" s="557"/>
      <c r="G209" s="557"/>
      <c r="H209" s="557"/>
      <c r="I209" s="558"/>
    </row>
    <row r="210" spans="2:9" hidden="1">
      <c r="B210" s="475"/>
      <c r="C210" s="877"/>
      <c r="D210" s="882"/>
      <c r="E210" s="883"/>
      <c r="F210" s="557"/>
      <c r="G210" s="557"/>
      <c r="H210" s="557"/>
      <c r="I210" s="558"/>
    </row>
    <row r="211" spans="2:9" hidden="1">
      <c r="B211" s="475"/>
      <c r="C211" s="877"/>
      <c r="D211" s="882"/>
      <c r="E211" s="883"/>
      <c r="F211" s="557"/>
      <c r="G211" s="557"/>
      <c r="H211" s="557"/>
      <c r="I211" s="558"/>
    </row>
    <row r="212" spans="2:9" hidden="1">
      <c r="B212" s="475"/>
      <c r="C212" s="877"/>
      <c r="D212" s="882"/>
      <c r="E212" s="883"/>
      <c r="F212" s="557"/>
      <c r="G212" s="557"/>
      <c r="H212" s="557"/>
      <c r="I212" s="558"/>
    </row>
    <row r="213" spans="2:9" hidden="1">
      <c r="B213" s="475"/>
      <c r="C213" s="877"/>
      <c r="D213" s="882"/>
      <c r="E213" s="883"/>
      <c r="F213" s="557"/>
      <c r="G213" s="557"/>
      <c r="H213" s="557"/>
      <c r="I213" s="558"/>
    </row>
    <row r="214" spans="2:9" hidden="1">
      <c r="B214" s="475"/>
      <c r="C214" s="877"/>
      <c r="D214" s="882"/>
      <c r="E214" s="883"/>
      <c r="F214" s="557"/>
      <c r="G214" s="557"/>
      <c r="H214" s="557"/>
      <c r="I214" s="558"/>
    </row>
    <row r="215" spans="2:9" hidden="1">
      <c r="B215" s="475"/>
      <c r="C215" s="877"/>
      <c r="D215" s="882"/>
      <c r="E215" s="883"/>
      <c r="F215" s="557"/>
      <c r="G215" s="557"/>
      <c r="H215" s="557"/>
      <c r="I215" s="558"/>
    </row>
    <row r="216" spans="2:9" hidden="1">
      <c r="B216" s="475"/>
      <c r="C216" s="877"/>
      <c r="D216" s="882"/>
      <c r="E216" s="883"/>
      <c r="F216" s="557"/>
      <c r="G216" s="557"/>
      <c r="H216" s="557"/>
      <c r="I216" s="558"/>
    </row>
    <row r="217" spans="2:9" hidden="1">
      <c r="B217" s="475"/>
      <c r="C217" s="877"/>
      <c r="D217" s="882"/>
      <c r="E217" s="883"/>
      <c r="F217" s="557"/>
      <c r="G217" s="557"/>
      <c r="H217" s="557"/>
      <c r="I217" s="558"/>
    </row>
    <row r="218" spans="2:9" hidden="1">
      <c r="B218" s="475"/>
      <c r="C218" s="877"/>
      <c r="D218" s="882"/>
      <c r="E218" s="883"/>
      <c r="F218" s="557"/>
      <c r="G218" s="557"/>
      <c r="H218" s="557"/>
      <c r="I218" s="558"/>
    </row>
    <row r="219" spans="2:9" hidden="1">
      <c r="B219" s="475"/>
      <c r="C219" s="877"/>
      <c r="D219" s="882"/>
      <c r="E219" s="883"/>
      <c r="F219" s="557"/>
      <c r="G219" s="557"/>
      <c r="H219" s="557"/>
      <c r="I219" s="558"/>
    </row>
    <row r="220" spans="2:9" hidden="1">
      <c r="B220" s="475"/>
      <c r="C220" s="877"/>
      <c r="D220" s="882"/>
      <c r="E220" s="883"/>
      <c r="F220" s="557"/>
      <c r="G220" s="557"/>
      <c r="H220" s="557"/>
      <c r="I220" s="558"/>
    </row>
    <row r="221" spans="2:9" hidden="1">
      <c r="B221" s="475"/>
      <c r="C221" s="877"/>
      <c r="D221" s="882"/>
      <c r="E221" s="883"/>
      <c r="F221" s="557"/>
      <c r="G221" s="557"/>
      <c r="H221" s="557"/>
      <c r="I221" s="558"/>
    </row>
    <row r="222" spans="2:9" hidden="1">
      <c r="B222" s="475"/>
      <c r="C222" s="877"/>
      <c r="D222" s="882"/>
      <c r="E222" s="883"/>
      <c r="F222" s="557"/>
      <c r="G222" s="557"/>
      <c r="H222" s="557"/>
      <c r="I222" s="558"/>
    </row>
    <row r="223" spans="2:9" hidden="1">
      <c r="B223" s="475"/>
      <c r="C223" s="877"/>
      <c r="D223" s="882"/>
      <c r="E223" s="883"/>
      <c r="F223" s="557"/>
      <c r="G223" s="557"/>
      <c r="H223" s="557"/>
      <c r="I223" s="558"/>
    </row>
    <row r="224" spans="2:9" hidden="1">
      <c r="B224" s="475"/>
      <c r="C224" s="877"/>
      <c r="D224" s="882"/>
      <c r="E224" s="883"/>
      <c r="F224" s="557"/>
      <c r="G224" s="557"/>
      <c r="H224" s="557"/>
      <c r="I224" s="558"/>
    </row>
    <row r="225" spans="2:9" hidden="1">
      <c r="B225" s="475"/>
      <c r="C225" s="877"/>
      <c r="D225" s="882"/>
      <c r="E225" s="883"/>
      <c r="F225" s="557"/>
      <c r="G225" s="557"/>
      <c r="H225" s="557"/>
      <c r="I225" s="558"/>
    </row>
    <row r="226" spans="2:9" hidden="1">
      <c r="B226" s="475"/>
      <c r="C226" s="877"/>
      <c r="D226" s="882"/>
      <c r="E226" s="883"/>
      <c r="F226" s="557"/>
      <c r="G226" s="557"/>
      <c r="H226" s="557"/>
      <c r="I226" s="558"/>
    </row>
    <row r="227" spans="2:9" hidden="1">
      <c r="B227" s="475"/>
      <c r="C227" s="877"/>
      <c r="D227" s="882"/>
      <c r="E227" s="883"/>
      <c r="F227" s="557"/>
      <c r="G227" s="557"/>
      <c r="H227" s="557"/>
      <c r="I227" s="558"/>
    </row>
    <row r="228" spans="2:9" hidden="1">
      <c r="B228" s="475"/>
      <c r="C228" s="877"/>
      <c r="D228" s="882"/>
      <c r="E228" s="883"/>
      <c r="F228" s="557"/>
      <c r="G228" s="557"/>
      <c r="H228" s="557"/>
      <c r="I228" s="558"/>
    </row>
    <row r="229" spans="2:9" hidden="1">
      <c r="B229" s="475"/>
      <c r="C229" s="877"/>
      <c r="D229" s="882"/>
      <c r="E229" s="883"/>
      <c r="F229" s="557"/>
      <c r="G229" s="557"/>
      <c r="H229" s="557"/>
      <c r="I229" s="558"/>
    </row>
    <row r="230" spans="2:9" hidden="1">
      <c r="B230" s="475"/>
      <c r="C230" s="877"/>
      <c r="D230" s="882"/>
      <c r="E230" s="883"/>
      <c r="F230" s="557"/>
      <c r="G230" s="557"/>
      <c r="H230" s="557"/>
      <c r="I230" s="558"/>
    </row>
    <row r="231" spans="2:9" hidden="1">
      <c r="B231" s="475"/>
      <c r="C231" s="877"/>
      <c r="D231" s="882"/>
      <c r="E231" s="883"/>
      <c r="F231" s="557"/>
      <c r="G231" s="557"/>
      <c r="H231" s="557"/>
      <c r="I231" s="558"/>
    </row>
    <row r="232" spans="2:9" hidden="1">
      <c r="B232" s="475"/>
      <c r="C232" s="877"/>
      <c r="D232" s="882"/>
      <c r="E232" s="883"/>
      <c r="F232" s="557"/>
      <c r="G232" s="557"/>
      <c r="H232" s="557"/>
      <c r="I232" s="558"/>
    </row>
    <row r="233" spans="2:9" hidden="1">
      <c r="B233" s="475"/>
      <c r="C233" s="877"/>
      <c r="D233" s="882"/>
      <c r="E233" s="883"/>
      <c r="F233" s="557"/>
      <c r="G233" s="557"/>
      <c r="H233" s="557"/>
      <c r="I233" s="558"/>
    </row>
    <row r="234" spans="2:9" hidden="1">
      <c r="B234" s="475"/>
      <c r="C234" s="877"/>
      <c r="D234" s="882"/>
      <c r="E234" s="883"/>
      <c r="F234" s="557"/>
      <c r="G234" s="557"/>
      <c r="H234" s="557"/>
      <c r="I234" s="558"/>
    </row>
    <row r="235" spans="2:9" hidden="1">
      <c r="B235" s="475"/>
      <c r="C235" s="877"/>
      <c r="D235" s="882"/>
      <c r="E235" s="883"/>
      <c r="F235" s="557"/>
      <c r="G235" s="557"/>
      <c r="H235" s="557"/>
      <c r="I235" s="558"/>
    </row>
    <row r="236" spans="2:9" hidden="1">
      <c r="B236" s="475"/>
      <c r="C236" s="877"/>
      <c r="D236" s="882"/>
      <c r="E236" s="883"/>
      <c r="F236" s="557"/>
      <c r="G236" s="557"/>
      <c r="H236" s="557"/>
      <c r="I236" s="558"/>
    </row>
    <row r="237" spans="2:9" hidden="1">
      <c r="B237" s="475"/>
      <c r="C237" s="877"/>
      <c r="D237" s="882"/>
      <c r="E237" s="883"/>
      <c r="F237" s="557"/>
      <c r="G237" s="557"/>
      <c r="H237" s="557"/>
      <c r="I237" s="558"/>
    </row>
    <row r="238" spans="2:9" hidden="1">
      <c r="B238" s="475"/>
      <c r="C238" s="877"/>
      <c r="D238" s="882"/>
      <c r="E238" s="883"/>
      <c r="F238" s="557"/>
      <c r="G238" s="557"/>
      <c r="H238" s="557"/>
      <c r="I238" s="558"/>
    </row>
    <row r="239" spans="2:9" hidden="1">
      <c r="B239" s="475"/>
      <c r="C239" s="877"/>
      <c r="D239" s="882"/>
      <c r="E239" s="883"/>
      <c r="F239" s="557"/>
      <c r="G239" s="557"/>
      <c r="H239" s="557"/>
      <c r="I239" s="558"/>
    </row>
    <row r="240" spans="2:9" hidden="1">
      <c r="B240" s="475"/>
      <c r="C240" s="877"/>
      <c r="D240" s="882"/>
      <c r="E240" s="883"/>
      <c r="F240" s="557"/>
      <c r="G240" s="557"/>
      <c r="H240" s="557"/>
      <c r="I240" s="558"/>
    </row>
    <row r="241" spans="2:16" hidden="1">
      <c r="B241" s="475"/>
      <c r="C241" s="877"/>
      <c r="D241" s="882"/>
      <c r="E241" s="883"/>
      <c r="F241" s="557"/>
      <c r="G241" s="557"/>
      <c r="H241" s="557"/>
      <c r="I241" s="558"/>
    </row>
    <row r="242" spans="2:16" hidden="1">
      <c r="B242" s="475"/>
      <c r="C242" s="877"/>
      <c r="D242" s="882"/>
      <c r="E242" s="883"/>
      <c r="F242" s="557"/>
      <c r="G242" s="557"/>
      <c r="H242" s="557"/>
      <c r="I242" s="558"/>
    </row>
    <row r="243" spans="2:16" hidden="1">
      <c r="B243" s="475"/>
      <c r="C243" s="877"/>
      <c r="D243" s="882"/>
      <c r="E243" s="883"/>
      <c r="F243" s="557"/>
      <c r="G243" s="557"/>
      <c r="H243" s="557"/>
      <c r="I243" s="558"/>
    </row>
    <row r="244" spans="2:16" hidden="1">
      <c r="B244" s="475"/>
      <c r="C244" s="877"/>
      <c r="D244" s="882"/>
      <c r="E244" s="883"/>
      <c r="F244" s="557"/>
      <c r="G244" s="557"/>
      <c r="H244" s="557"/>
      <c r="I244" s="558"/>
    </row>
    <row r="245" spans="2:16" hidden="1">
      <c r="B245" s="475"/>
      <c r="C245" s="877"/>
      <c r="D245" s="882"/>
      <c r="E245" s="883"/>
      <c r="F245" s="557"/>
      <c r="G245" s="557"/>
      <c r="H245" s="557"/>
      <c r="I245" s="558"/>
    </row>
    <row r="246" spans="2:16" hidden="1">
      <c r="B246" s="475"/>
      <c r="C246" s="877"/>
      <c r="D246" s="882"/>
      <c r="E246" s="883"/>
      <c r="F246" s="557"/>
      <c r="G246" s="557"/>
      <c r="H246" s="557"/>
      <c r="I246" s="558"/>
    </row>
    <row r="247" spans="2:16" hidden="1">
      <c r="B247" s="475"/>
      <c r="C247" s="877"/>
      <c r="D247" s="882"/>
      <c r="E247" s="883"/>
      <c r="F247" s="557"/>
      <c r="G247" s="557"/>
      <c r="H247" s="557"/>
      <c r="I247" s="558"/>
    </row>
    <row r="248" spans="2:16" hidden="1">
      <c r="B248" s="475"/>
      <c r="C248" s="877"/>
      <c r="D248" s="882"/>
      <c r="E248" s="883"/>
      <c r="F248" s="557"/>
      <c r="G248" s="557"/>
      <c r="H248" s="557"/>
      <c r="I248" s="558"/>
    </row>
    <row r="252" spans="2:16"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</row>
    <row r="253" spans="2:16"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</row>
    <row r="254" spans="2:16">
      <c r="B254" s="146" t="s">
        <v>17</v>
      </c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</row>
    <row r="255" spans="2:16">
      <c r="B255" s="588" t="s">
        <v>192</v>
      </c>
      <c r="C255" s="925" t="s">
        <v>193</v>
      </c>
      <c r="D255" s="925"/>
      <c r="E255" s="925"/>
      <c r="F255" s="925"/>
      <c r="G255" s="925"/>
      <c r="H255" s="925"/>
      <c r="I255" s="925"/>
      <c r="J255" s="76"/>
    </row>
    <row r="256" spans="2:16">
      <c r="B256" s="588"/>
      <c r="C256" s="925"/>
      <c r="D256" s="925"/>
      <c r="E256" s="925"/>
      <c r="F256" s="925"/>
      <c r="G256" s="925"/>
      <c r="H256" s="925"/>
      <c r="I256" s="925"/>
      <c r="J256" s="76"/>
    </row>
    <row r="257" spans="2:10">
      <c r="B257" s="588"/>
      <c r="C257" s="30" t="s">
        <v>194</v>
      </c>
      <c r="D257" s="30"/>
      <c r="E257" s="30"/>
      <c r="F257" s="30"/>
      <c r="G257" s="30"/>
      <c r="H257" s="30"/>
      <c r="J257" s="76"/>
    </row>
    <row r="258" spans="2:10">
      <c r="B258" s="588"/>
      <c r="C258" s="30"/>
      <c r="D258" s="30"/>
      <c r="E258" s="30"/>
      <c r="F258" s="30"/>
      <c r="G258" s="30"/>
      <c r="H258" s="30"/>
      <c r="J258" s="76"/>
    </row>
    <row r="259" spans="2:10">
      <c r="B259" s="588" t="s">
        <v>195</v>
      </c>
      <c r="C259" s="30" t="s">
        <v>196</v>
      </c>
      <c r="D259" s="30"/>
      <c r="E259" s="30"/>
      <c r="F259" s="30"/>
      <c r="G259" s="30"/>
      <c r="H259" s="30"/>
      <c r="J259" s="76"/>
    </row>
    <row r="260" spans="2:10">
      <c r="B260" s="588"/>
      <c r="C260" s="30" t="s">
        <v>197</v>
      </c>
      <c r="D260" s="30"/>
      <c r="E260" s="30"/>
      <c r="F260" s="30"/>
      <c r="G260" s="30"/>
      <c r="H260" s="30"/>
      <c r="J260" s="76"/>
    </row>
    <row r="261" spans="2:10">
      <c r="B261" s="588"/>
      <c r="C261" s="30" t="s">
        <v>198</v>
      </c>
      <c r="D261" s="30"/>
      <c r="E261" s="30"/>
      <c r="F261" s="30"/>
      <c r="G261" s="30"/>
      <c r="H261" s="30"/>
      <c r="J261" s="76"/>
    </row>
    <row r="262" spans="2:10">
      <c r="B262" s="74"/>
      <c r="C262" s="74"/>
      <c r="E262" s="75"/>
      <c r="F262" s="75"/>
      <c r="I262" s="76"/>
      <c r="J262" s="76"/>
    </row>
    <row r="265" spans="2:10">
      <c r="B265" s="30"/>
      <c r="C265" s="30"/>
    </row>
    <row r="266" spans="2:10">
      <c r="B266" s="30"/>
      <c r="C266" s="30"/>
    </row>
    <row r="267" spans="2:10">
      <c r="B267" s="30"/>
      <c r="C267" s="30"/>
    </row>
    <row r="268" spans="2:10">
      <c r="B268" s="30"/>
      <c r="C268" s="30"/>
    </row>
    <row r="269" spans="2:10">
      <c r="B269" s="30"/>
      <c r="C269" s="30"/>
    </row>
    <row r="270" spans="2:10">
      <c r="B270" s="30"/>
      <c r="C270" s="30"/>
    </row>
    <row r="271" spans="2:10">
      <c r="B271" s="30"/>
      <c r="C271" s="30"/>
    </row>
    <row r="272" spans="2:10">
      <c r="B272" s="30"/>
      <c r="C272" s="30"/>
    </row>
    <row r="273" spans="2:3">
      <c r="B273" s="30"/>
      <c r="C273" s="30"/>
    </row>
    <row r="274" spans="2:3">
      <c r="B274" s="30"/>
      <c r="C274" s="30"/>
    </row>
    <row r="275" spans="2:3">
      <c r="B275" s="30"/>
      <c r="C275" s="30"/>
    </row>
    <row r="276" spans="2:3">
      <c r="B276" s="30"/>
      <c r="C276" s="30"/>
    </row>
    <row r="277" spans="2:3">
      <c r="B277" s="30"/>
      <c r="C277" s="30"/>
    </row>
    <row r="278" spans="2:3">
      <c r="B278" s="30"/>
      <c r="C278" s="30"/>
    </row>
    <row r="279" spans="2:3">
      <c r="B279" s="30"/>
      <c r="C279" s="30"/>
    </row>
    <row r="280" spans="2:3">
      <c r="B280" s="30"/>
      <c r="C280" s="30"/>
    </row>
    <row r="281" spans="2:3">
      <c r="B281" s="30"/>
      <c r="C281" s="30"/>
    </row>
    <row r="282" spans="2:3">
      <c r="B282" s="30"/>
      <c r="C282" s="30"/>
    </row>
    <row r="283" spans="2:3">
      <c r="B283" s="30"/>
      <c r="C283" s="30"/>
    </row>
    <row r="284" spans="2:3">
      <c r="B284" s="30"/>
      <c r="C284" s="30"/>
    </row>
    <row r="285" spans="2:3">
      <c r="B285" s="30"/>
      <c r="C285" s="30"/>
    </row>
    <row r="286" spans="2:3">
      <c r="B286" s="30"/>
      <c r="C286" s="30"/>
    </row>
  </sheetData>
  <mergeCells count="4">
    <mergeCell ref="Q130:S136"/>
    <mergeCell ref="B14:H14"/>
    <mergeCell ref="D15:H15"/>
    <mergeCell ref="C255:I256"/>
  </mergeCells>
  <phoneticPr fontId="14" type="noConversion"/>
  <conditionalFormatting sqref="I48:K127 I17:K44 D138:D248">
    <cfRule type="cellIs" dxfId="0" priority="47" operator="greaterThan">
      <formula>0</formula>
    </cfRule>
  </conditionalFormatting>
  <conditionalFormatting sqref="O17:X17 P19:V22 P43:V44 A17:A19 X43:X44 X19:X22 A48:A127 O48:X127 P41:V41 X41 P27:V39 X27:X39 P24:V25 X24:X25 O18:O44 W18:W47">
    <cfRule type="cellIs" dxfId="12" priority="44" operator="greaterThan">
      <formula>0</formula>
    </cfRule>
  </conditionalFormatting>
  <conditionalFormatting sqref="C11">
    <cfRule type="cellIs" dxfId="11" priority="43" operator="greaterThan">
      <formula>0</formula>
    </cfRule>
  </conditionalFormatting>
  <conditionalFormatting sqref="C12">
    <cfRule type="cellIs" dxfId="10" priority="42" operator="greaterThan">
      <formula>0</formula>
    </cfRule>
  </conditionalFormatting>
  <conditionalFormatting sqref="P18:V18 X18">
    <cfRule type="cellIs" dxfId="9" priority="16" operator="greaterThan">
      <formula>0</formula>
    </cfRule>
  </conditionalFormatting>
  <conditionalFormatting sqref="P26:V26 X26">
    <cfRule type="cellIs" dxfId="8" priority="14" operator="greaterThan">
      <formula>0</formula>
    </cfRule>
  </conditionalFormatting>
  <conditionalFormatting sqref="P42:V42 X42">
    <cfRule type="cellIs" dxfId="7" priority="12" operator="greaterThan">
      <formula>0</formula>
    </cfRule>
  </conditionalFormatting>
  <conditionalFormatting sqref="P23:V23 X23">
    <cfRule type="cellIs" dxfId="6" priority="10" operator="greaterThan">
      <formula>0</formula>
    </cfRule>
  </conditionalFormatting>
  <conditionalFormatting sqref="P40:V40 X40">
    <cfRule type="cellIs" dxfId="5" priority="8" operator="greaterThan">
      <formula>0</formula>
    </cfRule>
  </conditionalFormatting>
  <conditionalFormatting sqref="I45:K45">
    <cfRule type="cellIs" dxfId="4" priority="4" operator="greaterThan">
      <formula>0</formula>
    </cfRule>
  </conditionalFormatting>
  <conditionalFormatting sqref="O45:V45 X45">
    <cfRule type="cellIs" dxfId="3" priority="3" operator="greaterThan">
      <formula>0</formula>
    </cfRule>
  </conditionalFormatting>
  <conditionalFormatting sqref="I46:K47">
    <cfRule type="cellIs" dxfId="2" priority="2" operator="greaterThan">
      <formula>0</formula>
    </cfRule>
  </conditionalFormatting>
  <conditionalFormatting sqref="O46:V47 X46:X47">
    <cfRule type="cellIs" dxfId="1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C11" xr:uid="{00000000-0002-0000-0C00-000000000000}"/>
  </dataValidations>
  <printOptions horizontalCentered="1"/>
  <pageMargins left="0.78740157480314965" right="0.59055118110236227" top="1.3779527559055118" bottom="0.78740157480314965" header="0.39370078740157483" footer="0.19685039370078741"/>
  <pageSetup paperSize="9" scale="38" orientation="landscape"/>
  <headerFooter>
    <oddHeader>&amp;L&amp;C&amp;R</oddHeader>
    <oddFooter>&amp;L&amp;"Verdana,Regular"&amp;F-&amp;A_x000D_ICCA b.v. ©&amp;R&amp;"Verdana,Regular"printversie &amp;D</oddFooter>
  </headerFooter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72"/>
  <sheetViews>
    <sheetView showGridLines="0" showRowColHeaders="0" zoomScaleNormal="100" workbookViewId="0"/>
  </sheetViews>
  <sheetFormatPr baseColWidth="10" defaultColWidth="0" defaultRowHeight="0" customHeight="1" zeroHeight="1"/>
  <cols>
    <col min="1" max="2" width="10.796875" style="1" customWidth="1"/>
    <col min="3" max="4" width="19.59765625" style="1" customWidth="1"/>
    <col min="5" max="5" width="40.3984375" style="1" customWidth="1"/>
    <col min="6" max="7" width="19.59765625" style="1" customWidth="1"/>
    <col min="8" max="9" width="10.796875" style="1" customWidth="1"/>
    <col min="10" max="16384" width="10.796875" style="1" hidden="1"/>
  </cols>
  <sheetData>
    <row r="1" spans="3:7" ht="13"/>
    <row r="2" spans="3:7" ht="13"/>
    <row r="3" spans="3:7" ht="13"/>
    <row r="4" spans="3:7" ht="13"/>
    <row r="5" spans="3:7" ht="13">
      <c r="D5" s="199"/>
      <c r="E5" s="157" t="s">
        <v>235</v>
      </c>
    </row>
    <row r="6" spans="3:7" ht="13"/>
    <row r="7" spans="3:7" ht="13"/>
    <row r="8" spans="3:7" ht="14" thickBot="1"/>
    <row r="9" spans="3:7" ht="21" thickTop="1">
      <c r="C9" s="243"/>
      <c r="D9" s="244"/>
      <c r="E9" s="245"/>
      <c r="F9" s="244"/>
      <c r="G9" s="246"/>
    </row>
    <row r="10" spans="3:7" ht="20">
      <c r="C10" s="247"/>
      <c r="D10" s="248"/>
      <c r="E10" s="249" t="s">
        <v>164</v>
      </c>
      <c r="F10" s="248"/>
      <c r="G10" s="250"/>
    </row>
    <row r="11" spans="3:7" ht="20">
      <c r="C11" s="247"/>
      <c r="D11" s="248"/>
      <c r="E11" s="249"/>
      <c r="F11" s="248"/>
      <c r="G11" s="250"/>
    </row>
    <row r="12" spans="3:7" ht="20">
      <c r="C12" s="247"/>
      <c r="D12" s="248"/>
      <c r="E12" s="249" t="s">
        <v>165</v>
      </c>
      <c r="F12" s="248"/>
      <c r="G12" s="250"/>
    </row>
    <row r="13" spans="3:7" ht="20">
      <c r="C13" s="247"/>
      <c r="D13" s="248"/>
      <c r="E13" s="249" t="s">
        <v>202</v>
      </c>
      <c r="F13" s="248"/>
      <c r="G13" s="250"/>
    </row>
    <row r="14" spans="3:7" ht="20">
      <c r="C14" s="247"/>
      <c r="D14" s="248"/>
      <c r="E14" s="249" t="s">
        <v>46</v>
      </c>
      <c r="F14" s="248"/>
      <c r="G14" s="250"/>
    </row>
    <row r="15" spans="3:7" ht="13">
      <c r="C15" s="247"/>
      <c r="D15" s="248"/>
      <c r="E15" s="248"/>
      <c r="F15" s="248"/>
      <c r="G15" s="250"/>
    </row>
    <row r="16" spans="3:7" ht="20">
      <c r="C16" s="247"/>
      <c r="D16" s="248"/>
      <c r="E16" s="249" t="s">
        <v>1246</v>
      </c>
      <c r="F16" s="248"/>
      <c r="G16" s="250"/>
    </row>
    <row r="17" spans="3:7" ht="13">
      <c r="C17" s="247"/>
      <c r="D17" s="248"/>
      <c r="E17" s="248"/>
      <c r="F17" s="248"/>
      <c r="G17" s="250"/>
    </row>
    <row r="18" spans="3:7" ht="13">
      <c r="C18" s="247"/>
      <c r="D18" s="248"/>
      <c r="E18" s="248"/>
      <c r="F18" s="248"/>
      <c r="G18" s="250"/>
    </row>
    <row r="19" spans="3:7" ht="18">
      <c r="C19" s="247"/>
      <c r="D19" s="326"/>
      <c r="E19" s="327" t="s">
        <v>434</v>
      </c>
      <c r="F19" s="326"/>
      <c r="G19" s="250"/>
    </row>
    <row r="20" spans="3:7" ht="13">
      <c r="C20" s="247"/>
      <c r="D20" s="248"/>
      <c r="E20" s="248"/>
      <c r="F20" s="248"/>
      <c r="G20" s="250"/>
    </row>
    <row r="21" spans="3:7" ht="13">
      <c r="C21" s="247"/>
      <c r="D21" s="248"/>
      <c r="E21" s="248"/>
      <c r="F21" s="248"/>
      <c r="G21" s="250"/>
    </row>
    <row r="22" spans="3:7" ht="16">
      <c r="C22" s="247"/>
      <c r="D22" s="251" t="s">
        <v>6</v>
      </c>
      <c r="E22" s="503">
        <v>44013</v>
      </c>
      <c r="F22" s="248"/>
      <c r="G22" s="250"/>
    </row>
    <row r="23" spans="3:7" ht="16">
      <c r="C23" s="247"/>
      <c r="D23" s="251"/>
      <c r="E23" s="251"/>
      <c r="F23" s="248"/>
      <c r="G23" s="250"/>
    </row>
    <row r="24" spans="3:7" ht="16">
      <c r="C24" s="247"/>
      <c r="D24" s="251" t="s">
        <v>137</v>
      </c>
      <c r="E24" s="504" t="s">
        <v>435</v>
      </c>
      <c r="F24" s="248"/>
      <c r="G24" s="250"/>
    </row>
    <row r="25" spans="3:7" ht="16">
      <c r="C25" s="247"/>
      <c r="D25" s="251"/>
      <c r="E25" s="251"/>
      <c r="F25" s="248"/>
      <c r="G25" s="250"/>
    </row>
    <row r="26" spans="3:7" ht="16">
      <c r="C26" s="247"/>
      <c r="D26" s="252" t="s">
        <v>222</v>
      </c>
      <c r="E26" s="886" t="s">
        <v>1247</v>
      </c>
      <c r="F26" s="248"/>
      <c r="G26" s="250"/>
    </row>
    <row r="27" spans="3:7" ht="13">
      <c r="C27" s="247"/>
      <c r="D27" s="248"/>
      <c r="E27" s="248"/>
      <c r="F27" s="248"/>
      <c r="G27" s="250"/>
    </row>
    <row r="28" spans="3:7" ht="13">
      <c r="C28" s="247"/>
      <c r="D28" s="248"/>
      <c r="E28" s="248"/>
      <c r="F28" s="248"/>
      <c r="G28" s="250"/>
    </row>
    <row r="29" spans="3:7" ht="14" thickBot="1">
      <c r="C29" s="253"/>
      <c r="D29" s="254"/>
      <c r="E29" s="254"/>
      <c r="F29" s="254"/>
      <c r="G29" s="255"/>
    </row>
    <row r="30" spans="3:7" ht="15" thickTop="1" thickBot="1"/>
    <row r="31" spans="3:7" ht="14" thickTop="1">
      <c r="C31" s="524"/>
      <c r="D31" s="525"/>
      <c r="E31" s="525"/>
      <c r="F31" s="525"/>
      <c r="G31" s="526"/>
    </row>
    <row r="32" spans="3:7" ht="13">
      <c r="C32" s="685" t="s">
        <v>1087</v>
      </c>
      <c r="D32" s="248"/>
      <c r="E32" s="248"/>
      <c r="F32" s="248"/>
      <c r="G32" s="528"/>
    </row>
    <row r="33" spans="3:7" ht="28">
      <c r="C33" s="527"/>
      <c r="D33" s="248"/>
      <c r="E33" s="248"/>
      <c r="F33" s="248"/>
      <c r="G33" s="548" t="s">
        <v>433</v>
      </c>
    </row>
    <row r="34" spans="3:7" ht="13">
      <c r="C34" s="551"/>
      <c r="D34" s="552"/>
      <c r="E34" s="552"/>
      <c r="F34" s="552"/>
      <c r="G34" s="548"/>
    </row>
    <row r="35" spans="3:7" ht="13">
      <c r="C35" s="550"/>
      <c r="D35" s="549"/>
      <c r="E35" s="248"/>
      <c r="F35" s="248"/>
      <c r="G35" s="528"/>
    </row>
    <row r="36" spans="3:7" ht="13">
      <c r="C36" s="527"/>
      <c r="D36" s="248"/>
      <c r="E36" s="248"/>
      <c r="F36" s="248"/>
      <c r="G36" s="528"/>
    </row>
    <row r="37" spans="3:7" ht="13">
      <c r="C37" s="527"/>
      <c r="D37" s="248"/>
      <c r="E37" s="248"/>
      <c r="F37" s="248"/>
      <c r="G37" s="547"/>
    </row>
    <row r="38" spans="3:7" ht="13">
      <c r="C38" s="527"/>
      <c r="D38" s="248"/>
      <c r="E38" s="248"/>
      <c r="F38" s="248"/>
      <c r="G38" s="528"/>
    </row>
    <row r="39" spans="3:7" ht="13">
      <c r="C39" s="551"/>
      <c r="D39" s="552"/>
      <c r="E39" s="552"/>
      <c r="F39" s="552"/>
      <c r="G39" s="528"/>
    </row>
    <row r="40" spans="3:7" ht="13">
      <c r="C40" s="545"/>
      <c r="D40" s="546"/>
      <c r="E40" s="546"/>
      <c r="F40" s="248"/>
      <c r="G40" s="528"/>
    </row>
    <row r="41" spans="3:7" ht="13">
      <c r="C41" s="527"/>
      <c r="D41" s="248"/>
      <c r="E41" s="248"/>
      <c r="F41" s="248"/>
      <c r="G41" s="528"/>
    </row>
    <row r="42" spans="3:7" ht="13">
      <c r="C42" s="532"/>
      <c r="D42" s="248"/>
      <c r="E42" s="248"/>
      <c r="F42" s="248"/>
      <c r="G42" s="528"/>
    </row>
    <row r="43" spans="3:7" ht="13">
      <c r="C43" s="527"/>
      <c r="D43" s="248"/>
      <c r="E43" s="248"/>
      <c r="F43" s="248"/>
      <c r="G43" s="528"/>
    </row>
    <row r="44" spans="3:7" ht="13">
      <c r="C44" s="527"/>
      <c r="D44" s="248"/>
      <c r="E44" s="248"/>
      <c r="F44" s="248"/>
      <c r="G44" s="528"/>
    </row>
    <row r="45" spans="3:7" ht="13">
      <c r="C45" s="527"/>
      <c r="D45" s="248"/>
      <c r="E45" s="248"/>
      <c r="F45" s="248"/>
      <c r="G45" s="528"/>
    </row>
    <row r="46" spans="3:7" ht="13">
      <c r="C46" s="527"/>
      <c r="D46" s="248"/>
      <c r="E46" s="248"/>
      <c r="F46" s="248"/>
      <c r="G46" s="528"/>
    </row>
    <row r="47" spans="3:7" ht="13">
      <c r="C47" s="527"/>
      <c r="D47" s="248"/>
      <c r="E47" s="248"/>
      <c r="F47" s="248"/>
      <c r="G47" s="528"/>
    </row>
    <row r="48" spans="3:7" ht="13">
      <c r="C48" s="527"/>
      <c r="D48" s="248"/>
      <c r="E48" s="248"/>
      <c r="F48" s="248"/>
      <c r="G48" s="528"/>
    </row>
    <row r="49" spans="3:7" ht="13">
      <c r="C49" s="532"/>
      <c r="D49" s="248"/>
      <c r="E49" s="248"/>
      <c r="F49" s="248"/>
      <c r="G49" s="528"/>
    </row>
    <row r="50" spans="3:7" ht="13">
      <c r="C50" s="527"/>
      <c r="D50" s="248"/>
      <c r="E50" s="248"/>
      <c r="F50" s="248"/>
      <c r="G50" s="528"/>
    </row>
    <row r="51" spans="3:7" ht="13">
      <c r="C51" s="527"/>
      <c r="D51" s="248"/>
      <c r="E51" s="248"/>
      <c r="F51" s="248"/>
      <c r="G51" s="528"/>
    </row>
    <row r="52" spans="3:7" ht="13">
      <c r="C52" s="527"/>
      <c r="D52" s="248"/>
      <c r="E52" s="248"/>
      <c r="F52" s="248"/>
      <c r="G52" s="528"/>
    </row>
    <row r="53" spans="3:7" ht="13">
      <c r="C53" s="527"/>
      <c r="D53" s="248"/>
      <c r="E53" s="248"/>
      <c r="F53" s="248"/>
      <c r="G53" s="528"/>
    </row>
    <row r="54" spans="3:7" ht="13">
      <c r="C54" s="527"/>
      <c r="D54" s="248"/>
      <c r="E54" s="248"/>
      <c r="F54" s="248"/>
      <c r="G54" s="528"/>
    </row>
    <row r="55" spans="3:7" ht="14" thickBot="1">
      <c r="C55" s="529"/>
      <c r="D55" s="530"/>
      <c r="E55" s="530"/>
      <c r="F55" s="530"/>
      <c r="G55" s="531"/>
    </row>
    <row r="56" spans="3:7" ht="14" thickTop="1"/>
    <row r="57" spans="3:7" ht="13"/>
    <row r="58" spans="3:7" ht="13"/>
    <row r="59" spans="3:7" ht="0" hidden="1" customHeight="1"/>
    <row r="60" spans="3:7" ht="0" hidden="1" customHeight="1"/>
    <row r="61" spans="3:7" ht="0" hidden="1" customHeight="1"/>
    <row r="62" spans="3:7" ht="0" hidden="1" customHeight="1"/>
    <row r="63" spans="3:7" ht="0" hidden="1" customHeight="1"/>
    <row r="64" spans="3:7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  <row r="70" ht="0" hidden="1" customHeight="1"/>
    <row r="71" ht="0" hidden="1" customHeight="1"/>
    <row r="72" ht="0" hidden="1" customHeight="1"/>
  </sheetData>
  <conditionalFormatting sqref="D5">
    <cfRule type="cellIs" dxfId="585" priority="1" operator="greaterThan">
      <formula>0</formula>
    </cfRule>
  </conditionalFormatting>
  <pageMargins left="0.75000000000000011" right="0.75000000000000011" top="1" bottom="1" header="0.5" footer="0.5"/>
  <pageSetup paperSize="9" scale="86" orientation="portrait"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U65563"/>
  <sheetViews>
    <sheetView showGridLines="0" showZeros="0" showOutlineSymbols="0" zoomScaleNormal="100" zoomScaleSheetLayoutView="75" zoomScalePageLayoutView="120" workbookViewId="0">
      <pane ySplit="9" topLeftCell="A10" activePane="bottomLeft" state="frozenSplit"/>
      <selection pane="bottomLeft"/>
    </sheetView>
  </sheetViews>
  <sheetFormatPr baseColWidth="10" defaultColWidth="0" defaultRowHeight="13" zeroHeight="1"/>
  <cols>
    <col min="1" max="1" width="0.796875" style="110" customWidth="1"/>
    <col min="2" max="2" width="15.19921875" style="94" customWidth="1"/>
    <col min="3" max="3" width="35.3984375" style="11" customWidth="1"/>
    <col min="4" max="4" width="19.19921875" style="4" customWidth="1"/>
    <col min="5" max="5" width="16" style="4" bestFit="1" customWidth="1"/>
    <col min="6" max="6" width="12.796875" style="4" customWidth="1"/>
    <col min="7" max="7" width="15.3984375" style="4" customWidth="1"/>
    <col min="8" max="8" width="17" style="4" customWidth="1"/>
    <col min="9" max="9" width="18.796875" style="4" customWidth="1"/>
    <col min="10" max="10" width="6" style="116" customWidth="1"/>
    <col min="11" max="11" width="11.796875" style="4" bestFit="1" customWidth="1"/>
    <col min="12" max="12" width="14.19921875" style="4" hidden="1" customWidth="1"/>
    <col min="13" max="13" width="6.796875" style="4" bestFit="1" customWidth="1"/>
    <col min="14" max="14" width="11.796875" style="4" hidden="1" customWidth="1"/>
    <col min="15" max="255" width="0" style="4" hidden="1" customWidth="1"/>
    <col min="256" max="16384" width="10.796875" style="4" hidden="1"/>
  </cols>
  <sheetData>
    <row r="1" spans="1:255" ht="6" customHeight="1">
      <c r="C1" s="5"/>
      <c r="D1" s="3"/>
    </row>
    <row r="2" spans="1:255" s="10" customFormat="1" ht="16">
      <c r="A2" s="110"/>
      <c r="B2" s="112"/>
      <c r="C2" s="223" t="s">
        <v>29</v>
      </c>
      <c r="D2" s="89" t="s">
        <v>249</v>
      </c>
      <c r="E2" s="8"/>
      <c r="F2" s="8"/>
      <c r="G2" s="9"/>
      <c r="H2" s="8"/>
      <c r="I2" s="8"/>
      <c r="J2" s="117"/>
    </row>
    <row r="3" spans="1:255" s="10" customFormat="1" ht="16" customHeight="1">
      <c r="A3" s="110"/>
      <c r="B3" s="112"/>
      <c r="C3" s="223" t="s">
        <v>101</v>
      </c>
      <c r="D3" s="224" t="str">
        <f>Voorblad!$E$16</f>
        <v>Hoogheemraadschap Hollands Noorderkwartier Perceel 2</v>
      </c>
      <c r="E3" s="8"/>
      <c r="F3" s="8"/>
      <c r="G3" s="421"/>
      <c r="H3" s="421"/>
      <c r="I3" s="421"/>
      <c r="J3" s="117"/>
    </row>
    <row r="4" spans="1:255" s="10" customFormat="1" ht="16" customHeight="1">
      <c r="A4" s="110"/>
      <c r="B4" s="112"/>
      <c r="C4" s="223" t="s">
        <v>36</v>
      </c>
      <c r="D4" s="224" t="s">
        <v>1088</v>
      </c>
      <c r="E4" s="8"/>
      <c r="F4" s="8"/>
      <c r="G4" s="421"/>
      <c r="H4" s="421"/>
      <c r="I4" s="421"/>
      <c r="J4" s="117"/>
    </row>
    <row r="5" spans="1:255" s="10" customFormat="1" ht="16" customHeight="1">
      <c r="A5" s="110"/>
      <c r="B5" s="112"/>
      <c r="C5" s="223" t="s">
        <v>137</v>
      </c>
      <c r="D5" s="422" t="str">
        <f>Voorblad!$E$24</f>
        <v>1112-10-2019</v>
      </c>
      <c r="E5" s="8"/>
      <c r="F5" s="8"/>
      <c r="G5" s="421"/>
      <c r="H5" s="421"/>
      <c r="I5" s="421"/>
      <c r="J5" s="117"/>
    </row>
    <row r="6" spans="1:255" s="10" customFormat="1" ht="16">
      <c r="A6" s="110"/>
      <c r="B6" s="112"/>
      <c r="C6" s="223" t="s">
        <v>222</v>
      </c>
      <c r="D6" s="407" t="str">
        <f>Voorblad!$E$26</f>
        <v>V1 12-mrt-2020</v>
      </c>
      <c r="E6" s="8"/>
      <c r="F6" s="8"/>
      <c r="G6" s="8"/>
      <c r="H6" s="199" t="s">
        <v>243</v>
      </c>
      <c r="I6" s="122"/>
      <c r="J6" s="117"/>
    </row>
    <row r="7" spans="1:255" s="10" customFormat="1" ht="16">
      <c r="A7" s="110"/>
      <c r="B7" s="112"/>
      <c r="C7" s="223" t="s">
        <v>99</v>
      </c>
      <c r="D7" s="224" t="str">
        <f>Voorblad!$E$19</f>
        <v>[voer naam in]</v>
      </c>
      <c r="E7" s="8"/>
      <c r="H7" s="199">
        <v>0</v>
      </c>
      <c r="I7" s="157" t="s">
        <v>235</v>
      </c>
      <c r="J7" s="117"/>
    </row>
    <row r="8" spans="1:255" s="10" customFormat="1" ht="16">
      <c r="A8" s="110"/>
      <c r="B8" s="112"/>
      <c r="C8" s="223" t="s">
        <v>6</v>
      </c>
      <c r="D8" s="225">
        <f>Voorblad!$E$22</f>
        <v>44013</v>
      </c>
      <c r="E8" s="8"/>
      <c r="H8" s="8"/>
      <c r="I8" s="8"/>
      <c r="J8" s="117"/>
    </row>
    <row r="9" spans="1:255" s="10" customFormat="1" ht="16">
      <c r="A9" s="110"/>
      <c r="B9" s="112"/>
      <c r="C9" s="6"/>
      <c r="J9" s="117"/>
    </row>
    <row r="10" spans="1:255" s="10" customFormat="1" ht="16">
      <c r="A10" s="110"/>
      <c r="B10" s="112"/>
      <c r="C10" s="92" t="s">
        <v>127</v>
      </c>
      <c r="F10" s="92"/>
      <c r="G10" s="92"/>
      <c r="H10" s="92"/>
      <c r="I10" s="93"/>
      <c r="J10" s="117"/>
    </row>
    <row r="11" spans="1:255" ht="14" thickBot="1">
      <c r="D11" s="94"/>
      <c r="E11" s="94"/>
      <c r="F11" s="94"/>
      <c r="G11" s="94"/>
      <c r="H11" s="94"/>
      <c r="I11" s="94"/>
    </row>
    <row r="12" spans="1:255" s="228" customFormat="1" ht="50" customHeight="1" thickBot="1">
      <c r="A12" s="111"/>
      <c r="B12" s="226"/>
      <c r="C12" s="616" t="s">
        <v>133</v>
      </c>
      <c r="D12" s="613" t="s">
        <v>252</v>
      </c>
      <c r="E12" s="614" t="s">
        <v>71</v>
      </c>
      <c r="F12" s="614" t="s">
        <v>151</v>
      </c>
      <c r="G12" s="614" t="s">
        <v>131</v>
      </c>
      <c r="H12" s="614" t="s">
        <v>44</v>
      </c>
      <c r="I12" s="615" t="s">
        <v>58</v>
      </c>
      <c r="J12" s="227"/>
    </row>
    <row r="13" spans="1:255" s="31" customFormat="1" ht="21" customHeight="1">
      <c r="A13" s="110"/>
      <c r="B13" s="114"/>
      <c r="C13" s="98" t="s">
        <v>246</v>
      </c>
      <c r="D13" s="99"/>
      <c r="E13" s="99"/>
      <c r="F13" s="100"/>
      <c r="G13" s="100"/>
      <c r="H13" s="100"/>
      <c r="I13" s="100"/>
      <c r="J13" s="119"/>
    </row>
    <row r="14" spans="1:255" s="31" customFormat="1">
      <c r="A14" s="115"/>
      <c r="B14" s="114"/>
      <c r="I14" s="106"/>
      <c r="J14" s="119"/>
    </row>
    <row r="15" spans="1:255" ht="14">
      <c r="B15" s="199" t="s">
        <v>243</v>
      </c>
      <c r="C15" s="216" t="s">
        <v>1009</v>
      </c>
      <c r="D15" s="256"/>
      <c r="E15" s="376">
        <f>G15/F15</f>
        <v>0</v>
      </c>
      <c r="F15" s="231">
        <v>253</v>
      </c>
      <c r="G15" s="383">
        <f>$G$28*D15</f>
        <v>0</v>
      </c>
      <c r="H15" s="232">
        <f>HLOOKUP(C15,basistariefuit,47,FALSE)</f>
        <v>0</v>
      </c>
      <c r="I15" s="230">
        <f>H15*G15</f>
        <v>0</v>
      </c>
    </row>
    <row r="16" spans="1:255">
      <c r="C16" s="13"/>
      <c r="D16" s="257"/>
      <c r="E16" s="377"/>
      <c r="F16" s="13"/>
      <c r="G16" s="66"/>
      <c r="H16" s="13"/>
      <c r="I16" s="13"/>
      <c r="J16" s="120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</row>
    <row r="17" spans="1:255" s="31" customFormat="1">
      <c r="A17" s="115"/>
      <c r="B17" s="114"/>
      <c r="D17" s="258"/>
      <c r="E17" s="378"/>
      <c r="G17" s="384"/>
      <c r="I17" s="106"/>
      <c r="J17" s="119"/>
    </row>
    <row r="18" spans="1:255" s="31" customFormat="1" ht="14">
      <c r="A18" s="111"/>
      <c r="B18" s="199" t="s">
        <v>243</v>
      </c>
      <c r="C18" s="216" t="s">
        <v>1009</v>
      </c>
      <c r="D18" s="256"/>
      <c r="E18" s="376">
        <f>G18/F18</f>
        <v>0</v>
      </c>
      <c r="F18" s="231">
        <v>253</v>
      </c>
      <c r="G18" s="383">
        <f>$G$28*D18</f>
        <v>0</v>
      </c>
      <c r="H18" s="232">
        <f>HLOOKUP(C18,basistariefuit,47,FALSE)</f>
        <v>0</v>
      </c>
      <c r="I18" s="230">
        <f>H18*G18</f>
        <v>0</v>
      </c>
      <c r="J18" s="119"/>
    </row>
    <row r="19" spans="1:255">
      <c r="C19" s="13"/>
      <c r="D19" s="257"/>
      <c r="E19" s="377"/>
      <c r="F19" s="13"/>
      <c r="G19" s="66"/>
      <c r="H19" s="13"/>
      <c r="I19" s="13"/>
      <c r="J19" s="120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</row>
    <row r="20" spans="1:255" s="31" customFormat="1">
      <c r="A20" s="115"/>
      <c r="B20" s="114"/>
      <c r="D20" s="258"/>
      <c r="E20" s="378"/>
      <c r="G20" s="384"/>
      <c r="I20" s="106"/>
      <c r="J20" s="119"/>
    </row>
    <row r="21" spans="1:255" ht="14">
      <c r="B21" s="199" t="s">
        <v>243</v>
      </c>
      <c r="C21" s="216" t="s">
        <v>1009</v>
      </c>
      <c r="D21" s="256"/>
      <c r="E21" s="376">
        <f>G21/F21</f>
        <v>0</v>
      </c>
      <c r="F21" s="231">
        <v>253</v>
      </c>
      <c r="G21" s="383">
        <f>$G$28*D21</f>
        <v>0</v>
      </c>
      <c r="H21" s="232">
        <f>HLOOKUP(C21,basistariefuit,47,FALSE)</f>
        <v>0</v>
      </c>
      <c r="I21" s="230">
        <f>H21*G21</f>
        <v>0</v>
      </c>
    </row>
    <row r="22" spans="1:255">
      <c r="C22" s="13"/>
      <c r="D22" s="257"/>
      <c r="E22" s="377"/>
      <c r="F22" s="13"/>
      <c r="G22" s="66"/>
      <c r="H22" s="13"/>
      <c r="I22" s="13"/>
      <c r="J22" s="120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</row>
    <row r="23" spans="1:255" s="31" customFormat="1">
      <c r="A23" s="110"/>
      <c r="B23" s="114"/>
      <c r="D23" s="258"/>
      <c r="E23" s="378"/>
      <c r="G23" s="384"/>
      <c r="I23" s="106"/>
      <c r="J23" s="119"/>
    </row>
    <row r="24" spans="1:255" ht="14">
      <c r="B24" s="199" t="s">
        <v>243</v>
      </c>
      <c r="C24" s="216" t="s">
        <v>1009</v>
      </c>
      <c r="D24" s="256">
        <v>0</v>
      </c>
      <c r="E24" s="376">
        <f>G24/F24</f>
        <v>0</v>
      </c>
      <c r="F24" s="231">
        <v>253</v>
      </c>
      <c r="G24" s="383">
        <f>$G$28*D24</f>
        <v>0</v>
      </c>
      <c r="H24" s="232">
        <f>HLOOKUP(C24,basistariefuit,47,FALSE)</f>
        <v>0</v>
      </c>
      <c r="I24" s="230">
        <f>H24*G24</f>
        <v>0</v>
      </c>
    </row>
    <row r="25" spans="1:255">
      <c r="C25" s="13"/>
      <c r="D25" s="257"/>
      <c r="E25" s="377"/>
      <c r="F25" s="13"/>
      <c r="G25" s="66"/>
      <c r="H25" s="13"/>
      <c r="I25" s="13"/>
      <c r="J25" s="120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</row>
    <row r="26" spans="1:255" s="31" customFormat="1">
      <c r="A26" s="110"/>
      <c r="B26" s="114"/>
      <c r="D26" s="258"/>
      <c r="E26" s="378"/>
      <c r="G26" s="384"/>
      <c r="I26" s="106"/>
      <c r="J26" s="119"/>
    </row>
    <row r="27" spans="1:255" ht="14">
      <c r="B27" s="199" t="s">
        <v>243</v>
      </c>
      <c r="C27" s="216" t="s">
        <v>1009</v>
      </c>
      <c r="D27" s="256">
        <v>0</v>
      </c>
      <c r="E27" s="379">
        <f>G27/F27</f>
        <v>0</v>
      </c>
      <c r="F27" s="231">
        <v>253</v>
      </c>
      <c r="G27" s="385">
        <f>$G$28*D27</f>
        <v>0</v>
      </c>
      <c r="H27" s="232">
        <f>HLOOKUP(C27,basistariefuit,47,FALSE)</f>
        <v>0</v>
      </c>
      <c r="I27" s="230">
        <f>H27*G27</f>
        <v>0</v>
      </c>
    </row>
    <row r="28" spans="1:255" ht="20" customHeight="1">
      <c r="C28" s="394" t="str">
        <f>IF(D28&gt;100%,"Mag niet hoger zijn dan 100%","")</f>
        <v/>
      </c>
      <c r="D28" s="260">
        <f>D27+D24+D21+D18+D15</f>
        <v>0</v>
      </c>
      <c r="E28" s="382">
        <f>SUM(E15:E27)</f>
        <v>0</v>
      </c>
      <c r="F28" s="395"/>
      <c r="G28" s="389">
        <f>SUM('1.3-Basis ruimtestaat'!T:V)</f>
        <v>0</v>
      </c>
      <c r="H28" s="22"/>
      <c r="I28" s="396">
        <f>SUM(I15:I27)</f>
        <v>0</v>
      </c>
      <c r="K28" s="238">
        <f>IF(G28=0,0,I28/G28)</f>
        <v>0</v>
      </c>
      <c r="M28" s="397">
        <f>IF(D28&gt;100,"Is hoger dan 100%",0)</f>
        <v>0</v>
      </c>
    </row>
    <row r="29" spans="1:255" s="31" customFormat="1">
      <c r="A29" s="110"/>
      <c r="B29" s="114"/>
      <c r="C29" s="98"/>
      <c r="D29" s="102"/>
      <c r="E29" s="380"/>
      <c r="F29" s="100"/>
      <c r="G29" s="386"/>
      <c r="H29" s="99"/>
      <c r="I29" s="229"/>
      <c r="J29" s="119"/>
      <c r="K29" s="17"/>
    </row>
    <row r="30" spans="1:255" s="31" customFormat="1">
      <c r="A30" s="110"/>
      <c r="B30" s="114"/>
      <c r="C30" s="98"/>
      <c r="D30" s="102"/>
      <c r="E30" s="380"/>
      <c r="F30" s="100"/>
      <c r="G30" s="386"/>
      <c r="H30" s="403"/>
      <c r="I30" s="229"/>
      <c r="J30" s="119"/>
      <c r="K30" s="17"/>
    </row>
    <row r="31" spans="1:255" s="31" customFormat="1">
      <c r="A31" s="110"/>
      <c r="B31" s="114"/>
      <c r="C31" s="98" t="s">
        <v>247</v>
      </c>
      <c r="E31" s="378"/>
      <c r="F31" s="100"/>
      <c r="G31" s="387"/>
      <c r="H31" s="100"/>
      <c r="I31" s="100"/>
      <c r="J31" s="119"/>
      <c r="K31" s="101"/>
    </row>
    <row r="32" spans="1:255" s="31" customFormat="1">
      <c r="A32" s="110"/>
      <c r="B32" s="114"/>
      <c r="E32" s="378"/>
      <c r="G32" s="384"/>
      <c r="I32" s="106"/>
      <c r="J32" s="119"/>
      <c r="K32" s="107"/>
    </row>
    <row r="33" spans="1:255" ht="14">
      <c r="B33" s="199" t="s">
        <v>243</v>
      </c>
      <c r="C33" s="216" t="s">
        <v>1008</v>
      </c>
      <c r="D33" s="256"/>
      <c r="E33" s="376">
        <f>G33/F33</f>
        <v>0</v>
      </c>
      <c r="F33" s="231">
        <v>253</v>
      </c>
      <c r="G33" s="383">
        <f>$G$28*D33</f>
        <v>0</v>
      </c>
      <c r="H33" s="232">
        <f>HLOOKUP(C33,basistarieftoez,47,FALSE)</f>
        <v>0</v>
      </c>
      <c r="I33" s="230">
        <f>H33*G33</f>
        <v>0</v>
      </c>
    </row>
    <row r="34" spans="1:255">
      <c r="C34" s="97"/>
      <c r="D34" s="258"/>
      <c r="E34" s="381"/>
      <c r="F34" s="14"/>
      <c r="G34" s="388"/>
      <c r="H34" s="15"/>
      <c r="I34" s="16"/>
    </row>
    <row r="35" spans="1:255" s="31" customFormat="1">
      <c r="A35" s="110"/>
      <c r="B35" s="114"/>
      <c r="D35" s="258"/>
      <c r="E35" s="378"/>
      <c r="G35" s="384"/>
      <c r="I35" s="106"/>
      <c r="J35" s="119"/>
      <c r="K35" s="107"/>
      <c r="L35" s="4"/>
    </row>
    <row r="36" spans="1:255" ht="14">
      <c r="B36" s="199" t="s">
        <v>243</v>
      </c>
      <c r="C36" s="216" t="s">
        <v>1008</v>
      </c>
      <c r="D36" s="256">
        <v>0</v>
      </c>
      <c r="E36" s="376">
        <f>G36/F36</f>
        <v>0</v>
      </c>
      <c r="F36" s="231">
        <v>253</v>
      </c>
      <c r="G36" s="383">
        <f>$G$28*D36</f>
        <v>0</v>
      </c>
      <c r="H36" s="232">
        <f>HLOOKUP(C36,basistarieftoez,47,FALSE)</f>
        <v>0</v>
      </c>
      <c r="I36" s="230">
        <f>H36*G36</f>
        <v>0</v>
      </c>
    </row>
    <row r="37" spans="1:255">
      <c r="C37" s="97"/>
      <c r="D37" s="257"/>
      <c r="E37" s="377"/>
      <c r="F37" s="13"/>
      <c r="G37" s="66"/>
      <c r="H37" s="13"/>
      <c r="I37" s="13"/>
      <c r="J37" s="120"/>
      <c r="K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</row>
    <row r="38" spans="1:255" s="31" customFormat="1">
      <c r="A38" s="110"/>
      <c r="B38" s="114"/>
      <c r="D38" s="258"/>
      <c r="E38" s="378"/>
      <c r="G38" s="384"/>
      <c r="I38" s="106"/>
      <c r="J38" s="119"/>
      <c r="L38" s="4"/>
    </row>
    <row r="39" spans="1:255" ht="14">
      <c r="B39" s="199" t="s">
        <v>243</v>
      </c>
      <c r="C39" s="216" t="s">
        <v>1008</v>
      </c>
      <c r="D39" s="256"/>
      <c r="E39" s="379">
        <f>G39/F39</f>
        <v>0</v>
      </c>
      <c r="F39" s="231">
        <v>253</v>
      </c>
      <c r="G39" s="385">
        <f>$G$28*D39</f>
        <v>0</v>
      </c>
      <c r="H39" s="232">
        <f>HLOOKUP(C39,basistarieftoez,47,FALSE)</f>
        <v>0</v>
      </c>
      <c r="I39" s="230">
        <f>H39*G39</f>
        <v>0</v>
      </c>
    </row>
    <row r="40" spans="1:255">
      <c r="C40" s="97"/>
      <c r="D40" s="260">
        <f>D39+D36+D33</f>
        <v>0</v>
      </c>
      <c r="E40" s="382">
        <f>SUM(E33:E39)</f>
        <v>0</v>
      </c>
      <c r="F40" s="395"/>
      <c r="G40" s="389">
        <f>SUM(G33:G39)</f>
        <v>0</v>
      </c>
      <c r="H40" s="13"/>
      <c r="I40" s="396">
        <f>SUM(I31:I39)</f>
        <v>0</v>
      </c>
      <c r="J40" s="13"/>
      <c r="K40" s="238">
        <f>IF(G40=0,0,I40/G40)</f>
        <v>0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</row>
    <row r="41" spans="1:255">
      <c r="C41" s="96"/>
      <c r="D41" s="20"/>
      <c r="E41" s="21"/>
      <c r="F41" s="12"/>
      <c r="G41" s="21"/>
      <c r="H41" s="22"/>
      <c r="I41" s="23"/>
      <c r="K41" s="17"/>
    </row>
    <row r="42" spans="1:255">
      <c r="C42" s="96"/>
      <c r="D42" s="20"/>
      <c r="E42" s="21"/>
      <c r="F42" s="12"/>
      <c r="G42" s="21"/>
      <c r="H42" s="21" t="s">
        <v>62</v>
      </c>
      <c r="I42" s="229">
        <f>I40+I28</f>
        <v>0</v>
      </c>
      <c r="K42" s="17"/>
    </row>
    <row r="43" spans="1:255">
      <c r="C43" s="96"/>
      <c r="D43" s="20"/>
      <c r="E43" s="21"/>
      <c r="F43" s="12"/>
      <c r="G43" s="21"/>
      <c r="H43" s="21"/>
      <c r="I43" s="229"/>
      <c r="K43" s="17"/>
    </row>
    <row r="44" spans="1:255">
      <c r="C44" s="96"/>
      <c r="D44" s="20"/>
      <c r="E44" s="21"/>
      <c r="F44" s="12"/>
      <c r="G44" s="21"/>
      <c r="H44" s="21"/>
      <c r="I44" s="229"/>
      <c r="K44" s="17"/>
    </row>
    <row r="45" spans="1:255" s="31" customFormat="1" ht="21" customHeight="1">
      <c r="A45" s="110"/>
      <c r="B45" s="114"/>
      <c r="C45" s="98" t="s">
        <v>1224</v>
      </c>
      <c r="D45" s="99"/>
      <c r="E45" s="99"/>
      <c r="F45" s="100"/>
      <c r="G45" s="100"/>
      <c r="H45" s="100"/>
      <c r="I45" s="100"/>
      <c r="J45" s="119"/>
    </row>
    <row r="46" spans="1:255" s="31" customFormat="1">
      <c r="A46" s="115"/>
      <c r="B46" s="114"/>
      <c r="I46" s="106"/>
      <c r="J46" s="119"/>
    </row>
    <row r="47" spans="1:255" ht="14">
      <c r="B47" s="199" t="s">
        <v>243</v>
      </c>
      <c r="C47" s="216" t="s">
        <v>1009</v>
      </c>
      <c r="D47" s="256"/>
      <c r="E47" s="376">
        <f>G47/F47</f>
        <v>0</v>
      </c>
      <c r="F47" s="231">
        <v>60</v>
      </c>
      <c r="G47" s="383">
        <f>$G$52*D47</f>
        <v>0</v>
      </c>
      <c r="H47" s="232">
        <f>HLOOKUP(C47,basistariefuit,51,FALSE)</f>
        <v>0</v>
      </c>
      <c r="I47" s="230">
        <f>H47*G47</f>
        <v>0</v>
      </c>
    </row>
    <row r="48" spans="1:255">
      <c r="C48" s="13"/>
      <c r="D48" s="257"/>
      <c r="E48" s="377"/>
      <c r="F48" s="13"/>
      <c r="G48" s="66"/>
      <c r="H48" s="13"/>
      <c r="I48" s="13"/>
      <c r="J48" s="120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</row>
    <row r="49" spans="1:255" s="31" customFormat="1">
      <c r="A49" s="115"/>
      <c r="B49" s="114"/>
      <c r="D49" s="258"/>
      <c r="E49" s="378"/>
      <c r="G49" s="384"/>
      <c r="I49" s="106"/>
      <c r="J49" s="119"/>
    </row>
    <row r="50" spans="1:255" s="31" customFormat="1" ht="14">
      <c r="A50" s="111"/>
      <c r="B50" s="199" t="s">
        <v>243</v>
      </c>
      <c r="C50" s="216" t="s">
        <v>1009</v>
      </c>
      <c r="D50" s="256">
        <v>0</v>
      </c>
      <c r="E50" s="376">
        <f>G50/F50</f>
        <v>0</v>
      </c>
      <c r="F50" s="231">
        <v>60</v>
      </c>
      <c r="G50" s="383">
        <f>$G$52*D50</f>
        <v>0</v>
      </c>
      <c r="H50" s="232">
        <f>HLOOKUP(C50,basistariefuit,51,FALSE)</f>
        <v>0</v>
      </c>
      <c r="I50" s="230">
        <f>H50*G50</f>
        <v>0</v>
      </c>
      <c r="J50" s="119"/>
    </row>
    <row r="51" spans="1:255">
      <c r="C51" s="96"/>
      <c r="D51" s="20"/>
      <c r="E51" s="21"/>
      <c r="F51" s="12"/>
      <c r="G51" s="21"/>
      <c r="H51" s="21"/>
      <c r="I51" s="229"/>
      <c r="K51" s="17"/>
    </row>
    <row r="52" spans="1:255">
      <c r="C52" s="96"/>
      <c r="D52" s="260">
        <f>D51+D48+D45+D42+D39</f>
        <v>0</v>
      </c>
      <c r="E52" s="382">
        <f>SUM(E45:E51)</f>
        <v>0</v>
      </c>
      <c r="F52" s="395"/>
      <c r="G52" s="389">
        <f>SUM('1.3-Basis ruimtestaat'!W:W)</f>
        <v>0</v>
      </c>
      <c r="H52" s="13"/>
      <c r="I52" s="396">
        <f>SUM(I43:I51)</f>
        <v>0</v>
      </c>
      <c r="J52" s="13"/>
      <c r="K52" s="238">
        <f>IF(G52=0,0,I52/G52)</f>
        <v>0</v>
      </c>
    </row>
    <row r="53" spans="1:255">
      <c r="C53" s="96"/>
      <c r="D53" s="20"/>
      <c r="E53" s="21"/>
      <c r="F53" s="12"/>
      <c r="G53" s="21"/>
      <c r="H53" s="21"/>
      <c r="I53" s="229"/>
      <c r="K53" s="17"/>
    </row>
    <row r="54" spans="1:255">
      <c r="C54" s="96"/>
      <c r="D54" s="20"/>
      <c r="E54" s="21"/>
      <c r="F54" s="12"/>
      <c r="G54" s="21"/>
      <c r="H54" s="21"/>
      <c r="I54" s="229"/>
      <c r="K54" s="17"/>
    </row>
    <row r="55" spans="1:255">
      <c r="C55" s="13"/>
      <c r="D55" s="257"/>
      <c r="E55" s="377"/>
      <c r="F55" s="13"/>
      <c r="G55" s="66"/>
      <c r="H55" s="13"/>
      <c r="I55" s="13"/>
      <c r="J55" s="120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</row>
    <row r="56" spans="1:255">
      <c r="C56" s="96"/>
      <c r="D56" s="20"/>
      <c r="E56" s="21"/>
      <c r="F56" s="12"/>
      <c r="G56" s="21"/>
      <c r="H56" s="22"/>
      <c r="I56" s="229"/>
      <c r="K56" s="17"/>
    </row>
    <row r="57" spans="1:255">
      <c r="C57" s="96"/>
      <c r="D57" s="25"/>
      <c r="E57" s="21"/>
      <c r="F57" s="12"/>
      <c r="G57" s="12"/>
      <c r="H57" s="21"/>
      <c r="I57" s="400"/>
      <c r="J57" s="119"/>
      <c r="K57" s="17"/>
    </row>
    <row r="58" spans="1:255">
      <c r="C58" s="96" t="s">
        <v>120</v>
      </c>
      <c r="D58" s="25"/>
      <c r="E58" s="21"/>
      <c r="F58" s="12"/>
      <c r="G58" s="21"/>
      <c r="H58" s="22"/>
      <c r="I58" s="229">
        <f>'1.6-Machine-investeringskosten'!E92</f>
        <v>0</v>
      </c>
      <c r="K58" s="17"/>
    </row>
    <row r="59" spans="1:255">
      <c r="C59" s="96"/>
      <c r="D59" s="25"/>
      <c r="E59" s="21"/>
      <c r="F59" s="12"/>
      <c r="G59" s="21"/>
      <c r="H59" s="22"/>
      <c r="I59" s="23"/>
    </row>
    <row r="60" spans="1:255">
      <c r="C60" s="96"/>
      <c r="D60" s="25"/>
      <c r="E60" s="21"/>
      <c r="F60" s="12"/>
      <c r="H60" s="21" t="s">
        <v>169</v>
      </c>
      <c r="I60" s="229">
        <f>I58+I42+I52</f>
        <v>0</v>
      </c>
      <c r="K60" s="151"/>
    </row>
    <row r="61" spans="1:255">
      <c r="C61" s="96"/>
      <c r="D61" s="25"/>
      <c r="E61" s="21"/>
      <c r="F61" s="12"/>
      <c r="G61" s="21"/>
      <c r="H61" s="22"/>
      <c r="I61" s="23"/>
    </row>
    <row r="62" spans="1:255">
      <c r="C62" s="96" t="s">
        <v>149</v>
      </c>
      <c r="D62" s="25"/>
      <c r="E62" s="21"/>
      <c r="F62" s="12"/>
      <c r="G62" s="21"/>
      <c r="H62" s="22"/>
      <c r="I62" s="23"/>
    </row>
    <row r="63" spans="1:255">
      <c r="C63" s="96"/>
      <c r="D63" s="25"/>
      <c r="E63" s="21"/>
      <c r="F63" s="12"/>
      <c r="G63" s="21"/>
      <c r="H63" s="22"/>
      <c r="I63" s="23"/>
    </row>
    <row r="64" spans="1:255" s="10" customFormat="1" ht="16">
      <c r="A64" s="110"/>
      <c r="B64" s="112"/>
      <c r="C64" s="92" t="s">
        <v>152</v>
      </c>
      <c r="D64" s="92"/>
      <c r="E64" s="92"/>
      <c r="F64" s="92"/>
      <c r="G64" s="92"/>
      <c r="H64" s="92"/>
      <c r="I64" s="93"/>
      <c r="J64" s="117"/>
    </row>
    <row r="65" spans="1:14">
      <c r="C65" s="96"/>
      <c r="D65" s="22"/>
      <c r="E65" s="90"/>
      <c r="F65" s="87"/>
      <c r="G65" s="90"/>
      <c r="H65" s="22"/>
      <c r="I65" s="22"/>
    </row>
    <row r="66" spans="1:14">
      <c r="C66" s="96"/>
      <c r="D66" s="22"/>
      <c r="F66" s="87"/>
      <c r="G66" s="90" t="s">
        <v>150</v>
      </c>
      <c r="H66" s="90" t="s">
        <v>156</v>
      </c>
      <c r="I66" s="22"/>
      <c r="K66" s="17"/>
    </row>
    <row r="67" spans="1:14">
      <c r="C67" s="97" t="s">
        <v>378</v>
      </c>
      <c r="D67" s="22"/>
      <c r="F67" s="302"/>
      <c r="G67" s="199">
        <v>0</v>
      </c>
      <c r="H67" s="404"/>
      <c r="I67" s="16">
        <f>H67*G67</f>
        <v>0</v>
      </c>
      <c r="K67" s="17"/>
    </row>
    <row r="68" spans="1:14">
      <c r="C68" s="13" t="s">
        <v>379</v>
      </c>
      <c r="D68" s="22"/>
      <c r="F68" s="302"/>
      <c r="G68" s="199"/>
      <c r="H68" s="404"/>
      <c r="I68" s="16">
        <f>H68*G68</f>
        <v>0</v>
      </c>
      <c r="K68" s="151"/>
    </row>
    <row r="69" spans="1:14">
      <c r="C69" s="13" t="s">
        <v>380</v>
      </c>
      <c r="D69" s="22"/>
      <c r="F69" s="302"/>
      <c r="G69" s="199"/>
      <c r="H69" s="404"/>
      <c r="I69" s="16">
        <f>H69*G69</f>
        <v>0</v>
      </c>
      <c r="K69" s="238">
        <f>IF(G28=0,0,I60/G28)</f>
        <v>0</v>
      </c>
      <c r="L69" s="88"/>
      <c r="M69" s="17"/>
      <c r="N69" s="88"/>
    </row>
    <row r="70" spans="1:14">
      <c r="C70" s="19"/>
      <c r="D70" s="22"/>
      <c r="E70" s="22"/>
      <c r="F70" s="22"/>
      <c r="G70" s="22"/>
      <c r="H70" s="22"/>
      <c r="I70" s="22"/>
    </row>
    <row r="71" spans="1:14" ht="17" customHeight="1">
      <c r="F71" s="27" t="s">
        <v>4</v>
      </c>
      <c r="H71" s="28"/>
      <c r="I71" s="229">
        <f>SUM(I60:I70)</f>
        <v>0</v>
      </c>
      <c r="L71" s="88"/>
      <c r="N71" s="17"/>
    </row>
    <row r="72" spans="1:14" ht="17" customHeight="1">
      <c r="F72" s="11" t="s">
        <v>5</v>
      </c>
      <c r="H72" s="29">
        <v>0.21</v>
      </c>
      <c r="I72" s="18">
        <f>H72*I71</f>
        <v>0</v>
      </c>
    </row>
    <row r="73" spans="1:14" ht="17" customHeight="1">
      <c r="F73" s="11" t="s">
        <v>110</v>
      </c>
      <c r="I73" s="16">
        <f>I72+I71</f>
        <v>0</v>
      </c>
      <c r="L73" s="88"/>
      <c r="M73" s="17"/>
      <c r="N73" s="17"/>
    </row>
    <row r="74" spans="1:14">
      <c r="C74" s="19"/>
      <c r="D74" s="22"/>
      <c r="E74" s="22"/>
      <c r="F74" s="22"/>
      <c r="G74" s="22"/>
      <c r="H74" s="22"/>
      <c r="I74" s="16"/>
    </row>
    <row r="75" spans="1:14" s="10" customFormat="1" ht="16">
      <c r="A75" s="110"/>
      <c r="B75" s="112"/>
      <c r="C75" s="92" t="s">
        <v>248</v>
      </c>
      <c r="D75" s="92"/>
      <c r="E75" s="92"/>
      <c r="F75" s="92"/>
      <c r="G75" s="92"/>
      <c r="H75" s="92"/>
      <c r="I75" s="93"/>
      <c r="J75" s="117"/>
    </row>
    <row r="76" spans="1:14"/>
    <row r="77" spans="1:14" ht="14" thickBot="1"/>
    <row r="78" spans="1:14" s="95" customFormat="1" ht="57" thickBot="1">
      <c r="A78" s="110"/>
      <c r="B78" s="113"/>
      <c r="C78" s="616" t="s">
        <v>133</v>
      </c>
      <c r="D78" s="613" t="s">
        <v>252</v>
      </c>
      <c r="E78" s="614" t="s">
        <v>201</v>
      </c>
      <c r="F78" s="614" t="s">
        <v>151</v>
      </c>
      <c r="G78" s="614" t="s">
        <v>131</v>
      </c>
      <c r="H78" s="614" t="s">
        <v>44</v>
      </c>
      <c r="I78" s="615"/>
      <c r="J78" s="118"/>
    </row>
    <row r="79" spans="1:14" s="31" customFormat="1">
      <c r="A79" s="110"/>
      <c r="B79" s="114"/>
      <c r="C79" s="98" t="s">
        <v>246</v>
      </c>
      <c r="D79" s="99"/>
      <c r="E79" s="99"/>
      <c r="F79" s="100"/>
      <c r="G79" s="100"/>
      <c r="H79" s="100"/>
      <c r="I79" s="100"/>
      <c r="J79" s="119"/>
    </row>
    <row r="80" spans="1:14" s="31" customFormat="1">
      <c r="A80" s="233"/>
      <c r="B80" s="114"/>
      <c r="I80" s="106"/>
      <c r="J80" s="119"/>
    </row>
    <row r="81" spans="1:255" s="31" customFormat="1" ht="14">
      <c r="A81" s="111"/>
      <c r="B81" s="199" t="s">
        <v>243</v>
      </c>
      <c r="C81" s="216" t="s">
        <v>1110</v>
      </c>
      <c r="D81" s="553"/>
      <c r="E81" s="108">
        <f>G81/F81</f>
        <v>0</v>
      </c>
      <c r="F81" s="231">
        <v>3</v>
      </c>
      <c r="G81" s="108">
        <f>$G$94*D81</f>
        <v>0</v>
      </c>
      <c r="H81" s="232">
        <f>HLOOKUP(C81,basistariefglas,47,FALSE)</f>
        <v>0</v>
      </c>
      <c r="I81" s="230">
        <f>H81*G81</f>
        <v>0</v>
      </c>
      <c r="J81" s="119"/>
    </row>
    <row r="82" spans="1:255" s="31" customFormat="1">
      <c r="A82" s="111"/>
      <c r="B82" s="114"/>
      <c r="C82" s="234"/>
      <c r="D82" s="261"/>
      <c r="E82" s="234"/>
      <c r="F82" s="234"/>
      <c r="G82" s="234"/>
      <c r="H82" s="234"/>
      <c r="I82" s="234"/>
      <c r="J82" s="235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4"/>
      <c r="BN82" s="234"/>
      <c r="BO82" s="234"/>
      <c r="BP82" s="234"/>
      <c r="BQ82" s="234"/>
      <c r="BR82" s="234"/>
      <c r="BS82" s="234"/>
      <c r="BT82" s="234"/>
      <c r="BU82" s="234"/>
      <c r="BV82" s="234"/>
      <c r="BW82" s="234"/>
      <c r="BX82" s="234"/>
      <c r="BY82" s="234"/>
      <c r="BZ82" s="234"/>
      <c r="CA82" s="234"/>
      <c r="CB82" s="234"/>
      <c r="CC82" s="234"/>
      <c r="CD82" s="234"/>
      <c r="CE82" s="234"/>
      <c r="CF82" s="234"/>
      <c r="CG82" s="234"/>
      <c r="CH82" s="234"/>
      <c r="CI82" s="234"/>
      <c r="CJ82" s="234"/>
      <c r="CK82" s="234"/>
      <c r="CL82" s="234"/>
      <c r="CM82" s="234"/>
      <c r="CN82" s="234"/>
      <c r="CO82" s="234"/>
      <c r="CP82" s="234"/>
      <c r="CQ82" s="234"/>
      <c r="CR82" s="234"/>
      <c r="CS82" s="234"/>
      <c r="CT82" s="234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  <c r="DK82" s="234"/>
      <c r="DL82" s="234"/>
      <c r="DM82" s="234"/>
      <c r="DN82" s="234"/>
      <c r="DO82" s="234"/>
      <c r="DP82" s="234"/>
      <c r="DQ82" s="234"/>
      <c r="DR82" s="234"/>
      <c r="DS82" s="234"/>
      <c r="DT82" s="234"/>
      <c r="DU82" s="234"/>
      <c r="DV82" s="234"/>
      <c r="DW82" s="234"/>
      <c r="DX82" s="234"/>
      <c r="DY82" s="234"/>
      <c r="DZ82" s="234"/>
      <c r="EA82" s="234"/>
      <c r="EB82" s="234"/>
      <c r="EC82" s="234"/>
      <c r="ED82" s="234"/>
      <c r="EE82" s="234"/>
      <c r="EF82" s="234"/>
      <c r="EG82" s="234"/>
      <c r="EH82" s="234"/>
      <c r="EI82" s="234"/>
      <c r="EJ82" s="234"/>
      <c r="EK82" s="234"/>
      <c r="EL82" s="234"/>
      <c r="EM82" s="234"/>
      <c r="EN82" s="234"/>
      <c r="EO82" s="234"/>
      <c r="EP82" s="234"/>
      <c r="EQ82" s="234"/>
      <c r="ER82" s="234"/>
      <c r="ES82" s="234"/>
      <c r="ET82" s="234"/>
      <c r="EU82" s="234"/>
      <c r="EV82" s="234"/>
      <c r="EW82" s="234"/>
      <c r="EX82" s="234"/>
      <c r="EY82" s="234"/>
      <c r="EZ82" s="234"/>
      <c r="FA82" s="234"/>
      <c r="FB82" s="234"/>
      <c r="FC82" s="234"/>
      <c r="FD82" s="234"/>
      <c r="FE82" s="234"/>
      <c r="FF82" s="234"/>
      <c r="FG82" s="234"/>
      <c r="FH82" s="234"/>
      <c r="FI82" s="234"/>
      <c r="FJ82" s="234"/>
      <c r="FK82" s="234"/>
      <c r="FL82" s="234"/>
      <c r="FM82" s="234"/>
      <c r="FN82" s="234"/>
      <c r="FO82" s="234"/>
      <c r="FP82" s="234"/>
      <c r="FQ82" s="234"/>
      <c r="FR82" s="234"/>
      <c r="FS82" s="234"/>
      <c r="FT82" s="234"/>
      <c r="FU82" s="234"/>
      <c r="FV82" s="234"/>
      <c r="FW82" s="234"/>
      <c r="FX82" s="234"/>
      <c r="FY82" s="234"/>
      <c r="FZ82" s="234"/>
      <c r="GA82" s="234"/>
      <c r="GB82" s="234"/>
      <c r="GC82" s="234"/>
      <c r="GD82" s="234"/>
      <c r="GE82" s="234"/>
      <c r="GF82" s="234"/>
      <c r="GG82" s="234"/>
      <c r="GH82" s="234"/>
      <c r="GI82" s="234"/>
      <c r="GJ82" s="234"/>
      <c r="GK82" s="234"/>
      <c r="GL82" s="234"/>
      <c r="GM82" s="234"/>
      <c r="GN82" s="234"/>
      <c r="GO82" s="234"/>
      <c r="GP82" s="234"/>
      <c r="GQ82" s="234"/>
      <c r="GR82" s="234"/>
      <c r="GS82" s="234"/>
      <c r="GT82" s="234"/>
      <c r="GU82" s="234"/>
      <c r="GV82" s="234"/>
      <c r="GW82" s="234"/>
      <c r="GX82" s="234"/>
      <c r="GY82" s="234"/>
      <c r="GZ82" s="234"/>
      <c r="HA82" s="234"/>
      <c r="HB82" s="234"/>
      <c r="HC82" s="234"/>
      <c r="HD82" s="234"/>
      <c r="HE82" s="234"/>
      <c r="HF82" s="234"/>
      <c r="HG82" s="234"/>
      <c r="HH82" s="234"/>
      <c r="HI82" s="234"/>
      <c r="HJ82" s="234"/>
      <c r="HK82" s="234"/>
      <c r="HL82" s="234"/>
      <c r="HM82" s="234"/>
      <c r="HN82" s="234"/>
      <c r="HO82" s="234"/>
      <c r="HP82" s="234"/>
      <c r="HQ82" s="234"/>
      <c r="HR82" s="234"/>
      <c r="HS82" s="234"/>
      <c r="HT82" s="234"/>
      <c r="HU82" s="234"/>
      <c r="HV82" s="234"/>
      <c r="HW82" s="234"/>
      <c r="HX82" s="234"/>
      <c r="HY82" s="234"/>
      <c r="HZ82" s="234"/>
      <c r="IA82" s="234"/>
      <c r="IB82" s="234"/>
      <c r="IC82" s="234"/>
      <c r="ID82" s="234"/>
      <c r="IE82" s="234"/>
      <c r="IF82" s="234"/>
      <c r="IG82" s="234"/>
      <c r="IH82" s="234"/>
      <c r="II82" s="234"/>
      <c r="IJ82" s="234"/>
      <c r="IK82" s="234"/>
      <c r="IL82" s="234"/>
      <c r="IM82" s="234"/>
      <c r="IN82" s="234"/>
      <c r="IO82" s="234"/>
      <c r="IP82" s="234"/>
      <c r="IQ82" s="234"/>
      <c r="IR82" s="234"/>
      <c r="IS82" s="234"/>
      <c r="IT82" s="234"/>
      <c r="IU82" s="234"/>
    </row>
    <row r="83" spans="1:255" s="31" customFormat="1">
      <c r="A83" s="233"/>
      <c r="B83" s="114"/>
      <c r="D83" s="258"/>
      <c r="I83" s="106"/>
      <c r="J83" s="119"/>
    </row>
    <row r="84" spans="1:255" s="31" customFormat="1" ht="14">
      <c r="A84" s="111"/>
      <c r="B84" s="199" t="s">
        <v>243</v>
      </c>
      <c r="C84" s="216" t="s">
        <v>1110</v>
      </c>
      <c r="D84" s="256">
        <v>0</v>
      </c>
      <c r="E84" s="108">
        <f>G84/F84</f>
        <v>0</v>
      </c>
      <c r="F84" s="231">
        <v>3</v>
      </c>
      <c r="G84" s="108">
        <f>$G$94*D84</f>
        <v>0</v>
      </c>
      <c r="H84" s="232">
        <f>HLOOKUP(C84,basistariefglas,47,FALSE)</f>
        <v>0</v>
      </c>
      <c r="I84" s="230">
        <f>H84*G84</f>
        <v>0</v>
      </c>
      <c r="J84" s="119"/>
    </row>
    <row r="85" spans="1:255" s="31" customFormat="1">
      <c r="A85" s="111"/>
      <c r="B85" s="114"/>
      <c r="C85" s="234"/>
      <c r="D85" s="261"/>
      <c r="E85" s="234"/>
      <c r="F85" s="234"/>
      <c r="G85" s="234"/>
      <c r="H85" s="234"/>
      <c r="I85" s="234"/>
      <c r="J85" s="235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234"/>
      <c r="BT85" s="234"/>
      <c r="BU85" s="234"/>
      <c r="BV85" s="234"/>
      <c r="BW85" s="234"/>
      <c r="BX85" s="234"/>
      <c r="BY85" s="234"/>
      <c r="BZ85" s="234"/>
      <c r="CA85" s="234"/>
      <c r="CB85" s="234"/>
      <c r="CC85" s="234"/>
      <c r="CD85" s="234"/>
      <c r="CE85" s="234"/>
      <c r="CF85" s="234"/>
      <c r="CG85" s="234"/>
      <c r="CH85" s="234"/>
      <c r="CI85" s="234"/>
      <c r="CJ85" s="234"/>
      <c r="CK85" s="234"/>
      <c r="CL85" s="234"/>
      <c r="CM85" s="234"/>
      <c r="CN85" s="234"/>
      <c r="CO85" s="234"/>
      <c r="CP85" s="234"/>
      <c r="CQ85" s="234"/>
      <c r="CR85" s="234"/>
      <c r="CS85" s="234"/>
      <c r="CT85" s="234"/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  <c r="DL85" s="234"/>
      <c r="DM85" s="234"/>
      <c r="DN85" s="234"/>
      <c r="DO85" s="234"/>
      <c r="DP85" s="234"/>
      <c r="DQ85" s="234"/>
      <c r="DR85" s="234"/>
      <c r="DS85" s="234"/>
      <c r="DT85" s="234"/>
      <c r="DU85" s="234"/>
      <c r="DV85" s="234"/>
      <c r="DW85" s="234"/>
      <c r="DX85" s="234"/>
      <c r="DY85" s="234"/>
      <c r="DZ85" s="234"/>
      <c r="EA85" s="234"/>
      <c r="EB85" s="234"/>
      <c r="EC85" s="234"/>
      <c r="ED85" s="234"/>
      <c r="EE85" s="234"/>
      <c r="EF85" s="234"/>
      <c r="EG85" s="234"/>
      <c r="EH85" s="234"/>
      <c r="EI85" s="234"/>
      <c r="EJ85" s="234"/>
      <c r="EK85" s="234"/>
      <c r="EL85" s="234"/>
      <c r="EM85" s="234"/>
      <c r="EN85" s="234"/>
      <c r="EO85" s="234"/>
      <c r="EP85" s="234"/>
      <c r="EQ85" s="234"/>
      <c r="ER85" s="234"/>
      <c r="ES85" s="234"/>
      <c r="ET85" s="234"/>
      <c r="EU85" s="234"/>
      <c r="EV85" s="234"/>
      <c r="EW85" s="234"/>
      <c r="EX85" s="234"/>
      <c r="EY85" s="234"/>
      <c r="EZ85" s="234"/>
      <c r="FA85" s="234"/>
      <c r="FB85" s="234"/>
      <c r="FC85" s="234"/>
      <c r="FD85" s="234"/>
      <c r="FE85" s="234"/>
      <c r="FF85" s="234"/>
      <c r="FG85" s="234"/>
      <c r="FH85" s="234"/>
      <c r="FI85" s="234"/>
      <c r="FJ85" s="234"/>
      <c r="FK85" s="234"/>
      <c r="FL85" s="234"/>
      <c r="FM85" s="234"/>
      <c r="FN85" s="234"/>
      <c r="FO85" s="234"/>
      <c r="FP85" s="234"/>
      <c r="FQ85" s="234"/>
      <c r="FR85" s="234"/>
      <c r="FS85" s="234"/>
      <c r="FT85" s="234"/>
      <c r="FU85" s="234"/>
      <c r="FV85" s="234"/>
      <c r="FW85" s="234"/>
      <c r="FX85" s="234"/>
      <c r="FY85" s="234"/>
      <c r="FZ85" s="234"/>
      <c r="GA85" s="234"/>
      <c r="GB85" s="234"/>
      <c r="GC85" s="234"/>
      <c r="GD85" s="234"/>
      <c r="GE85" s="234"/>
      <c r="GF85" s="234"/>
      <c r="GG85" s="234"/>
      <c r="GH85" s="234"/>
      <c r="GI85" s="234"/>
      <c r="GJ85" s="234"/>
      <c r="GK85" s="234"/>
      <c r="GL85" s="234"/>
      <c r="GM85" s="234"/>
      <c r="GN85" s="234"/>
      <c r="GO85" s="234"/>
      <c r="GP85" s="234"/>
      <c r="GQ85" s="234"/>
      <c r="GR85" s="234"/>
      <c r="GS85" s="234"/>
      <c r="GT85" s="234"/>
      <c r="GU85" s="234"/>
      <c r="GV85" s="234"/>
      <c r="GW85" s="234"/>
      <c r="GX85" s="234"/>
      <c r="GY85" s="234"/>
      <c r="GZ85" s="234"/>
      <c r="HA85" s="234"/>
      <c r="HB85" s="234"/>
      <c r="HC85" s="234"/>
      <c r="HD85" s="234"/>
      <c r="HE85" s="234"/>
      <c r="HF85" s="234"/>
      <c r="HG85" s="234"/>
      <c r="HH85" s="234"/>
      <c r="HI85" s="234"/>
      <c r="HJ85" s="234"/>
      <c r="HK85" s="234"/>
      <c r="HL85" s="234"/>
      <c r="HM85" s="234"/>
      <c r="HN85" s="234"/>
      <c r="HO85" s="234"/>
      <c r="HP85" s="234"/>
      <c r="HQ85" s="234"/>
      <c r="HR85" s="234"/>
      <c r="HS85" s="234"/>
      <c r="HT85" s="234"/>
      <c r="HU85" s="234"/>
      <c r="HV85" s="234"/>
      <c r="HW85" s="234"/>
      <c r="HX85" s="234"/>
      <c r="HY85" s="234"/>
      <c r="HZ85" s="234"/>
      <c r="IA85" s="234"/>
      <c r="IB85" s="234"/>
      <c r="IC85" s="234"/>
      <c r="ID85" s="234"/>
      <c r="IE85" s="234"/>
      <c r="IF85" s="234"/>
      <c r="IG85" s="234"/>
      <c r="IH85" s="234"/>
      <c r="II85" s="234"/>
      <c r="IJ85" s="234"/>
      <c r="IK85" s="234"/>
      <c r="IL85" s="234"/>
      <c r="IM85" s="234"/>
      <c r="IN85" s="234"/>
      <c r="IO85" s="234"/>
      <c r="IP85" s="234"/>
      <c r="IQ85" s="234"/>
      <c r="IR85" s="234"/>
      <c r="IS85" s="234"/>
      <c r="IT85" s="234"/>
      <c r="IU85" s="234"/>
    </row>
    <row r="86" spans="1:255" s="31" customFormat="1">
      <c r="A86" s="233"/>
      <c r="B86" s="114"/>
      <c r="D86" s="258"/>
      <c r="I86" s="106"/>
      <c r="J86" s="119"/>
    </row>
    <row r="87" spans="1:255" s="31" customFormat="1" ht="14">
      <c r="A87" s="111"/>
      <c r="B87" s="199" t="s">
        <v>243</v>
      </c>
      <c r="C87" s="216" t="s">
        <v>1110</v>
      </c>
      <c r="D87" s="256">
        <v>0</v>
      </c>
      <c r="E87" s="108">
        <f>G87/F87</f>
        <v>0</v>
      </c>
      <c r="F87" s="231">
        <v>3</v>
      </c>
      <c r="G87" s="108">
        <f>$G$94*D87</f>
        <v>0</v>
      </c>
      <c r="H87" s="232">
        <f>HLOOKUP(C87,basistariefglas,47,FALSE)</f>
        <v>0</v>
      </c>
      <c r="I87" s="230">
        <f>H87*G87</f>
        <v>0</v>
      </c>
      <c r="J87" s="119"/>
    </row>
    <row r="88" spans="1:255" s="31" customFormat="1">
      <c r="A88" s="111"/>
      <c r="B88" s="114"/>
      <c r="C88" s="234"/>
      <c r="D88" s="261"/>
      <c r="E88" s="234"/>
      <c r="F88" s="234"/>
      <c r="G88" s="234"/>
      <c r="H88" s="234"/>
      <c r="I88" s="234"/>
      <c r="J88" s="235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  <c r="AV88" s="234"/>
      <c r="AW88" s="234"/>
      <c r="AX88" s="234"/>
      <c r="AY88" s="234"/>
      <c r="AZ88" s="234"/>
      <c r="BA88" s="234"/>
      <c r="BB88" s="234"/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234"/>
      <c r="BT88" s="234"/>
      <c r="BU88" s="234"/>
      <c r="BV88" s="234"/>
      <c r="BW88" s="234"/>
      <c r="BX88" s="234"/>
      <c r="BY88" s="234"/>
      <c r="BZ88" s="234"/>
      <c r="CA88" s="234"/>
      <c r="CB88" s="234"/>
      <c r="CC88" s="234"/>
      <c r="CD88" s="234"/>
      <c r="CE88" s="234"/>
      <c r="CF88" s="234"/>
      <c r="CG88" s="234"/>
      <c r="CH88" s="234"/>
      <c r="CI88" s="234"/>
      <c r="CJ88" s="234"/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  <c r="DK88" s="234"/>
      <c r="DL88" s="234"/>
      <c r="DM88" s="234"/>
      <c r="DN88" s="234"/>
      <c r="DO88" s="234"/>
      <c r="DP88" s="234"/>
      <c r="DQ88" s="234"/>
      <c r="DR88" s="234"/>
      <c r="DS88" s="234"/>
      <c r="DT88" s="234"/>
      <c r="DU88" s="234"/>
      <c r="DV88" s="234"/>
      <c r="DW88" s="234"/>
      <c r="DX88" s="234"/>
      <c r="DY88" s="234"/>
      <c r="DZ88" s="234"/>
      <c r="EA88" s="234"/>
      <c r="EB88" s="234"/>
      <c r="EC88" s="234"/>
      <c r="ED88" s="234"/>
      <c r="EE88" s="234"/>
      <c r="EF88" s="234"/>
      <c r="EG88" s="234"/>
      <c r="EH88" s="234"/>
      <c r="EI88" s="234"/>
      <c r="EJ88" s="234"/>
      <c r="EK88" s="234"/>
      <c r="EL88" s="234"/>
      <c r="EM88" s="234"/>
      <c r="EN88" s="234"/>
      <c r="EO88" s="234"/>
      <c r="EP88" s="234"/>
      <c r="EQ88" s="234"/>
      <c r="ER88" s="234"/>
      <c r="ES88" s="234"/>
      <c r="ET88" s="234"/>
      <c r="EU88" s="234"/>
      <c r="EV88" s="234"/>
      <c r="EW88" s="234"/>
      <c r="EX88" s="234"/>
      <c r="EY88" s="234"/>
      <c r="EZ88" s="234"/>
      <c r="FA88" s="234"/>
      <c r="FB88" s="234"/>
      <c r="FC88" s="234"/>
      <c r="FD88" s="234"/>
      <c r="FE88" s="234"/>
      <c r="FF88" s="234"/>
      <c r="FG88" s="234"/>
      <c r="FH88" s="234"/>
      <c r="FI88" s="234"/>
      <c r="FJ88" s="234"/>
      <c r="FK88" s="234"/>
      <c r="FL88" s="234"/>
      <c r="FM88" s="234"/>
      <c r="FN88" s="234"/>
      <c r="FO88" s="234"/>
      <c r="FP88" s="234"/>
      <c r="FQ88" s="234"/>
      <c r="FR88" s="234"/>
      <c r="FS88" s="234"/>
      <c r="FT88" s="234"/>
      <c r="FU88" s="234"/>
      <c r="FV88" s="234"/>
      <c r="FW88" s="234"/>
      <c r="FX88" s="234"/>
      <c r="FY88" s="234"/>
      <c r="FZ88" s="234"/>
      <c r="GA88" s="234"/>
      <c r="GB88" s="234"/>
      <c r="GC88" s="234"/>
      <c r="GD88" s="234"/>
      <c r="GE88" s="234"/>
      <c r="GF88" s="234"/>
      <c r="GG88" s="234"/>
      <c r="GH88" s="234"/>
      <c r="GI88" s="234"/>
      <c r="GJ88" s="234"/>
      <c r="GK88" s="234"/>
      <c r="GL88" s="234"/>
      <c r="GM88" s="234"/>
      <c r="GN88" s="234"/>
      <c r="GO88" s="234"/>
      <c r="GP88" s="234"/>
      <c r="GQ88" s="234"/>
      <c r="GR88" s="234"/>
      <c r="GS88" s="234"/>
      <c r="GT88" s="234"/>
      <c r="GU88" s="234"/>
      <c r="GV88" s="234"/>
      <c r="GW88" s="234"/>
      <c r="GX88" s="234"/>
      <c r="GY88" s="234"/>
      <c r="GZ88" s="234"/>
      <c r="HA88" s="234"/>
      <c r="HB88" s="234"/>
      <c r="HC88" s="234"/>
      <c r="HD88" s="234"/>
      <c r="HE88" s="234"/>
      <c r="HF88" s="234"/>
      <c r="HG88" s="234"/>
      <c r="HH88" s="234"/>
      <c r="HI88" s="234"/>
      <c r="HJ88" s="234"/>
      <c r="HK88" s="234"/>
      <c r="HL88" s="234"/>
      <c r="HM88" s="234"/>
      <c r="HN88" s="234"/>
      <c r="HO88" s="234"/>
      <c r="HP88" s="234"/>
      <c r="HQ88" s="234"/>
      <c r="HR88" s="234"/>
      <c r="HS88" s="234"/>
      <c r="HT88" s="234"/>
      <c r="HU88" s="234"/>
      <c r="HV88" s="234"/>
      <c r="HW88" s="234"/>
      <c r="HX88" s="234"/>
      <c r="HY88" s="234"/>
      <c r="HZ88" s="234"/>
      <c r="IA88" s="234"/>
      <c r="IB88" s="234"/>
      <c r="IC88" s="234"/>
      <c r="ID88" s="234"/>
      <c r="IE88" s="234"/>
      <c r="IF88" s="234"/>
      <c r="IG88" s="234"/>
      <c r="IH88" s="234"/>
      <c r="II88" s="234"/>
      <c r="IJ88" s="234"/>
      <c r="IK88" s="234"/>
      <c r="IL88" s="234"/>
      <c r="IM88" s="234"/>
      <c r="IN88" s="234"/>
      <c r="IO88" s="234"/>
      <c r="IP88" s="234"/>
      <c r="IQ88" s="234"/>
      <c r="IR88" s="234"/>
      <c r="IS88" s="234"/>
      <c r="IT88" s="234"/>
      <c r="IU88" s="234"/>
    </row>
    <row r="89" spans="1:255" s="31" customFormat="1">
      <c r="A89" s="111"/>
      <c r="B89" s="114"/>
      <c r="D89" s="258"/>
      <c r="I89" s="106"/>
      <c r="J89" s="119"/>
    </row>
    <row r="90" spans="1:255" s="31" customFormat="1" ht="14">
      <c r="A90" s="111"/>
      <c r="B90" s="199" t="s">
        <v>243</v>
      </c>
      <c r="C90" s="216" t="s">
        <v>1110</v>
      </c>
      <c r="D90" s="256">
        <v>0</v>
      </c>
      <c r="E90" s="108">
        <f>G90/F90</f>
        <v>0</v>
      </c>
      <c r="F90" s="231">
        <v>3</v>
      </c>
      <c r="G90" s="108">
        <f>$G$94*D90</f>
        <v>0</v>
      </c>
      <c r="H90" s="232">
        <f>HLOOKUP(C90,basistariefglas,47,FALSE)</f>
        <v>0</v>
      </c>
      <c r="I90" s="230">
        <f>H90*G90</f>
        <v>0</v>
      </c>
      <c r="J90" s="119"/>
    </row>
    <row r="91" spans="1:255" s="31" customFormat="1">
      <c r="A91" s="111"/>
      <c r="B91" s="114"/>
      <c r="C91" s="234"/>
      <c r="D91" s="261"/>
      <c r="E91" s="234"/>
      <c r="F91" s="234"/>
      <c r="G91" s="234"/>
      <c r="H91" s="234"/>
      <c r="I91" s="234"/>
      <c r="J91" s="235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  <c r="AW91" s="234"/>
      <c r="AX91" s="234"/>
      <c r="AY91" s="234"/>
      <c r="AZ91" s="234"/>
      <c r="BA91" s="234"/>
      <c r="BB91" s="234"/>
      <c r="BC91" s="234"/>
      <c r="BD91" s="234"/>
      <c r="BE91" s="234"/>
      <c r="BF91" s="234"/>
      <c r="BG91" s="234"/>
      <c r="BH91" s="234"/>
      <c r="BI91" s="234"/>
      <c r="BJ91" s="234"/>
      <c r="BK91" s="234"/>
      <c r="BL91" s="234"/>
      <c r="BM91" s="234"/>
      <c r="BN91" s="234"/>
      <c r="BO91" s="234"/>
      <c r="BP91" s="234"/>
      <c r="BQ91" s="234"/>
      <c r="BR91" s="234"/>
      <c r="BS91" s="234"/>
      <c r="BT91" s="234"/>
      <c r="BU91" s="234"/>
      <c r="BV91" s="234"/>
      <c r="BW91" s="234"/>
      <c r="BX91" s="234"/>
      <c r="BY91" s="234"/>
      <c r="BZ91" s="234"/>
      <c r="CA91" s="234"/>
      <c r="CB91" s="234"/>
      <c r="CC91" s="234"/>
      <c r="CD91" s="234"/>
      <c r="CE91" s="234"/>
      <c r="CF91" s="234"/>
      <c r="CG91" s="234"/>
      <c r="CH91" s="234"/>
      <c r="CI91" s="234"/>
      <c r="CJ91" s="234"/>
      <c r="CK91" s="234"/>
      <c r="CL91" s="234"/>
      <c r="CM91" s="234"/>
      <c r="CN91" s="234"/>
      <c r="CO91" s="234"/>
      <c r="CP91" s="234"/>
      <c r="CQ91" s="234"/>
      <c r="CR91" s="234"/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  <c r="DL91" s="234"/>
      <c r="DM91" s="234"/>
      <c r="DN91" s="234"/>
      <c r="DO91" s="234"/>
      <c r="DP91" s="234"/>
      <c r="DQ91" s="234"/>
      <c r="DR91" s="234"/>
      <c r="DS91" s="234"/>
      <c r="DT91" s="234"/>
      <c r="DU91" s="234"/>
      <c r="DV91" s="234"/>
      <c r="DW91" s="234"/>
      <c r="DX91" s="234"/>
      <c r="DY91" s="234"/>
      <c r="DZ91" s="234"/>
      <c r="EA91" s="234"/>
      <c r="EB91" s="234"/>
      <c r="EC91" s="234"/>
      <c r="ED91" s="234"/>
      <c r="EE91" s="234"/>
      <c r="EF91" s="234"/>
      <c r="EG91" s="234"/>
      <c r="EH91" s="234"/>
      <c r="EI91" s="234"/>
      <c r="EJ91" s="234"/>
      <c r="EK91" s="234"/>
      <c r="EL91" s="234"/>
      <c r="EM91" s="234"/>
      <c r="EN91" s="234"/>
      <c r="EO91" s="234"/>
      <c r="EP91" s="234"/>
      <c r="EQ91" s="234"/>
      <c r="ER91" s="234"/>
      <c r="ES91" s="234"/>
      <c r="ET91" s="234"/>
      <c r="EU91" s="234"/>
      <c r="EV91" s="234"/>
      <c r="EW91" s="234"/>
      <c r="EX91" s="234"/>
      <c r="EY91" s="234"/>
      <c r="EZ91" s="234"/>
      <c r="FA91" s="234"/>
      <c r="FB91" s="234"/>
      <c r="FC91" s="234"/>
      <c r="FD91" s="234"/>
      <c r="FE91" s="234"/>
      <c r="FF91" s="234"/>
      <c r="FG91" s="234"/>
      <c r="FH91" s="234"/>
      <c r="FI91" s="234"/>
      <c r="FJ91" s="234"/>
      <c r="FK91" s="234"/>
      <c r="FL91" s="234"/>
      <c r="FM91" s="234"/>
      <c r="FN91" s="234"/>
      <c r="FO91" s="234"/>
      <c r="FP91" s="234"/>
      <c r="FQ91" s="234"/>
      <c r="FR91" s="234"/>
      <c r="FS91" s="234"/>
      <c r="FT91" s="234"/>
      <c r="FU91" s="234"/>
      <c r="FV91" s="234"/>
      <c r="FW91" s="234"/>
      <c r="FX91" s="234"/>
      <c r="FY91" s="234"/>
      <c r="FZ91" s="234"/>
      <c r="GA91" s="234"/>
      <c r="GB91" s="234"/>
      <c r="GC91" s="234"/>
      <c r="GD91" s="234"/>
      <c r="GE91" s="234"/>
      <c r="GF91" s="234"/>
      <c r="GG91" s="234"/>
      <c r="GH91" s="234"/>
      <c r="GI91" s="234"/>
      <c r="GJ91" s="234"/>
      <c r="GK91" s="234"/>
      <c r="GL91" s="234"/>
      <c r="GM91" s="234"/>
      <c r="GN91" s="234"/>
      <c r="GO91" s="234"/>
      <c r="GP91" s="234"/>
      <c r="GQ91" s="234"/>
      <c r="GR91" s="234"/>
      <c r="GS91" s="234"/>
      <c r="GT91" s="234"/>
      <c r="GU91" s="234"/>
      <c r="GV91" s="234"/>
      <c r="GW91" s="234"/>
      <c r="GX91" s="234"/>
      <c r="GY91" s="234"/>
      <c r="GZ91" s="234"/>
      <c r="HA91" s="234"/>
      <c r="HB91" s="234"/>
      <c r="HC91" s="234"/>
      <c r="HD91" s="234"/>
      <c r="HE91" s="234"/>
      <c r="HF91" s="234"/>
      <c r="HG91" s="234"/>
      <c r="HH91" s="234"/>
      <c r="HI91" s="234"/>
      <c r="HJ91" s="234"/>
      <c r="HK91" s="234"/>
      <c r="HL91" s="234"/>
      <c r="HM91" s="234"/>
      <c r="HN91" s="234"/>
      <c r="HO91" s="234"/>
      <c r="HP91" s="234"/>
      <c r="HQ91" s="234"/>
      <c r="HR91" s="234"/>
      <c r="HS91" s="234"/>
      <c r="HT91" s="234"/>
      <c r="HU91" s="234"/>
      <c r="HV91" s="234"/>
      <c r="HW91" s="234"/>
      <c r="HX91" s="234"/>
      <c r="HY91" s="234"/>
      <c r="HZ91" s="234"/>
      <c r="IA91" s="234"/>
      <c r="IB91" s="234"/>
      <c r="IC91" s="234"/>
      <c r="ID91" s="234"/>
      <c r="IE91" s="234"/>
      <c r="IF91" s="234"/>
      <c r="IG91" s="234"/>
      <c r="IH91" s="234"/>
      <c r="II91" s="234"/>
      <c r="IJ91" s="234"/>
      <c r="IK91" s="234"/>
      <c r="IL91" s="234"/>
      <c r="IM91" s="234"/>
      <c r="IN91" s="234"/>
      <c r="IO91" s="234"/>
      <c r="IP91" s="234"/>
      <c r="IQ91" s="234"/>
      <c r="IR91" s="234"/>
      <c r="IS91" s="234"/>
      <c r="IT91" s="234"/>
      <c r="IU91" s="234"/>
    </row>
    <row r="92" spans="1:255" s="31" customFormat="1">
      <c r="A92" s="111"/>
      <c r="B92" s="114"/>
      <c r="D92" s="258"/>
      <c r="I92" s="106"/>
      <c r="J92" s="119"/>
    </row>
    <row r="93" spans="1:255" s="31" customFormat="1" ht="14">
      <c r="A93" s="111"/>
      <c r="B93" s="199" t="s">
        <v>243</v>
      </c>
      <c r="C93" s="216" t="s">
        <v>1110</v>
      </c>
      <c r="D93" s="256">
        <v>0</v>
      </c>
      <c r="E93" s="236">
        <f>G93/F93</f>
        <v>0</v>
      </c>
      <c r="F93" s="231">
        <v>3</v>
      </c>
      <c r="G93" s="108">
        <f>$G$28*D93</f>
        <v>0</v>
      </c>
      <c r="H93" s="232">
        <f>HLOOKUP(C93,basistariefglas,47,FALSE)</f>
        <v>0</v>
      </c>
      <c r="I93" s="230"/>
      <c r="J93" s="119"/>
    </row>
    <row r="94" spans="1:255" s="31" customFormat="1">
      <c r="A94" s="111"/>
      <c r="B94" s="114"/>
      <c r="C94" s="297" t="str">
        <f>IF(D94&gt;100%,"Mag niet hoger zijn dan 100%","")</f>
        <v/>
      </c>
      <c r="D94" s="259">
        <f>D93+D90+D87+D84+D81</f>
        <v>0</v>
      </c>
      <c r="E94" s="103">
        <f>SUM(E81:E93)</f>
        <v>0</v>
      </c>
      <c r="F94" s="100"/>
      <c r="G94" s="103">
        <f>SUM('1.9-Glasbewassing'!L16:N138)</f>
        <v>0</v>
      </c>
      <c r="H94" s="99">
        <v>0</v>
      </c>
      <c r="I94" s="396">
        <f>SUM(I81:I93)</f>
        <v>0</v>
      </c>
      <c r="J94" s="119"/>
      <c r="K94" s="17"/>
    </row>
    <row r="95" spans="1:255" s="31" customFormat="1">
      <c r="A95" s="111"/>
      <c r="B95" s="114"/>
      <c r="C95" s="98"/>
      <c r="D95" s="259"/>
      <c r="E95" s="103"/>
      <c r="F95" s="100"/>
      <c r="G95" s="103"/>
      <c r="H95" s="99"/>
      <c r="I95" s="104"/>
      <c r="J95" s="119"/>
      <c r="K95" s="17"/>
    </row>
    <row r="96" spans="1:255" s="31" customFormat="1">
      <c r="A96" s="111"/>
      <c r="B96" s="114"/>
      <c r="C96" s="98" t="s">
        <v>247</v>
      </c>
      <c r="D96" s="258"/>
      <c r="F96" s="100"/>
      <c r="G96" s="100"/>
      <c r="H96" s="100"/>
      <c r="I96" s="100"/>
      <c r="J96" s="119"/>
      <c r="K96" s="101"/>
    </row>
    <row r="97" spans="1:255" s="31" customFormat="1">
      <c r="A97" s="111"/>
      <c r="B97" s="114"/>
      <c r="D97" s="258"/>
      <c r="I97" s="106"/>
      <c r="J97" s="119"/>
      <c r="K97" s="107"/>
    </row>
    <row r="98" spans="1:255" s="31" customFormat="1" ht="14">
      <c r="A98" s="111"/>
      <c r="B98" s="199" t="s">
        <v>243</v>
      </c>
      <c r="C98" s="216" t="s">
        <v>1110</v>
      </c>
      <c r="D98" s="256"/>
      <c r="E98" s="108">
        <f>G98/F98</f>
        <v>0</v>
      </c>
      <c r="F98" s="231">
        <v>3</v>
      </c>
      <c r="G98" s="108">
        <f>$G$94*D98</f>
        <v>0</v>
      </c>
      <c r="H98" s="232">
        <f>HLOOKUP(C98,basistariefglas,47,FALSE)</f>
        <v>0</v>
      </c>
      <c r="I98" s="230">
        <f>H98*G98</f>
        <v>0</v>
      </c>
      <c r="J98" s="119"/>
    </row>
    <row r="99" spans="1:255" s="31" customFormat="1">
      <c r="A99" s="111"/>
      <c r="B99" s="114"/>
      <c r="C99" s="237"/>
      <c r="D99" s="258"/>
      <c r="E99" s="108"/>
      <c r="F99" s="231"/>
      <c r="G99" s="108"/>
      <c r="H99" s="232"/>
      <c r="I99" s="109"/>
      <c r="J99" s="119"/>
    </row>
    <row r="100" spans="1:255" s="31" customFormat="1">
      <c r="A100" s="111"/>
      <c r="B100" s="114"/>
      <c r="D100" s="258"/>
      <c r="I100" s="106"/>
      <c r="J100" s="119"/>
      <c r="K100" s="107"/>
    </row>
    <row r="101" spans="1:255" s="31" customFormat="1" ht="14">
      <c r="A101" s="111"/>
      <c r="B101" s="199" t="s">
        <v>243</v>
      </c>
      <c r="C101" s="216" t="s">
        <v>1110</v>
      </c>
      <c r="D101" s="256">
        <v>0</v>
      </c>
      <c r="E101" s="108">
        <f>G101/F101</f>
        <v>0</v>
      </c>
      <c r="F101" s="231">
        <v>3</v>
      </c>
      <c r="G101" s="108">
        <f>$G$94*D101</f>
        <v>0</v>
      </c>
      <c r="H101" s="232">
        <f>HLOOKUP(C101,basistariefglas,47,FALSE)</f>
        <v>0</v>
      </c>
      <c r="I101" s="230">
        <f>H101*G101</f>
        <v>0</v>
      </c>
      <c r="J101" s="119"/>
    </row>
    <row r="102" spans="1:255" s="31" customFormat="1">
      <c r="A102" s="111"/>
      <c r="B102" s="114"/>
      <c r="C102" s="237"/>
      <c r="D102" s="261"/>
      <c r="E102" s="234"/>
      <c r="F102" s="234"/>
      <c r="G102" s="234"/>
      <c r="H102" s="234"/>
      <c r="I102" s="234"/>
      <c r="J102" s="235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  <c r="AV102" s="234"/>
      <c r="AW102" s="234"/>
      <c r="AX102" s="234"/>
      <c r="AY102" s="234"/>
      <c r="AZ102" s="234"/>
      <c r="BA102" s="234"/>
      <c r="BB102" s="234"/>
      <c r="BC102" s="234"/>
      <c r="BD102" s="234"/>
      <c r="BE102" s="234"/>
      <c r="BF102" s="234"/>
      <c r="BG102" s="234"/>
      <c r="BH102" s="234"/>
      <c r="BI102" s="234"/>
      <c r="BJ102" s="234"/>
      <c r="BK102" s="234"/>
      <c r="BL102" s="234"/>
      <c r="BM102" s="234"/>
      <c r="BN102" s="234"/>
      <c r="BO102" s="234"/>
      <c r="BP102" s="234"/>
      <c r="BQ102" s="234"/>
      <c r="BR102" s="234"/>
      <c r="BS102" s="234"/>
      <c r="BT102" s="234"/>
      <c r="BU102" s="234"/>
      <c r="BV102" s="234"/>
      <c r="BW102" s="234"/>
      <c r="BX102" s="234"/>
      <c r="BY102" s="234"/>
      <c r="BZ102" s="234"/>
      <c r="CA102" s="234"/>
      <c r="CB102" s="234"/>
      <c r="CC102" s="234"/>
      <c r="CD102" s="234"/>
      <c r="CE102" s="234"/>
      <c r="CF102" s="234"/>
      <c r="CG102" s="234"/>
      <c r="CH102" s="234"/>
      <c r="CI102" s="234"/>
      <c r="CJ102" s="234"/>
      <c r="CK102" s="234"/>
      <c r="CL102" s="234"/>
      <c r="CM102" s="234"/>
      <c r="CN102" s="234"/>
      <c r="CO102" s="234"/>
      <c r="CP102" s="234"/>
      <c r="CQ102" s="234"/>
      <c r="CR102" s="234"/>
      <c r="CS102" s="234"/>
      <c r="CT102" s="234"/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  <c r="DK102" s="234"/>
      <c r="DL102" s="234"/>
      <c r="DM102" s="234"/>
      <c r="DN102" s="234"/>
      <c r="DO102" s="234"/>
      <c r="DP102" s="234"/>
      <c r="DQ102" s="234"/>
      <c r="DR102" s="234"/>
      <c r="DS102" s="234"/>
      <c r="DT102" s="234"/>
      <c r="DU102" s="234"/>
      <c r="DV102" s="234"/>
      <c r="DW102" s="234"/>
      <c r="DX102" s="234"/>
      <c r="DY102" s="234"/>
      <c r="DZ102" s="234"/>
      <c r="EA102" s="234"/>
      <c r="EB102" s="234"/>
      <c r="EC102" s="234"/>
      <c r="ED102" s="234"/>
      <c r="EE102" s="234"/>
      <c r="EF102" s="234"/>
      <c r="EG102" s="234"/>
      <c r="EH102" s="234"/>
      <c r="EI102" s="234"/>
      <c r="EJ102" s="234"/>
      <c r="EK102" s="234"/>
      <c r="EL102" s="234"/>
      <c r="EM102" s="234"/>
      <c r="EN102" s="234"/>
      <c r="EO102" s="234"/>
      <c r="EP102" s="234"/>
      <c r="EQ102" s="234"/>
      <c r="ER102" s="234"/>
      <c r="ES102" s="234"/>
      <c r="ET102" s="234"/>
      <c r="EU102" s="234"/>
      <c r="EV102" s="234"/>
      <c r="EW102" s="234"/>
      <c r="EX102" s="234"/>
      <c r="EY102" s="234"/>
      <c r="EZ102" s="234"/>
      <c r="FA102" s="234"/>
      <c r="FB102" s="234"/>
      <c r="FC102" s="234"/>
      <c r="FD102" s="234"/>
      <c r="FE102" s="234"/>
      <c r="FF102" s="234"/>
      <c r="FG102" s="234"/>
      <c r="FH102" s="234"/>
      <c r="FI102" s="234"/>
      <c r="FJ102" s="234"/>
      <c r="FK102" s="234"/>
      <c r="FL102" s="234"/>
      <c r="FM102" s="234"/>
      <c r="FN102" s="234"/>
      <c r="FO102" s="234"/>
      <c r="FP102" s="234"/>
      <c r="FQ102" s="234"/>
      <c r="FR102" s="234"/>
      <c r="FS102" s="234"/>
      <c r="FT102" s="234"/>
      <c r="FU102" s="234"/>
      <c r="FV102" s="234"/>
      <c r="FW102" s="234"/>
      <c r="FX102" s="234"/>
      <c r="FY102" s="234"/>
      <c r="FZ102" s="234"/>
      <c r="GA102" s="234"/>
      <c r="GB102" s="234"/>
      <c r="GC102" s="234"/>
      <c r="GD102" s="234"/>
      <c r="GE102" s="234"/>
      <c r="GF102" s="234"/>
      <c r="GG102" s="234"/>
      <c r="GH102" s="234"/>
      <c r="GI102" s="234"/>
      <c r="GJ102" s="234"/>
      <c r="GK102" s="234"/>
      <c r="GL102" s="234"/>
      <c r="GM102" s="234"/>
      <c r="GN102" s="234"/>
      <c r="GO102" s="234"/>
      <c r="GP102" s="234"/>
      <c r="GQ102" s="234"/>
      <c r="GR102" s="234"/>
      <c r="GS102" s="234"/>
      <c r="GT102" s="234"/>
      <c r="GU102" s="234"/>
      <c r="GV102" s="234"/>
      <c r="GW102" s="234"/>
      <c r="GX102" s="234"/>
      <c r="GY102" s="234"/>
      <c r="GZ102" s="234"/>
      <c r="HA102" s="234"/>
      <c r="HB102" s="234"/>
      <c r="HC102" s="234"/>
      <c r="HD102" s="234"/>
      <c r="HE102" s="234"/>
      <c r="HF102" s="234"/>
      <c r="HG102" s="234"/>
      <c r="HH102" s="234"/>
      <c r="HI102" s="234"/>
      <c r="HJ102" s="234"/>
      <c r="HK102" s="234"/>
      <c r="HL102" s="234"/>
      <c r="HM102" s="234"/>
      <c r="HN102" s="234"/>
      <c r="HO102" s="234"/>
      <c r="HP102" s="234"/>
      <c r="HQ102" s="234"/>
      <c r="HR102" s="234"/>
      <c r="HS102" s="234"/>
      <c r="HT102" s="234"/>
      <c r="HU102" s="234"/>
      <c r="HV102" s="234"/>
      <c r="HW102" s="234"/>
      <c r="HX102" s="234"/>
      <c r="HY102" s="234"/>
      <c r="HZ102" s="234"/>
      <c r="IA102" s="234"/>
      <c r="IB102" s="234"/>
      <c r="IC102" s="234"/>
      <c r="ID102" s="234"/>
      <c r="IE102" s="234"/>
      <c r="IF102" s="234"/>
      <c r="IG102" s="234"/>
      <c r="IH102" s="234"/>
      <c r="II102" s="234"/>
      <c r="IJ102" s="234"/>
      <c r="IK102" s="234"/>
      <c r="IL102" s="234"/>
      <c r="IM102" s="234"/>
      <c r="IN102" s="234"/>
      <c r="IO102" s="234"/>
      <c r="IP102" s="234"/>
      <c r="IQ102" s="234"/>
      <c r="IR102" s="234"/>
      <c r="IS102" s="234"/>
      <c r="IT102" s="234"/>
      <c r="IU102" s="234"/>
    </row>
    <row r="103" spans="1:255" s="31" customFormat="1">
      <c r="A103" s="111"/>
      <c r="B103" s="114"/>
      <c r="D103" s="258"/>
      <c r="I103" s="106"/>
      <c r="J103" s="119"/>
    </row>
    <row r="104" spans="1:255" s="31" customFormat="1" ht="14">
      <c r="A104" s="111"/>
      <c r="B104" s="199" t="s">
        <v>243</v>
      </c>
      <c r="C104" s="216" t="s">
        <v>1110</v>
      </c>
      <c r="D104" s="256">
        <v>0</v>
      </c>
      <c r="E104" s="236">
        <f>G104/F104</f>
        <v>0</v>
      </c>
      <c r="F104" s="231">
        <v>3</v>
      </c>
      <c r="G104" s="108">
        <f>$G$94*D104</f>
        <v>0</v>
      </c>
      <c r="H104" s="232">
        <f>HLOOKUP(C104,basistariefglas,47,FALSE)</f>
        <v>0</v>
      </c>
      <c r="I104" s="230"/>
      <c r="J104" s="119"/>
    </row>
    <row r="105" spans="1:255">
      <c r="C105" s="97"/>
      <c r="D105" s="20">
        <f>D104+D101+D98</f>
        <v>0</v>
      </c>
      <c r="E105" s="21">
        <f>SUM(E98:E104)</f>
        <v>0</v>
      </c>
      <c r="F105" s="12"/>
      <c r="G105" s="21">
        <f>SUM(G98:G104)</f>
        <v>0</v>
      </c>
      <c r="H105" s="13"/>
      <c r="I105" s="396">
        <f>SUM(I96:I104)</f>
        <v>0</v>
      </c>
      <c r="J105" s="13"/>
      <c r="K105" s="148">
        <f>IF(G94=0,0,I107/G94)</f>
        <v>0</v>
      </c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</row>
    <row r="106" spans="1:255">
      <c r="C106" s="97"/>
      <c r="D106" s="20"/>
      <c r="E106" s="21"/>
      <c r="F106" s="12"/>
      <c r="G106" s="21"/>
      <c r="H106" s="13"/>
      <c r="I106" s="23"/>
      <c r="J106" s="13"/>
      <c r="K106" s="17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</row>
    <row r="107" spans="1:255">
      <c r="C107" s="97"/>
      <c r="D107" s="20"/>
      <c r="E107" s="21"/>
      <c r="F107" s="12"/>
      <c r="G107" s="21"/>
      <c r="H107" s="13"/>
      <c r="I107" s="229">
        <f>I105+I94</f>
        <v>0</v>
      </c>
      <c r="J107" s="13"/>
      <c r="K107" s="17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</row>
    <row r="108" spans="1:255">
      <c r="C108" s="97"/>
      <c r="D108" s="20"/>
      <c r="E108" s="21"/>
      <c r="F108" s="12"/>
      <c r="G108" s="21"/>
      <c r="H108" s="13"/>
      <c r="I108" s="23"/>
      <c r="J108" s="13"/>
      <c r="K108" s="17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</row>
    <row r="109" spans="1:255">
      <c r="C109" s="96" t="s">
        <v>199</v>
      </c>
      <c r="D109" s="20"/>
      <c r="E109" s="21"/>
      <c r="F109" s="12"/>
      <c r="G109" s="21"/>
      <c r="H109" s="13"/>
      <c r="I109" s="23"/>
      <c r="J109" s="13"/>
      <c r="K109" s="17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</row>
    <row r="110" spans="1:255">
      <c r="C110" s="96"/>
      <c r="D110" s="25"/>
      <c r="E110" s="21"/>
      <c r="F110" s="12"/>
      <c r="G110" s="21"/>
      <c r="H110" s="22"/>
      <c r="I110" s="86"/>
      <c r="J110" s="119"/>
      <c r="K110" s="17"/>
    </row>
    <row r="111" spans="1:255">
      <c r="C111" s="11" t="s">
        <v>200</v>
      </c>
      <c r="D111" s="25"/>
      <c r="F111" s="12"/>
      <c r="G111" s="21"/>
      <c r="H111" s="22"/>
      <c r="I111" s="229">
        <f>SUM('1.9-Glasbewassing'!W20:W33)</f>
        <v>0</v>
      </c>
      <c r="K111" s="17"/>
    </row>
    <row r="112" spans="1:255">
      <c r="C112" s="96"/>
      <c r="D112" s="25"/>
      <c r="E112" s="21"/>
      <c r="F112" s="12"/>
      <c r="G112" s="21"/>
      <c r="H112" s="22"/>
      <c r="I112" s="23"/>
    </row>
    <row r="113" spans="1:11">
      <c r="C113" s="11" t="s">
        <v>170</v>
      </c>
      <c r="E113" s="136">
        <f>SUM('1.9-Glasbewassing'!D:D)+SUM('1.9-Glasbewassing'!F:F)+SUM('1.9-Glasbewassing'!H:H)</f>
        <v>3966.3799999999997</v>
      </c>
      <c r="F113" s="4" t="s">
        <v>171</v>
      </c>
    </row>
    <row r="114" spans="1:11"/>
    <row r="115" spans="1:11">
      <c r="C115" s="129"/>
      <c r="E115" s="560"/>
    </row>
    <row r="116" spans="1:11"/>
    <row r="117" spans="1:11" s="31" customFormat="1" ht="17" customHeight="1">
      <c r="A117" s="110"/>
      <c r="B117" s="114"/>
      <c r="C117" s="11"/>
      <c r="D117" s="4"/>
      <c r="E117" s="4"/>
      <c r="F117" s="27" t="s">
        <v>4</v>
      </c>
      <c r="G117" s="4"/>
      <c r="H117" s="28"/>
      <c r="I117" s="229">
        <f>I105+I94+I111</f>
        <v>0</v>
      </c>
      <c r="J117" s="116"/>
      <c r="K117" s="128">
        <f>SUM('1.9-Glasbewassing'!X1:X130)</f>
        <v>0</v>
      </c>
    </row>
    <row r="118" spans="1:11" s="31" customFormat="1" ht="17" customHeight="1">
      <c r="A118" s="110"/>
      <c r="B118" s="114"/>
      <c r="C118" s="11"/>
      <c r="D118" s="4"/>
      <c r="E118" s="4"/>
      <c r="F118" s="11" t="s">
        <v>5</v>
      </c>
      <c r="G118" s="4"/>
      <c r="H118" s="29">
        <v>0.21</v>
      </c>
      <c r="I118" s="18">
        <f>H118*I117</f>
        <v>0</v>
      </c>
      <c r="J118" s="116"/>
      <c r="K118" s="128"/>
    </row>
    <row r="119" spans="1:11" ht="17" customHeight="1">
      <c r="F119" s="11" t="s">
        <v>110</v>
      </c>
      <c r="H119" s="4" t="s">
        <v>118</v>
      </c>
      <c r="I119" s="559">
        <f>I118+I117</f>
        <v>0</v>
      </c>
      <c r="K119" s="128"/>
    </row>
    <row r="120" spans="1:11">
      <c r="K120" s="128"/>
    </row>
    <row r="121" spans="1:11"/>
    <row r="122" spans="1:11"/>
    <row r="123" spans="1:11"/>
    <row r="124" spans="1:11"/>
    <row r="125" spans="1:11"/>
    <row r="126" spans="1:11"/>
    <row r="127" spans="1:11"/>
    <row r="128" spans="1:11"/>
    <row r="129" spans="9:9"/>
    <row r="130" spans="9:9"/>
    <row r="131" spans="9:9"/>
    <row r="132" spans="9:9"/>
    <row r="133" spans="9:9"/>
    <row r="134" spans="9:9"/>
    <row r="135" spans="9:9"/>
    <row r="136" spans="9:9"/>
    <row r="137" spans="9:9"/>
    <row r="138" spans="9:9"/>
    <row r="139" spans="9:9"/>
    <row r="140" spans="9:9"/>
    <row r="141" spans="9:9"/>
    <row r="142" spans="9:9"/>
    <row r="143" spans="9:9"/>
    <row r="144" spans="9:9">
      <c r="I144" s="26"/>
    </row>
    <row r="145" spans="7:9"/>
    <row r="146" spans="7:9"/>
    <row r="147" spans="7:9">
      <c r="I147" s="400" t="s">
        <v>349</v>
      </c>
    </row>
    <row r="148" spans="7:9"/>
    <row r="149" spans="7:9"/>
    <row r="150" spans="7:9">
      <c r="G150" s="229"/>
      <c r="H150" s="399"/>
    </row>
    <row r="151" spans="7:9">
      <c r="G151" s="229"/>
      <c r="H151" s="399"/>
    </row>
    <row r="152" spans="7:9">
      <c r="G152" s="229"/>
      <c r="H152" s="399"/>
    </row>
    <row r="153" spans="7:9"/>
    <row r="154" spans="7:9"/>
    <row r="155" spans="7:9"/>
    <row r="156" spans="7:9"/>
    <row r="157" spans="7:9"/>
    <row r="158" spans="7:9"/>
    <row r="159" spans="7:9"/>
    <row r="160" spans="7:9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</sheetData>
  <phoneticPr fontId="13"/>
  <conditionalFormatting sqref="D28:D30 D41:D51 D56 D53:D54">
    <cfRule type="cellIs" dxfId="584" priority="185" stopIfTrue="1" operator="greaterThan">
      <formula>1</formula>
    </cfRule>
  </conditionalFormatting>
  <conditionalFormatting sqref="D94:D95">
    <cfRule type="cellIs" dxfId="583" priority="144" stopIfTrue="1" operator="greaterThan">
      <formula>1</formula>
    </cfRule>
  </conditionalFormatting>
  <conditionalFormatting sqref="D18">
    <cfRule type="cellIs" dxfId="582" priority="134" operator="greaterThan">
      <formula>0</formula>
    </cfRule>
  </conditionalFormatting>
  <conditionalFormatting sqref="D27">
    <cfRule type="cellIs" dxfId="581" priority="97" operator="greaterThan">
      <formula>0</formula>
    </cfRule>
  </conditionalFormatting>
  <conditionalFormatting sqref="H67:H69">
    <cfRule type="cellIs" dxfId="580" priority="86" operator="greaterThan">
      <formula>0</formula>
    </cfRule>
  </conditionalFormatting>
  <conditionalFormatting sqref="D24">
    <cfRule type="cellIs" dxfId="579" priority="99" operator="greaterThan">
      <formula>0</formula>
    </cfRule>
  </conditionalFormatting>
  <conditionalFormatting sqref="G68">
    <cfRule type="cellIs" dxfId="578" priority="88" operator="greaterThan">
      <formula>0</formula>
    </cfRule>
  </conditionalFormatting>
  <conditionalFormatting sqref="D81">
    <cfRule type="cellIs" dxfId="577" priority="127" operator="greaterThan">
      <formula>0</formula>
    </cfRule>
  </conditionalFormatting>
  <conditionalFormatting sqref="D21">
    <cfRule type="cellIs" dxfId="576" priority="101" operator="greaterThan">
      <formula>0</formula>
    </cfRule>
  </conditionalFormatting>
  <conditionalFormatting sqref="I71">
    <cfRule type="cellIs" dxfId="575" priority="106" operator="greaterThan">
      <formula>0</formula>
    </cfRule>
  </conditionalFormatting>
  <conditionalFormatting sqref="I24">
    <cfRule type="cellIs" dxfId="574" priority="98" operator="greaterThan">
      <formula>0</formula>
    </cfRule>
  </conditionalFormatting>
  <conditionalFormatting sqref="I93">
    <cfRule type="cellIs" dxfId="573" priority="68" operator="greaterThan">
      <formula>0</formula>
    </cfRule>
  </conditionalFormatting>
  <conditionalFormatting sqref="I28:I30">
    <cfRule type="cellIs" dxfId="572" priority="113" operator="greaterThan">
      <formula>0</formula>
    </cfRule>
  </conditionalFormatting>
  <conditionalFormatting sqref="I15">
    <cfRule type="cellIs" dxfId="571" priority="102" operator="greaterThan">
      <formula>0</formula>
    </cfRule>
  </conditionalFormatting>
  <conditionalFormatting sqref="I40">
    <cfRule type="cellIs" dxfId="570" priority="109" operator="greaterThan">
      <formula>0</formula>
    </cfRule>
  </conditionalFormatting>
  <conditionalFormatting sqref="I42:I51 I53:I54">
    <cfRule type="cellIs" dxfId="569" priority="108" operator="greaterThan">
      <formula>0</formula>
    </cfRule>
  </conditionalFormatting>
  <conditionalFormatting sqref="I60">
    <cfRule type="cellIs" dxfId="568" priority="107" operator="greaterThan">
      <formula>0</formula>
    </cfRule>
  </conditionalFormatting>
  <conditionalFormatting sqref="I58">
    <cfRule type="cellIs" dxfId="567" priority="105" operator="greaterThan">
      <formula>0</formula>
    </cfRule>
  </conditionalFormatting>
  <conditionalFormatting sqref="D15">
    <cfRule type="cellIs" dxfId="566" priority="103" operator="greaterThan">
      <formula>0</formula>
    </cfRule>
  </conditionalFormatting>
  <conditionalFormatting sqref="G67">
    <cfRule type="cellIs" dxfId="565" priority="89" operator="greaterThan">
      <formula>0</formula>
    </cfRule>
  </conditionalFormatting>
  <conditionalFormatting sqref="I27">
    <cfRule type="cellIs" dxfId="564" priority="96" operator="greaterThan">
      <formula>0</formula>
    </cfRule>
  </conditionalFormatting>
  <conditionalFormatting sqref="D33">
    <cfRule type="cellIs" dxfId="563" priority="95" operator="greaterThan">
      <formula>0</formula>
    </cfRule>
  </conditionalFormatting>
  <conditionalFormatting sqref="I33">
    <cfRule type="cellIs" dxfId="562" priority="94" operator="greaterThan">
      <formula>0</formula>
    </cfRule>
  </conditionalFormatting>
  <conditionalFormatting sqref="D36">
    <cfRule type="cellIs" dxfId="561" priority="93" operator="greaterThan">
      <formula>0</formula>
    </cfRule>
  </conditionalFormatting>
  <conditionalFormatting sqref="I36">
    <cfRule type="cellIs" dxfId="560" priority="92" operator="greaterThan">
      <formula>0</formula>
    </cfRule>
  </conditionalFormatting>
  <conditionalFormatting sqref="D39">
    <cfRule type="cellIs" dxfId="559" priority="91" operator="greaterThan">
      <formula>0</formula>
    </cfRule>
  </conditionalFormatting>
  <conditionalFormatting sqref="I39">
    <cfRule type="cellIs" dxfId="558" priority="90" operator="greaterThan">
      <formula>0</formula>
    </cfRule>
  </conditionalFormatting>
  <conditionalFormatting sqref="I104">
    <cfRule type="cellIs" dxfId="557" priority="65" operator="greaterThan">
      <formula>0</formula>
    </cfRule>
  </conditionalFormatting>
  <conditionalFormatting sqref="I107">
    <cfRule type="cellIs" dxfId="556" priority="62" operator="greaterThan">
      <formula>0</formula>
    </cfRule>
  </conditionalFormatting>
  <conditionalFormatting sqref="I111">
    <cfRule type="cellIs" dxfId="555" priority="60" operator="greaterThan">
      <formula>0</formula>
    </cfRule>
  </conditionalFormatting>
  <conditionalFormatting sqref="D84">
    <cfRule type="cellIs" dxfId="554" priority="59" operator="greaterThan">
      <formula>0</formula>
    </cfRule>
  </conditionalFormatting>
  <conditionalFormatting sqref="D87">
    <cfRule type="cellIs" dxfId="553" priority="58" operator="greaterThan">
      <formula>0</formula>
    </cfRule>
  </conditionalFormatting>
  <conditionalFormatting sqref="D90">
    <cfRule type="cellIs" dxfId="552" priority="57" operator="greaterThan">
      <formula>0</formula>
    </cfRule>
  </conditionalFormatting>
  <conditionalFormatting sqref="D93">
    <cfRule type="cellIs" dxfId="551" priority="56" operator="greaterThan">
      <formula>0</formula>
    </cfRule>
  </conditionalFormatting>
  <conditionalFormatting sqref="D98">
    <cfRule type="cellIs" dxfId="550" priority="55" operator="greaterThan">
      <formula>0</formula>
    </cfRule>
  </conditionalFormatting>
  <conditionalFormatting sqref="D101">
    <cfRule type="cellIs" dxfId="549" priority="54" operator="greaterThan">
      <formula>0</formula>
    </cfRule>
  </conditionalFormatting>
  <conditionalFormatting sqref="D104">
    <cfRule type="cellIs" dxfId="548" priority="53" operator="greaterThan">
      <formula>0</formula>
    </cfRule>
  </conditionalFormatting>
  <conditionalFormatting sqref="H6">
    <cfRule type="cellIs" dxfId="547" priority="52" operator="greaterThan">
      <formula>0</formula>
    </cfRule>
  </conditionalFormatting>
  <conditionalFormatting sqref="H7">
    <cfRule type="cellIs" dxfId="546" priority="51" operator="greaterThan">
      <formula>0</formula>
    </cfRule>
  </conditionalFormatting>
  <conditionalFormatting sqref="B39">
    <cfRule type="cellIs" dxfId="545" priority="36" operator="greaterThan">
      <formula>0</formula>
    </cfRule>
  </conditionalFormatting>
  <conditionalFormatting sqref="B15">
    <cfRule type="cellIs" dxfId="544" priority="50" operator="greaterThan">
      <formula>0</formula>
    </cfRule>
  </conditionalFormatting>
  <conditionalFormatting sqref="B18">
    <cfRule type="cellIs" dxfId="543" priority="49" operator="greaterThan">
      <formula>0</formula>
    </cfRule>
  </conditionalFormatting>
  <conditionalFormatting sqref="B21">
    <cfRule type="cellIs" dxfId="542" priority="48" operator="greaterThan">
      <formula>0</formula>
    </cfRule>
  </conditionalFormatting>
  <conditionalFormatting sqref="B24">
    <cfRule type="cellIs" dxfId="541" priority="47" operator="greaterThan">
      <formula>0</formula>
    </cfRule>
  </conditionalFormatting>
  <conditionalFormatting sqref="B27">
    <cfRule type="cellIs" dxfId="540" priority="46" operator="greaterThan">
      <formula>0</formula>
    </cfRule>
  </conditionalFormatting>
  <conditionalFormatting sqref="B84">
    <cfRule type="cellIs" dxfId="539" priority="45" operator="greaterThan">
      <formula>0</formula>
    </cfRule>
  </conditionalFormatting>
  <conditionalFormatting sqref="B87">
    <cfRule type="cellIs" dxfId="538" priority="44" operator="greaterThan">
      <formula>0</formula>
    </cfRule>
  </conditionalFormatting>
  <conditionalFormatting sqref="B90">
    <cfRule type="cellIs" dxfId="537" priority="43" operator="greaterThan">
      <formula>0</formula>
    </cfRule>
  </conditionalFormatting>
  <conditionalFormatting sqref="B93">
    <cfRule type="cellIs" dxfId="536" priority="42" operator="greaterThan">
      <formula>0</formula>
    </cfRule>
  </conditionalFormatting>
  <conditionalFormatting sqref="B101">
    <cfRule type="cellIs" dxfId="535" priority="41" operator="greaterThan">
      <formula>0</formula>
    </cfRule>
  </conditionalFormatting>
  <conditionalFormatting sqref="B98">
    <cfRule type="cellIs" dxfId="534" priority="40" operator="greaterThan">
      <formula>0</formula>
    </cfRule>
  </conditionalFormatting>
  <conditionalFormatting sqref="B104">
    <cfRule type="cellIs" dxfId="533" priority="39" operator="greaterThan">
      <formula>0</formula>
    </cfRule>
  </conditionalFormatting>
  <conditionalFormatting sqref="B33">
    <cfRule type="cellIs" dxfId="532" priority="38" operator="greaterThan">
      <formula>0</formula>
    </cfRule>
  </conditionalFormatting>
  <conditionalFormatting sqref="B36">
    <cfRule type="cellIs" dxfId="531" priority="37" operator="greaterThan">
      <formula>0</formula>
    </cfRule>
  </conditionalFormatting>
  <conditionalFormatting sqref="B81">
    <cfRule type="cellIs" dxfId="530" priority="35" operator="greaterThan">
      <formula>0</formula>
    </cfRule>
  </conditionalFormatting>
  <conditionalFormatting sqref="G150">
    <cfRule type="cellIs" dxfId="529" priority="31" operator="greaterThan">
      <formula>0</formula>
    </cfRule>
  </conditionalFormatting>
  <conditionalFormatting sqref="G151">
    <cfRule type="cellIs" dxfId="528" priority="30" operator="greaterThan">
      <formula>0</formula>
    </cfRule>
  </conditionalFormatting>
  <conditionalFormatting sqref="G152">
    <cfRule type="cellIs" dxfId="527" priority="29" operator="greaterThan">
      <formula>0</formula>
    </cfRule>
  </conditionalFormatting>
  <conditionalFormatting sqref="I56">
    <cfRule type="cellIs" dxfId="526" priority="23" operator="greaterThan">
      <formula>0</formula>
    </cfRule>
  </conditionalFormatting>
  <conditionalFormatting sqref="G69">
    <cfRule type="cellIs" dxfId="525" priority="22" operator="greaterThan">
      <formula>0</formula>
    </cfRule>
  </conditionalFormatting>
  <conditionalFormatting sqref="I18">
    <cfRule type="cellIs" dxfId="524" priority="20" operator="greaterThan">
      <formula>0</formula>
    </cfRule>
  </conditionalFormatting>
  <conditionalFormatting sqref="I21">
    <cfRule type="cellIs" dxfId="523" priority="19" operator="greaterThan">
      <formula>0</formula>
    </cfRule>
  </conditionalFormatting>
  <conditionalFormatting sqref="I81">
    <cfRule type="cellIs" dxfId="522" priority="18" operator="greaterThan">
      <formula>0</formula>
    </cfRule>
  </conditionalFormatting>
  <conditionalFormatting sqref="I84">
    <cfRule type="cellIs" dxfId="521" priority="17" operator="greaterThan">
      <formula>0</formula>
    </cfRule>
  </conditionalFormatting>
  <conditionalFormatting sqref="I94">
    <cfRule type="cellIs" dxfId="520" priority="16" operator="greaterThan">
      <formula>0</formula>
    </cfRule>
  </conditionalFormatting>
  <conditionalFormatting sqref="I105">
    <cfRule type="cellIs" dxfId="519" priority="14" operator="greaterThan">
      <formula>0</formula>
    </cfRule>
  </conditionalFormatting>
  <conditionalFormatting sqref="I117">
    <cfRule type="cellIs" dxfId="518" priority="13" operator="greaterThan">
      <formula>0</formula>
    </cfRule>
  </conditionalFormatting>
  <conditionalFormatting sqref="I87">
    <cfRule type="cellIs" dxfId="517" priority="12" operator="greaterThan">
      <formula>0</formula>
    </cfRule>
  </conditionalFormatting>
  <conditionalFormatting sqref="I90">
    <cfRule type="cellIs" dxfId="516" priority="11" operator="greaterThan">
      <formula>0</formula>
    </cfRule>
  </conditionalFormatting>
  <conditionalFormatting sqref="I98">
    <cfRule type="cellIs" dxfId="515" priority="10" operator="greaterThan">
      <formula>0</formula>
    </cfRule>
  </conditionalFormatting>
  <conditionalFormatting sqref="I101">
    <cfRule type="cellIs" dxfId="514" priority="9" operator="greaterThan">
      <formula>0</formula>
    </cfRule>
  </conditionalFormatting>
  <conditionalFormatting sqref="D50">
    <cfRule type="cellIs" dxfId="513" priority="8" operator="greaterThan">
      <formula>0</formula>
    </cfRule>
  </conditionalFormatting>
  <conditionalFormatting sqref="I47">
    <cfRule type="cellIs" dxfId="512" priority="6" operator="greaterThan">
      <formula>0</formula>
    </cfRule>
  </conditionalFormatting>
  <conditionalFormatting sqref="D47">
    <cfRule type="cellIs" dxfId="511" priority="7" operator="greaterThan">
      <formula>0</formula>
    </cfRule>
  </conditionalFormatting>
  <conditionalFormatting sqref="B47">
    <cfRule type="cellIs" dxfId="510" priority="5" operator="greaterThan">
      <formula>0</formula>
    </cfRule>
  </conditionalFormatting>
  <conditionalFormatting sqref="B50">
    <cfRule type="cellIs" dxfId="509" priority="4" operator="greaterThan">
      <formula>0</formula>
    </cfRule>
  </conditionalFormatting>
  <conditionalFormatting sqref="I50">
    <cfRule type="cellIs" dxfId="508" priority="3" operator="greaterThan">
      <formula>0</formula>
    </cfRule>
  </conditionalFormatting>
  <conditionalFormatting sqref="I52">
    <cfRule type="cellIs" dxfId="507" priority="2" operator="greaterThan">
      <formula>0</formula>
    </cfRule>
  </conditionalFormatting>
  <conditionalFormatting sqref="D52">
    <cfRule type="cellIs" dxfId="506" priority="1" stopIfTrue="1" operator="greaterThan">
      <formula>1</formula>
    </cfRule>
  </conditionalFormatting>
  <dataValidations xWindow="213" yWindow="580" count="5">
    <dataValidation allowBlank="1" showInputMessage="1" showErrorMessage="1" promptTitle="Toelichting" prompt="Vul in deze gekleurde cellen de gevraagde informatie in (percentages inzet medewerkers). Let op: Het totale percentage mag niet hoger zijn dan 100%_x000d_" sqref="H6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15 B18 B21 B24 B27 B84 B87 B90 B93 B101 B98 B104 B33 B36 B39 B81 B47 B50" xr:uid="{00000000-0002-0000-0200-000001000000}"/>
    <dataValidation type="list" allowBlank="1" showInputMessage="1" showErrorMessage="1" sqref="C18 C24 C21 C50 C27 C47 C15" xr:uid="{3F7F4EDC-1284-FC43-9FE1-F1EF5578FC7B}">
      <formula1>tariefSMO</formula1>
    </dataValidation>
    <dataValidation type="list" allowBlank="1" showInputMessage="1" showErrorMessage="1" sqref="C39 C36 C33" xr:uid="{49307662-B4F3-AF47-9BC2-8FD31A467F51}">
      <formula1>tariefTZ</formula1>
    </dataValidation>
    <dataValidation type="list" allowBlank="1" showInputMessage="1" showErrorMessage="1" sqref="C104 C84 C87 C90 C93 C98 C101 C81" xr:uid="{88C7F327-F49C-0D42-907D-6C4AFF3F7AD9}">
      <formula1>TariefGLAS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70" orientation="portrait" copies="2"/>
  <headerFooter>
    <oddHeader>&amp;L&amp;C&amp;R</oddHeader>
    <oddFooter>&amp;L&amp;"Verdana,Standaard"&amp;K000000&amp;F-&amp;A
&amp;R&amp;"Verdana,Standaard"&amp;K000000printversie &amp;D</oddFooter>
  </headerFooter>
  <rowBreaks count="1" manualBreakCount="1">
    <brk id="74" max="16383" man="1"/>
  </rowBreaks>
  <picture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U590"/>
  <sheetViews>
    <sheetView showGridLines="0" showRowColHeaders="0" showZeros="0" showOutlineSymbols="0" zoomScale="85" zoomScaleNormal="100" zoomScaleSheetLayoutView="94" workbookViewId="0"/>
  </sheetViews>
  <sheetFormatPr baseColWidth="10" defaultColWidth="22.19921875" defaultRowHeight="13" zeroHeight="1"/>
  <cols>
    <col min="1" max="1" width="8.19921875" style="170" customWidth="1"/>
    <col min="2" max="2" width="36.19921875" style="172" customWidth="1"/>
    <col min="3" max="3" width="24.59765625" style="172" customWidth="1"/>
    <col min="4" max="4" width="25.796875" style="172" customWidth="1"/>
    <col min="5" max="5" width="19.796875" style="172" customWidth="1"/>
    <col min="6" max="6" width="19.3984375" style="172" customWidth="1"/>
    <col min="7" max="7" width="14.3984375" style="172" customWidth="1"/>
    <col min="8" max="8" width="16.59765625" style="172" customWidth="1"/>
    <col min="9" max="9" width="20.3984375" style="172" customWidth="1"/>
    <col min="10" max="10" width="20.19921875" style="172" customWidth="1"/>
    <col min="11" max="11" width="19" style="172" customWidth="1"/>
    <col min="12" max="12" width="15" style="172" customWidth="1"/>
    <col min="13" max="13" width="18.19921875" style="172" customWidth="1"/>
    <col min="14" max="14" width="19.59765625" style="172" customWidth="1"/>
    <col min="15" max="15" width="16.796875" style="172" hidden="1" customWidth="1"/>
    <col min="16" max="16" width="22.19921875" style="324" customWidth="1"/>
    <col min="17" max="17" width="22.19921875" style="172" customWidth="1"/>
    <col min="18" max="20" width="22.19921875" style="170" customWidth="1"/>
    <col min="21" max="16384" width="22.19921875" style="170"/>
  </cols>
  <sheetData>
    <row r="1" spans="1:16"/>
    <row r="2" spans="1:16" ht="16">
      <c r="B2" s="392" t="s">
        <v>29</v>
      </c>
      <c r="C2" s="77" t="s">
        <v>30</v>
      </c>
      <c r="D2" s="330"/>
    </row>
    <row r="3" spans="1:16" ht="16">
      <c r="A3" s="887"/>
      <c r="B3" s="392" t="s">
        <v>101</v>
      </c>
      <c r="C3" s="320" t="str">
        <f>Voorblad!$E$16</f>
        <v>Hoogheemraadschap Hollands Noorderkwartier Perceel 2</v>
      </c>
      <c r="D3" s="330"/>
    </row>
    <row r="4" spans="1:16" ht="16">
      <c r="A4" s="887"/>
      <c r="B4" s="392" t="s">
        <v>36</v>
      </c>
      <c r="C4" s="320" t="str">
        <f>'1.0-Contractblad'!$D$4</f>
        <v>Heerhugowaard</v>
      </c>
      <c r="D4" s="330"/>
    </row>
    <row r="5" spans="1:16" ht="16" customHeight="1">
      <c r="A5" s="887"/>
      <c r="B5" s="392" t="s">
        <v>137</v>
      </c>
      <c r="C5" s="423" t="str">
        <f>Voorblad!$E$24</f>
        <v>1112-10-2019</v>
      </c>
      <c r="D5" s="330"/>
      <c r="E5" s="199" t="s">
        <v>243</v>
      </c>
      <c r="G5" s="421"/>
      <c r="H5" s="421"/>
      <c r="I5" s="421"/>
      <c r="J5" s="421"/>
      <c r="K5" s="331"/>
    </row>
    <row r="6" spans="1:16" ht="16" customHeight="1">
      <c r="A6" s="887"/>
      <c r="B6" s="392" t="s">
        <v>222</v>
      </c>
      <c r="C6" s="408" t="str">
        <f>Voorblad!$E$26</f>
        <v>V1 12-mrt-2020</v>
      </c>
      <c r="D6" s="330"/>
      <c r="F6" s="332"/>
      <c r="G6" s="421"/>
      <c r="H6" s="421"/>
      <c r="I6" s="421"/>
      <c r="J6" s="421"/>
    </row>
    <row r="7" spans="1:16" ht="16" customHeight="1">
      <c r="A7" s="887"/>
      <c r="B7" s="392" t="s">
        <v>99</v>
      </c>
      <c r="C7" s="320" t="str">
        <f>Voorblad!$E$19</f>
        <v>[voer naam in]</v>
      </c>
      <c r="G7" s="421"/>
      <c r="H7" s="421"/>
      <c r="I7" s="421"/>
      <c r="J7" s="421"/>
    </row>
    <row r="8" spans="1:16" ht="16">
      <c r="A8" s="887"/>
      <c r="B8" s="392" t="s">
        <v>6</v>
      </c>
      <c r="C8" s="333">
        <f>Voorblad!$E$22</f>
        <v>44013</v>
      </c>
    </row>
    <row r="9" spans="1:16" ht="17" thickBot="1">
      <c r="A9" s="887"/>
      <c r="B9" s="392"/>
      <c r="C9" s="333"/>
    </row>
    <row r="10" spans="1:16" ht="57" thickBot="1">
      <c r="A10" s="887"/>
      <c r="B10" s="592" t="s">
        <v>129</v>
      </c>
      <c r="C10" s="593" t="s">
        <v>245</v>
      </c>
      <c r="D10" s="594" t="s">
        <v>218</v>
      </c>
      <c r="E10" s="595" t="s">
        <v>145</v>
      </c>
      <c r="F10" s="595" t="s">
        <v>113</v>
      </c>
      <c r="G10" s="686" t="s">
        <v>77</v>
      </c>
      <c r="H10" s="593" t="s">
        <v>1253</v>
      </c>
      <c r="I10" s="593" t="s">
        <v>391</v>
      </c>
      <c r="J10" s="593" t="s">
        <v>1223</v>
      </c>
      <c r="K10" s="593" t="s">
        <v>1090</v>
      </c>
      <c r="L10" s="593" t="s">
        <v>114</v>
      </c>
      <c r="M10" s="593" t="s">
        <v>392</v>
      </c>
      <c r="N10" s="593" t="s">
        <v>431</v>
      </c>
      <c r="P10" s="321"/>
    </row>
    <row r="11" spans="1:16" ht="19" hidden="1" customHeight="1">
      <c r="A11" s="888"/>
      <c r="B11" s="2"/>
      <c r="C11" s="2"/>
      <c r="D11" s="2"/>
      <c r="E11" s="190"/>
      <c r="F11" s="190"/>
      <c r="G11" s="687"/>
      <c r="H11" s="351"/>
      <c r="I11" s="351"/>
      <c r="J11" s="351"/>
      <c r="K11" s="351"/>
      <c r="L11" s="352"/>
      <c r="M11" s="197"/>
      <c r="N11" s="884"/>
      <c r="O11" s="448"/>
      <c r="P11" s="567"/>
    </row>
    <row r="12" spans="1:16" ht="19" customHeight="1">
      <c r="A12" s="888">
        <f t="shared" ref="A12:A38" si="0">G12</f>
        <v>2</v>
      </c>
      <c r="B12" s="2" t="s">
        <v>990</v>
      </c>
      <c r="C12" s="2" t="s">
        <v>1236</v>
      </c>
      <c r="D12" s="2" t="s">
        <v>1237</v>
      </c>
      <c r="E12" s="190">
        <f ca="1">SUMIF('1.3-Basis ruimtestaat'!E:K,'1.1a-Jaarprijzen'!B12,'1.3-Basis ruimtestaat'!K:K)</f>
        <v>113.44</v>
      </c>
      <c r="F12" s="190">
        <f ca="1">SUMIF('1.3-Basis ruimtestaat'!E:L,'1.1a-Jaarprijzen'!B12,'1.3-Basis ruimtestaat'!L:L)</f>
        <v>69.91</v>
      </c>
      <c r="G12" s="687">
        <v>2</v>
      </c>
      <c r="H12" s="351">
        <f>SUMIF('1.3-Basis ruimtestaat'!E:E,'1.1a-Jaarprijzen'!B12,'1.3-Basis ruimtestaat'!T:T)+SUMIF('1.3-Basis ruimtestaat'!E:E,'1.1a-Jaarprijzen'!B12,'1.3-Basis ruimtestaat'!V:V)</f>
        <v>0</v>
      </c>
      <c r="I12" s="351">
        <f>SUMIF('1.3-Basis ruimtestaat'!E:E,'1.1a-Jaarprijzen'!B12,'1.3-Basis ruimtestaat'!U:U)</f>
        <v>0</v>
      </c>
      <c r="J12" s="351">
        <f>SUMIF('1.3-Basis ruimtestaat'!E:E,'1.1a-Jaarprijzen'!B12,'1.3-Basis ruimtestaat'!W:W)</f>
        <v>0</v>
      </c>
      <c r="K12" s="351"/>
      <c r="L12" s="352">
        <f>(H12+I12)*'1.0-Contractblad'!$D$40</f>
        <v>0</v>
      </c>
      <c r="M12" s="197">
        <f>SUMIF('1.9-Glasbewassing'!B:B,'1.1a-Jaarprijzen'!B12,'1.9-Glasbewassing'!D:D)+SUMIF('1.9-Glasbewassing'!B:B,'1.1a-Jaarprijzen'!B12,'1.9-Glasbewassing'!F:F)+SUMIF('1.9-Glasbewassing'!B:B,'1.1a-Jaarprijzen'!B12,'1.9-Glasbewassing'!H:H)</f>
        <v>62.57</v>
      </c>
      <c r="N12" s="884" t="e">
        <f ca="1">IF(E12=0,0,SUMIF('1.3-Basis ruimtestaat'!E:E,'1.1a-Jaarprijzen'!B12,'1.3-Basis ruimtestaat'!AG:AG)/SUM(H12+I12))</f>
        <v>#DIV/0!</v>
      </c>
      <c r="O12" s="448"/>
      <c r="P12" s="567"/>
    </row>
    <row r="13" spans="1:16" ht="19" customHeight="1">
      <c r="A13" s="888">
        <f t="shared" si="0"/>
        <v>2</v>
      </c>
      <c r="B13" s="435" t="s">
        <v>892</v>
      </c>
      <c r="C13" s="435" t="s">
        <v>893</v>
      </c>
      <c r="D13" s="435" t="s">
        <v>894</v>
      </c>
      <c r="E13" s="190">
        <f ca="1">SUMIF('1.3-Basis ruimtestaat'!E:K,'1.1a-Jaarprijzen'!B13,'1.3-Basis ruimtestaat'!K:K)</f>
        <v>278.39000000000004</v>
      </c>
      <c r="F13" s="190">
        <f ca="1">SUMIF('1.3-Basis ruimtestaat'!E:L,'1.1a-Jaarprijzen'!B13,'1.3-Basis ruimtestaat'!L:L)</f>
        <v>0</v>
      </c>
      <c r="G13" s="687">
        <v>2</v>
      </c>
      <c r="H13" s="351">
        <f>SUMIF('1.3-Basis ruimtestaat'!E:E,'1.1a-Jaarprijzen'!B13,'1.3-Basis ruimtestaat'!T:T)+SUMIF('1.3-Basis ruimtestaat'!E:E,'1.1a-Jaarprijzen'!B13,'1.3-Basis ruimtestaat'!V:V)</f>
        <v>0</v>
      </c>
      <c r="I13" s="351">
        <f>SUMIF('1.3-Basis ruimtestaat'!E:E,'1.1a-Jaarprijzen'!B13,'1.3-Basis ruimtestaat'!U:U)</f>
        <v>0</v>
      </c>
      <c r="J13" s="351">
        <f>SUMIF('1.3-Basis ruimtestaat'!E:E,'1.1a-Jaarprijzen'!B13,'1.3-Basis ruimtestaat'!W:W)</f>
        <v>0</v>
      </c>
      <c r="K13" s="351"/>
      <c r="L13" s="352">
        <f>(H13+I13)*'1.0-Contractblad'!$D$40</f>
        <v>0</v>
      </c>
      <c r="M13" s="197">
        <f>SUMIF('1.9-Glasbewassing'!B:B,'1.1a-Jaarprijzen'!B13,'1.9-Glasbewassing'!D:D)+SUMIF('1.9-Glasbewassing'!B:B,'1.1a-Jaarprijzen'!B13,'1.9-Glasbewassing'!F:F)+SUMIF('1.9-Glasbewassing'!B:B,'1.1a-Jaarprijzen'!B13,'1.9-Glasbewassing'!H:H)</f>
        <v>174.81</v>
      </c>
      <c r="N13" s="884" t="e">
        <f ca="1">IF(E13=0,0,SUMIF('1.3-Basis ruimtestaat'!E:E,'1.1a-Jaarprijzen'!B13,'1.3-Basis ruimtestaat'!AG:AG)/SUM(H13+I13))</f>
        <v>#DIV/0!</v>
      </c>
      <c r="O13" s="448"/>
      <c r="P13" s="567"/>
    </row>
    <row r="14" spans="1:16" ht="19" customHeight="1">
      <c r="A14" s="888">
        <f t="shared" si="0"/>
        <v>2</v>
      </c>
      <c r="B14" s="2" t="s">
        <v>629</v>
      </c>
      <c r="C14" s="2" t="s">
        <v>630</v>
      </c>
      <c r="D14" s="2" t="s">
        <v>782</v>
      </c>
      <c r="E14" s="190">
        <f ca="1">SUMIF('1.3-Basis ruimtestaat'!E:K,'1.1a-Jaarprijzen'!B14,'1.3-Basis ruimtestaat'!K:K)</f>
        <v>466.86000000000018</v>
      </c>
      <c r="F14" s="190">
        <f ca="1">SUMIF('1.3-Basis ruimtestaat'!E:L,'1.1a-Jaarprijzen'!B14,'1.3-Basis ruimtestaat'!L:L)</f>
        <v>69.3</v>
      </c>
      <c r="G14" s="687">
        <v>2</v>
      </c>
      <c r="H14" s="351">
        <f>SUMIF('1.3-Basis ruimtestaat'!E:E,'1.1a-Jaarprijzen'!B14,'1.3-Basis ruimtestaat'!T:T)+SUMIF('1.3-Basis ruimtestaat'!E:E,'1.1a-Jaarprijzen'!B14,'1.3-Basis ruimtestaat'!V:V)</f>
        <v>0</v>
      </c>
      <c r="I14" s="351">
        <f>SUMIF('1.3-Basis ruimtestaat'!E:E,'1.1a-Jaarprijzen'!B14,'1.3-Basis ruimtestaat'!U:U)</f>
        <v>0</v>
      </c>
      <c r="J14" s="351">
        <f>SUMIF('1.3-Basis ruimtestaat'!E:E,'1.1a-Jaarprijzen'!B14,'1.3-Basis ruimtestaat'!W:W)</f>
        <v>0</v>
      </c>
      <c r="K14" s="351"/>
      <c r="L14" s="352">
        <f>(H14+I14)*'1.0-Contractblad'!$D$40</f>
        <v>0</v>
      </c>
      <c r="M14" s="197">
        <f>SUMIF('1.9-Glasbewassing'!B:B,'1.1a-Jaarprijzen'!B14,'1.9-Glasbewassing'!D:D)+SUMIF('1.9-Glasbewassing'!B:B,'1.1a-Jaarprijzen'!B14,'1.9-Glasbewassing'!F:F)+SUMIF('1.9-Glasbewassing'!B:B,'1.1a-Jaarprijzen'!B14,'1.9-Glasbewassing'!H:H)</f>
        <v>215.51999999999998</v>
      </c>
      <c r="N14" s="884" t="e">
        <f ca="1">IF(E14=0,0,SUMIF('1.3-Basis ruimtestaat'!E:E,'1.1a-Jaarprijzen'!B14,'1.3-Basis ruimtestaat'!AG:AG)/SUM(H14+I14))</f>
        <v>#DIV/0!</v>
      </c>
      <c r="O14" s="448"/>
      <c r="P14" s="567"/>
    </row>
    <row r="15" spans="1:16" ht="19" customHeight="1">
      <c r="A15" s="888">
        <f t="shared" si="0"/>
        <v>2</v>
      </c>
      <c r="B15" s="2" t="s">
        <v>991</v>
      </c>
      <c r="C15" s="435" t="s">
        <v>801</v>
      </c>
      <c r="D15" s="2" t="s">
        <v>800</v>
      </c>
      <c r="E15" s="190">
        <f ca="1">SUMIF('1.3-Basis ruimtestaat'!E:K,'1.1a-Jaarprijzen'!B15,'1.3-Basis ruimtestaat'!K:K)</f>
        <v>15.110000000000001</v>
      </c>
      <c r="F15" s="190">
        <f ca="1">SUMIF('1.3-Basis ruimtestaat'!E:L,'1.1a-Jaarprijzen'!B15,'1.3-Basis ruimtestaat'!L:L)</f>
        <v>7.9</v>
      </c>
      <c r="G15" s="687">
        <v>2</v>
      </c>
      <c r="H15" s="351">
        <f>SUMIF('1.3-Basis ruimtestaat'!E:E,'1.1a-Jaarprijzen'!B15,'1.3-Basis ruimtestaat'!T:T)+SUMIF('1.3-Basis ruimtestaat'!E:E,'1.1a-Jaarprijzen'!B15,'1.3-Basis ruimtestaat'!V:V)</f>
        <v>0</v>
      </c>
      <c r="I15" s="351">
        <f>SUMIF('1.3-Basis ruimtestaat'!E:E,'1.1a-Jaarprijzen'!B15,'1.3-Basis ruimtestaat'!U:U)</f>
        <v>0</v>
      </c>
      <c r="J15" s="351">
        <f>SUMIF('1.3-Basis ruimtestaat'!E:E,'1.1a-Jaarprijzen'!B15,'1.3-Basis ruimtestaat'!W:W)</f>
        <v>0</v>
      </c>
      <c r="K15" s="351"/>
      <c r="L15" s="352">
        <f>(H15+I15)*'1.0-Contractblad'!$D$40</f>
        <v>0</v>
      </c>
      <c r="M15" s="197">
        <f>SUMIF('1.9-Glasbewassing'!B:B,'1.1a-Jaarprijzen'!B15,'1.9-Glasbewassing'!D:D)+SUMIF('1.9-Glasbewassing'!B:B,'1.1a-Jaarprijzen'!B15,'1.9-Glasbewassing'!F:F)+SUMIF('1.9-Glasbewassing'!B:B,'1.1a-Jaarprijzen'!B15,'1.9-Glasbewassing'!H:H)</f>
        <v>23.68</v>
      </c>
      <c r="N15" s="884" t="e">
        <f ca="1">IF(E15=0,0,SUMIF('1.3-Basis ruimtestaat'!E:E,'1.1a-Jaarprijzen'!B15,'1.3-Basis ruimtestaat'!AG:AG)/SUM(H15+I15))</f>
        <v>#DIV/0!</v>
      </c>
      <c r="O15" s="448"/>
      <c r="P15" s="567"/>
    </row>
    <row r="16" spans="1:16" ht="19" customHeight="1">
      <c r="A16" s="888">
        <f t="shared" si="0"/>
        <v>2</v>
      </c>
      <c r="B16" s="435" t="s">
        <v>597</v>
      </c>
      <c r="C16" s="435" t="s">
        <v>599</v>
      </c>
      <c r="D16" s="435" t="s">
        <v>598</v>
      </c>
      <c r="E16" s="190">
        <f ca="1">SUMIF('1.3-Basis ruimtestaat'!E:K,'1.1a-Jaarprijzen'!B16,'1.3-Basis ruimtestaat'!K:K)</f>
        <v>115.29</v>
      </c>
      <c r="F16" s="190">
        <f ca="1">SUMIF('1.3-Basis ruimtestaat'!E:L,'1.1a-Jaarprijzen'!B16,'1.3-Basis ruimtestaat'!L:L)</f>
        <v>2.7</v>
      </c>
      <c r="G16" s="687">
        <v>2</v>
      </c>
      <c r="H16" s="351">
        <f>SUMIF('1.3-Basis ruimtestaat'!E:E,'1.1a-Jaarprijzen'!B16,'1.3-Basis ruimtestaat'!T:T)+SUMIF('1.3-Basis ruimtestaat'!E:E,'1.1a-Jaarprijzen'!B16,'1.3-Basis ruimtestaat'!V:V)</f>
        <v>0</v>
      </c>
      <c r="I16" s="351">
        <f>SUMIF('1.3-Basis ruimtestaat'!E:E,'1.1a-Jaarprijzen'!B16,'1.3-Basis ruimtestaat'!U:U)</f>
        <v>0</v>
      </c>
      <c r="J16" s="351">
        <f>SUMIF('1.3-Basis ruimtestaat'!E:E,'1.1a-Jaarprijzen'!B16,'1.3-Basis ruimtestaat'!W:W)</f>
        <v>0</v>
      </c>
      <c r="K16" s="351"/>
      <c r="L16" s="352">
        <f>(H16+I16)*'1.0-Contractblad'!$D$40</f>
        <v>0</v>
      </c>
      <c r="M16" s="197">
        <f>SUMIF('1.9-Glasbewassing'!B:B,'1.1a-Jaarprijzen'!B16,'1.9-Glasbewassing'!D:D)+SUMIF('1.9-Glasbewassing'!B:B,'1.1a-Jaarprijzen'!B16,'1.9-Glasbewassing'!F:F)+SUMIF('1.9-Glasbewassing'!B:B,'1.1a-Jaarprijzen'!B16,'1.9-Glasbewassing'!H:H)</f>
        <v>0</v>
      </c>
      <c r="N16" s="884" t="e">
        <f ca="1">IF(E16=0,0,SUMIF('1.3-Basis ruimtestaat'!E:E,'1.1a-Jaarprijzen'!B16,'1.3-Basis ruimtestaat'!AG:AG)/SUM(H16+I16))</f>
        <v>#DIV/0!</v>
      </c>
      <c r="O16" s="448"/>
      <c r="P16" s="567"/>
    </row>
    <row r="17" spans="1:21" ht="19" customHeight="1">
      <c r="A17" s="888">
        <f t="shared" si="0"/>
        <v>2</v>
      </c>
      <c r="B17" s="858" t="s">
        <v>855</v>
      </c>
      <c r="C17" s="435" t="s">
        <v>856</v>
      </c>
      <c r="D17" s="435" t="s">
        <v>598</v>
      </c>
      <c r="E17" s="190">
        <f ca="1">SUMIF('1.3-Basis ruimtestaat'!E:K,'1.1a-Jaarprijzen'!B17,'1.3-Basis ruimtestaat'!K:K)</f>
        <v>165.92999999999998</v>
      </c>
      <c r="F17" s="190">
        <f ca="1">SUMIF('1.3-Basis ruimtestaat'!E:L,'1.1a-Jaarprijzen'!B17,'1.3-Basis ruimtestaat'!L:L)</f>
        <v>49.69</v>
      </c>
      <c r="G17" s="687">
        <v>2</v>
      </c>
      <c r="H17" s="351">
        <f>SUMIF('1.3-Basis ruimtestaat'!E:E,'1.1a-Jaarprijzen'!B17,'1.3-Basis ruimtestaat'!T:T)+SUMIF('1.3-Basis ruimtestaat'!E:E,'1.1a-Jaarprijzen'!B17,'1.3-Basis ruimtestaat'!V:V)</f>
        <v>0</v>
      </c>
      <c r="I17" s="351">
        <f>SUMIF('1.3-Basis ruimtestaat'!E:E,'1.1a-Jaarprijzen'!B17,'1.3-Basis ruimtestaat'!U:U)</f>
        <v>0</v>
      </c>
      <c r="J17" s="351">
        <f>SUMIF('1.3-Basis ruimtestaat'!E:E,'1.1a-Jaarprijzen'!B17,'1.3-Basis ruimtestaat'!W:W)</f>
        <v>0</v>
      </c>
      <c r="K17" s="351"/>
      <c r="L17" s="352">
        <f>(H17+I17)*'1.0-Contractblad'!$D$40</f>
        <v>0</v>
      </c>
      <c r="M17" s="197">
        <f>SUMIF('1.9-Glasbewassing'!B:B,'1.1a-Jaarprijzen'!B17,'1.9-Glasbewassing'!D:D)+SUMIF('1.9-Glasbewassing'!B:B,'1.1a-Jaarprijzen'!B17,'1.9-Glasbewassing'!F:F)+SUMIF('1.9-Glasbewassing'!B:B,'1.1a-Jaarprijzen'!B17,'1.9-Glasbewassing'!H:H)</f>
        <v>77.53</v>
      </c>
      <c r="N17" s="884" t="e">
        <f ca="1">IF(E17=0,0,SUMIF('1.3-Basis ruimtestaat'!E:E,'1.1a-Jaarprijzen'!B17,'1.3-Basis ruimtestaat'!AG:AG)/SUM(H17+I17))</f>
        <v>#DIV/0!</v>
      </c>
      <c r="O17" s="448"/>
      <c r="P17" s="567"/>
    </row>
    <row r="18" spans="1:21" ht="19" customHeight="1">
      <c r="A18" s="888">
        <f t="shared" si="0"/>
        <v>2</v>
      </c>
      <c r="B18" s="2" t="s">
        <v>550</v>
      </c>
      <c r="C18" s="435" t="s">
        <v>555</v>
      </c>
      <c r="D18" s="2" t="s">
        <v>554</v>
      </c>
      <c r="E18" s="190">
        <f ca="1">SUMIF('1.3-Basis ruimtestaat'!E:K,'1.1a-Jaarprijzen'!B18,'1.3-Basis ruimtestaat'!K:K)</f>
        <v>135.34</v>
      </c>
      <c r="F18" s="190">
        <f ca="1">SUMIF('1.3-Basis ruimtestaat'!E:L,'1.1a-Jaarprijzen'!B18,'1.3-Basis ruimtestaat'!L:L)</f>
        <v>70.39</v>
      </c>
      <c r="G18" s="687">
        <v>2</v>
      </c>
      <c r="H18" s="351">
        <f>SUMIF('1.3-Basis ruimtestaat'!E:E,'1.1a-Jaarprijzen'!B18,'1.3-Basis ruimtestaat'!T:T)+SUMIF('1.3-Basis ruimtestaat'!E:E,'1.1a-Jaarprijzen'!B18,'1.3-Basis ruimtestaat'!V:V)</f>
        <v>0</v>
      </c>
      <c r="I18" s="351">
        <f>SUMIF('1.3-Basis ruimtestaat'!E:E,'1.1a-Jaarprijzen'!B18,'1.3-Basis ruimtestaat'!U:U)</f>
        <v>0</v>
      </c>
      <c r="J18" s="351">
        <f>SUMIF('1.3-Basis ruimtestaat'!E:E,'1.1a-Jaarprijzen'!B18,'1.3-Basis ruimtestaat'!W:W)</f>
        <v>0</v>
      </c>
      <c r="K18" s="351"/>
      <c r="L18" s="352">
        <f>(H18+I18)*'1.0-Contractblad'!$D$40</f>
        <v>0</v>
      </c>
      <c r="M18" s="197">
        <f>SUMIF('1.9-Glasbewassing'!B:B,'1.1a-Jaarprijzen'!B18,'1.9-Glasbewassing'!D:D)+SUMIF('1.9-Glasbewassing'!B:B,'1.1a-Jaarprijzen'!B18,'1.9-Glasbewassing'!F:F)+SUMIF('1.9-Glasbewassing'!B:B,'1.1a-Jaarprijzen'!B18,'1.9-Glasbewassing'!H:H)</f>
        <v>55.84</v>
      </c>
      <c r="N18" s="884" t="e">
        <f ca="1">IF(E18=0,0,SUMIF('1.3-Basis ruimtestaat'!E:E,'1.1a-Jaarprijzen'!B18,'1.3-Basis ruimtestaat'!AG:AG)/SUM(H18+I18))</f>
        <v>#DIV/0!</v>
      </c>
      <c r="O18" s="448"/>
      <c r="P18" s="567"/>
    </row>
    <row r="19" spans="1:21" ht="19" customHeight="1">
      <c r="A19" s="888">
        <f t="shared" si="0"/>
        <v>2</v>
      </c>
      <c r="B19" s="2" t="s">
        <v>922</v>
      </c>
      <c r="C19" s="435" t="s">
        <v>921</v>
      </c>
      <c r="D19" s="435" t="s">
        <v>920</v>
      </c>
      <c r="E19" s="190">
        <f ca="1">SUMIF('1.3-Basis ruimtestaat'!E:K,'1.1a-Jaarprijzen'!B19,'1.3-Basis ruimtestaat'!K:K)</f>
        <v>624.37</v>
      </c>
      <c r="F19" s="190">
        <f ca="1">SUMIF('1.3-Basis ruimtestaat'!E:L,'1.1a-Jaarprijzen'!B19,'1.3-Basis ruimtestaat'!L:L)</f>
        <v>42.03</v>
      </c>
      <c r="G19" s="687">
        <v>2</v>
      </c>
      <c r="H19" s="351">
        <f>SUMIF('1.3-Basis ruimtestaat'!E:E,'1.1a-Jaarprijzen'!B19,'1.3-Basis ruimtestaat'!T:T)+SUMIF('1.3-Basis ruimtestaat'!E:E,'1.1a-Jaarprijzen'!B19,'1.3-Basis ruimtestaat'!V:V)</f>
        <v>0</v>
      </c>
      <c r="I19" s="351">
        <f>SUMIF('1.3-Basis ruimtestaat'!E:E,'1.1a-Jaarprijzen'!B19,'1.3-Basis ruimtestaat'!U:U)</f>
        <v>0</v>
      </c>
      <c r="J19" s="351">
        <f>SUMIF('1.3-Basis ruimtestaat'!E:E,'1.1a-Jaarprijzen'!B19,'1.3-Basis ruimtestaat'!W:W)</f>
        <v>0</v>
      </c>
      <c r="K19" s="351"/>
      <c r="L19" s="352">
        <f>(H19+I19)*'1.0-Contractblad'!$D$40</f>
        <v>0</v>
      </c>
      <c r="M19" s="197">
        <f>SUMIF('1.9-Glasbewassing'!B:B,'1.1a-Jaarprijzen'!B19,'1.9-Glasbewassing'!D:D)+SUMIF('1.9-Glasbewassing'!B:B,'1.1a-Jaarprijzen'!B19,'1.9-Glasbewassing'!F:F)+SUMIF('1.9-Glasbewassing'!B:B,'1.1a-Jaarprijzen'!B19,'1.9-Glasbewassing'!H:H)</f>
        <v>601</v>
      </c>
      <c r="N19" s="884" t="e">
        <f ca="1">IF(E19=0,0,SUMIF('1.3-Basis ruimtestaat'!E:E,'1.1a-Jaarprijzen'!B19,'1.3-Basis ruimtestaat'!AG:AG)/SUM(H19+I19))</f>
        <v>#DIV/0!</v>
      </c>
      <c r="O19" s="448"/>
      <c r="P19" s="567"/>
    </row>
    <row r="20" spans="1:21" ht="19" customHeight="1">
      <c r="A20" s="888">
        <f t="shared" si="0"/>
        <v>2</v>
      </c>
      <c r="B20" s="858" t="s">
        <v>834</v>
      </c>
      <c r="C20" s="435" t="s">
        <v>843</v>
      </c>
      <c r="D20" s="435" t="s">
        <v>842</v>
      </c>
      <c r="E20" s="190">
        <f ca="1">SUMIF('1.3-Basis ruimtestaat'!E:K,'1.1a-Jaarprijzen'!B20,'1.3-Basis ruimtestaat'!K:K)</f>
        <v>368.42999999999995</v>
      </c>
      <c r="F20" s="190">
        <f ca="1">SUMIF('1.3-Basis ruimtestaat'!E:L,'1.1a-Jaarprijzen'!B20,'1.3-Basis ruimtestaat'!L:L)</f>
        <v>188.22</v>
      </c>
      <c r="G20" s="687">
        <v>2</v>
      </c>
      <c r="H20" s="351">
        <f>SUMIF('1.3-Basis ruimtestaat'!E:E,'1.1a-Jaarprijzen'!B20,'1.3-Basis ruimtestaat'!T:T)+SUMIF('1.3-Basis ruimtestaat'!E:E,'1.1a-Jaarprijzen'!B20,'1.3-Basis ruimtestaat'!V:V)</f>
        <v>0</v>
      </c>
      <c r="I20" s="351">
        <f>SUMIF('1.3-Basis ruimtestaat'!E:E,'1.1a-Jaarprijzen'!B20,'1.3-Basis ruimtestaat'!U:U)</f>
        <v>0</v>
      </c>
      <c r="J20" s="351">
        <f>SUMIF('1.3-Basis ruimtestaat'!E:E,'1.1a-Jaarprijzen'!B20,'1.3-Basis ruimtestaat'!W:W)</f>
        <v>0</v>
      </c>
      <c r="K20" s="351"/>
      <c r="L20" s="352">
        <f>(H20+I20)*'1.0-Contractblad'!$D$40</f>
        <v>0</v>
      </c>
      <c r="M20" s="197">
        <f>SUMIF('1.9-Glasbewassing'!B:B,'1.1a-Jaarprijzen'!B20,'1.9-Glasbewassing'!D:D)+SUMIF('1.9-Glasbewassing'!B:B,'1.1a-Jaarprijzen'!B20,'1.9-Glasbewassing'!F:F)+SUMIF('1.9-Glasbewassing'!B:B,'1.1a-Jaarprijzen'!B20,'1.9-Glasbewassing'!H:H)</f>
        <v>159.65</v>
      </c>
      <c r="N20" s="884" t="e">
        <f ca="1">IF(E20=0,0,SUMIF('1.3-Basis ruimtestaat'!E:E,'1.1a-Jaarprijzen'!B20,'1.3-Basis ruimtestaat'!AG:AG)/SUM(H20+I20))</f>
        <v>#DIV/0!</v>
      </c>
      <c r="O20" s="448"/>
      <c r="P20" s="567"/>
    </row>
    <row r="21" spans="1:21" ht="19" customHeight="1">
      <c r="A21" s="888">
        <f t="shared" si="0"/>
        <v>2</v>
      </c>
      <c r="B21" s="2" t="s">
        <v>866</v>
      </c>
      <c r="C21" s="2" t="s">
        <v>867</v>
      </c>
      <c r="D21" s="2" t="s">
        <v>868</v>
      </c>
      <c r="E21" s="190">
        <f ca="1">SUMIF('1.3-Basis ruimtestaat'!E:K,'1.1a-Jaarprijzen'!B21,'1.3-Basis ruimtestaat'!K:K)</f>
        <v>253.35</v>
      </c>
      <c r="F21" s="190">
        <f ca="1">SUMIF('1.3-Basis ruimtestaat'!E:L,'1.1a-Jaarprijzen'!B21,'1.3-Basis ruimtestaat'!L:L)</f>
        <v>1509.69</v>
      </c>
      <c r="G21" s="687">
        <v>2</v>
      </c>
      <c r="H21" s="351">
        <f>SUMIF('1.3-Basis ruimtestaat'!E:E,'1.1a-Jaarprijzen'!B21,'1.3-Basis ruimtestaat'!T:T)+SUMIF('1.3-Basis ruimtestaat'!E:E,'1.1a-Jaarprijzen'!B21,'1.3-Basis ruimtestaat'!V:V)</f>
        <v>0</v>
      </c>
      <c r="I21" s="351">
        <f>SUMIF('1.3-Basis ruimtestaat'!E:E,'1.1a-Jaarprijzen'!B21,'1.3-Basis ruimtestaat'!U:U)</f>
        <v>0</v>
      </c>
      <c r="J21" s="351">
        <f>SUMIF('1.3-Basis ruimtestaat'!E:E,'1.1a-Jaarprijzen'!B21,'1.3-Basis ruimtestaat'!W:W)</f>
        <v>0</v>
      </c>
      <c r="K21" s="351"/>
      <c r="L21" s="352">
        <f>(H21+I21)*'1.0-Contractblad'!$D$40</f>
        <v>0</v>
      </c>
      <c r="M21" s="197">
        <f>SUMIF('1.9-Glasbewassing'!B:B,'1.1a-Jaarprijzen'!B21,'1.9-Glasbewassing'!D:D)+SUMIF('1.9-Glasbewassing'!B:B,'1.1a-Jaarprijzen'!B21,'1.9-Glasbewassing'!F:F)+SUMIF('1.9-Glasbewassing'!B:B,'1.1a-Jaarprijzen'!B21,'1.9-Glasbewassing'!H:H)</f>
        <v>136.76</v>
      </c>
      <c r="N21" s="884" t="e">
        <f ca="1">IF(E21=0,0,SUMIF('1.3-Basis ruimtestaat'!E:E,'1.1a-Jaarprijzen'!B21,'1.3-Basis ruimtestaat'!AG:AG)/SUM(H21+I21))</f>
        <v>#DIV/0!</v>
      </c>
      <c r="O21" s="448"/>
      <c r="P21" s="567"/>
    </row>
    <row r="22" spans="1:21" ht="19" customHeight="1">
      <c r="A22" s="888">
        <f t="shared" si="0"/>
        <v>2</v>
      </c>
      <c r="B22" s="2" t="s">
        <v>777</v>
      </c>
      <c r="C22" s="2" t="s">
        <v>778</v>
      </c>
      <c r="D22" s="2" t="s">
        <v>781</v>
      </c>
      <c r="E22" s="190">
        <f ca="1">SUMIF('1.3-Basis ruimtestaat'!E:K,'1.1a-Jaarprijzen'!B22,'1.3-Basis ruimtestaat'!K:K)</f>
        <v>431.64</v>
      </c>
      <c r="F22" s="190">
        <f ca="1">SUMIF('1.3-Basis ruimtestaat'!E:L,'1.1a-Jaarprijzen'!B22,'1.3-Basis ruimtestaat'!L:L)</f>
        <v>22.77</v>
      </c>
      <c r="G22" s="687">
        <v>2</v>
      </c>
      <c r="H22" s="351">
        <f>SUMIF('1.3-Basis ruimtestaat'!E:E,'1.1a-Jaarprijzen'!B22,'1.3-Basis ruimtestaat'!T:T)+SUMIF('1.3-Basis ruimtestaat'!E:E,'1.1a-Jaarprijzen'!B22,'1.3-Basis ruimtestaat'!V:V)</f>
        <v>0</v>
      </c>
      <c r="I22" s="351">
        <f>SUMIF('1.3-Basis ruimtestaat'!E:E,'1.1a-Jaarprijzen'!B22,'1.3-Basis ruimtestaat'!U:U)</f>
        <v>0</v>
      </c>
      <c r="J22" s="351">
        <f>SUMIF('1.3-Basis ruimtestaat'!E:E,'1.1a-Jaarprijzen'!B22,'1.3-Basis ruimtestaat'!W:W)</f>
        <v>0</v>
      </c>
      <c r="K22" s="351"/>
      <c r="L22" s="352">
        <f>(H22+I22)*'1.0-Contractblad'!$D$40</f>
        <v>0</v>
      </c>
      <c r="M22" s="197">
        <f>SUMIF('1.9-Glasbewassing'!B:B,'1.1a-Jaarprijzen'!B22,'1.9-Glasbewassing'!D:D)+SUMIF('1.9-Glasbewassing'!B:B,'1.1a-Jaarprijzen'!B22,'1.9-Glasbewassing'!F:F)+SUMIF('1.9-Glasbewassing'!B:B,'1.1a-Jaarprijzen'!B22,'1.9-Glasbewassing'!H:H)</f>
        <v>256.71000000000004</v>
      </c>
      <c r="N22" s="884" t="e">
        <f ca="1">IF(E22=0,0,SUMIF('1.3-Basis ruimtestaat'!E:E,'1.1a-Jaarprijzen'!B22,'1.3-Basis ruimtestaat'!AG:AG)/SUM(H22+I22))</f>
        <v>#DIV/0!</v>
      </c>
      <c r="O22" s="448"/>
      <c r="P22" s="567"/>
    </row>
    <row r="23" spans="1:21" ht="19" customHeight="1">
      <c r="A23" s="888">
        <f t="shared" si="0"/>
        <v>2</v>
      </c>
      <c r="B23" s="2" t="s">
        <v>956</v>
      </c>
      <c r="C23" s="435" t="s">
        <v>955</v>
      </c>
      <c r="D23" s="435" t="s">
        <v>954</v>
      </c>
      <c r="E23" s="190">
        <f ca="1">SUMIF('1.3-Basis ruimtestaat'!E:K,'1.1a-Jaarprijzen'!B23,'1.3-Basis ruimtestaat'!K:K)</f>
        <v>286.56</v>
      </c>
      <c r="F23" s="190">
        <f ca="1">SUMIF('1.3-Basis ruimtestaat'!E:L,'1.1a-Jaarprijzen'!B23,'1.3-Basis ruimtestaat'!L:L)</f>
        <v>4</v>
      </c>
      <c r="G23" s="687">
        <v>2</v>
      </c>
      <c r="H23" s="351">
        <f>SUMIF('1.3-Basis ruimtestaat'!E:E,'1.1a-Jaarprijzen'!B23,'1.3-Basis ruimtestaat'!T:T)+SUMIF('1.3-Basis ruimtestaat'!E:E,'1.1a-Jaarprijzen'!B23,'1.3-Basis ruimtestaat'!V:V)</f>
        <v>0</v>
      </c>
      <c r="I23" s="351">
        <f>SUMIF('1.3-Basis ruimtestaat'!E:E,'1.1a-Jaarprijzen'!B23,'1.3-Basis ruimtestaat'!U:U)</f>
        <v>0</v>
      </c>
      <c r="J23" s="351">
        <f>SUMIF('1.3-Basis ruimtestaat'!E:E,'1.1a-Jaarprijzen'!B23,'1.3-Basis ruimtestaat'!W:W)</f>
        <v>0</v>
      </c>
      <c r="K23" s="351"/>
      <c r="L23" s="352">
        <f>(H23+I23)*'1.0-Contractblad'!$D$40</f>
        <v>0</v>
      </c>
      <c r="M23" s="197">
        <f>SUMIF('1.9-Glasbewassing'!B:B,'1.1a-Jaarprijzen'!B23,'1.9-Glasbewassing'!D:D)+SUMIF('1.9-Glasbewassing'!B:B,'1.1a-Jaarprijzen'!B23,'1.9-Glasbewassing'!F:F)+SUMIF('1.9-Glasbewassing'!B:B,'1.1a-Jaarprijzen'!B23,'1.9-Glasbewassing'!H:H)</f>
        <v>162.66</v>
      </c>
      <c r="N23" s="884" t="e">
        <f ca="1">IF(E23=0,0,SUMIF('1.3-Basis ruimtestaat'!E:E,'1.1a-Jaarprijzen'!B23,'1.3-Basis ruimtestaat'!AG:AG)/SUM(H23+I23))</f>
        <v>#DIV/0!</v>
      </c>
      <c r="O23" s="448"/>
      <c r="P23" s="567"/>
    </row>
    <row r="24" spans="1:21" ht="19" customHeight="1">
      <c r="A24" s="888">
        <f t="shared" si="0"/>
        <v>2</v>
      </c>
      <c r="B24" s="2" t="s">
        <v>863</v>
      </c>
      <c r="C24" s="435" t="s">
        <v>864</v>
      </c>
      <c r="D24" s="2" t="s">
        <v>865</v>
      </c>
      <c r="E24" s="190">
        <f ca="1">SUMIF('1.3-Basis ruimtestaat'!E:K,'1.1a-Jaarprijzen'!B24,'1.3-Basis ruimtestaat'!K:K)</f>
        <v>54.429999999999993</v>
      </c>
      <c r="F24" s="190">
        <f ca="1">SUMIF('1.3-Basis ruimtestaat'!E:L,'1.1a-Jaarprijzen'!B24,'1.3-Basis ruimtestaat'!L:L)</f>
        <v>130.36000000000001</v>
      </c>
      <c r="G24" s="687">
        <v>2</v>
      </c>
      <c r="H24" s="351">
        <f>SUMIF('1.3-Basis ruimtestaat'!E:E,'1.1a-Jaarprijzen'!B24,'1.3-Basis ruimtestaat'!T:T)+SUMIF('1.3-Basis ruimtestaat'!E:E,'1.1a-Jaarprijzen'!B24,'1.3-Basis ruimtestaat'!V:V)</f>
        <v>0</v>
      </c>
      <c r="I24" s="351">
        <f>SUMIF('1.3-Basis ruimtestaat'!E:E,'1.1a-Jaarprijzen'!B24,'1.3-Basis ruimtestaat'!U:U)</f>
        <v>0</v>
      </c>
      <c r="J24" s="351">
        <f>SUMIF('1.3-Basis ruimtestaat'!E:E,'1.1a-Jaarprijzen'!B24,'1.3-Basis ruimtestaat'!W:W)</f>
        <v>0</v>
      </c>
      <c r="K24" s="351"/>
      <c r="L24" s="352">
        <f>(H24+I24)*'1.0-Contractblad'!$D$40</f>
        <v>0</v>
      </c>
      <c r="M24" s="197">
        <f>SUMIF('1.9-Glasbewassing'!B:B,'1.1a-Jaarprijzen'!B24,'1.9-Glasbewassing'!D:D)+SUMIF('1.9-Glasbewassing'!B:B,'1.1a-Jaarprijzen'!B24,'1.9-Glasbewassing'!F:F)+SUMIF('1.9-Glasbewassing'!B:B,'1.1a-Jaarprijzen'!B24,'1.9-Glasbewassing'!H:H)</f>
        <v>76.64</v>
      </c>
      <c r="N24" s="884" t="e">
        <f ca="1">IF(E24=0,0,SUMIF('1.3-Basis ruimtestaat'!E:E,'1.1a-Jaarprijzen'!B24,'1.3-Basis ruimtestaat'!AG:AG)/SUM(H24+I24))</f>
        <v>#DIV/0!</v>
      </c>
      <c r="O24" s="448"/>
      <c r="P24" s="567"/>
    </row>
    <row r="25" spans="1:21" ht="19" customHeight="1">
      <c r="A25" s="888">
        <f t="shared" si="0"/>
        <v>2</v>
      </c>
      <c r="B25" s="2" t="s">
        <v>519</v>
      </c>
      <c r="C25" s="435" t="s">
        <v>517</v>
      </c>
      <c r="D25" s="435" t="s">
        <v>518</v>
      </c>
      <c r="E25" s="190">
        <f ca="1">SUMIF('1.3-Basis ruimtestaat'!E:K,'1.1a-Jaarprijzen'!B25,'1.3-Basis ruimtestaat'!K:K)</f>
        <v>41.2</v>
      </c>
      <c r="F25" s="190">
        <f ca="1">SUMIF('1.3-Basis ruimtestaat'!E:L,'1.1a-Jaarprijzen'!B25,'1.3-Basis ruimtestaat'!L:L)</f>
        <v>134.5</v>
      </c>
      <c r="G25" s="687">
        <v>2</v>
      </c>
      <c r="H25" s="351">
        <f>SUMIF('1.3-Basis ruimtestaat'!E:E,'1.1a-Jaarprijzen'!B25,'1.3-Basis ruimtestaat'!T:T)+SUMIF('1.3-Basis ruimtestaat'!E:E,'1.1a-Jaarprijzen'!B25,'1.3-Basis ruimtestaat'!V:V)</f>
        <v>0</v>
      </c>
      <c r="I25" s="351">
        <f>SUMIF('1.3-Basis ruimtestaat'!E:E,'1.1a-Jaarprijzen'!B25,'1.3-Basis ruimtestaat'!U:U)</f>
        <v>0</v>
      </c>
      <c r="J25" s="351">
        <f>SUMIF('1.3-Basis ruimtestaat'!E:E,'1.1a-Jaarprijzen'!B25,'1.3-Basis ruimtestaat'!W:W)</f>
        <v>0</v>
      </c>
      <c r="K25" s="351"/>
      <c r="L25" s="352">
        <f>(H25+I25)*'1.0-Contractblad'!$D$40</f>
        <v>0</v>
      </c>
      <c r="M25" s="197">
        <f>SUMIF('1.9-Glasbewassing'!B:B,'1.1a-Jaarprijzen'!B25,'1.9-Glasbewassing'!D:D)+SUMIF('1.9-Glasbewassing'!B:B,'1.1a-Jaarprijzen'!B25,'1.9-Glasbewassing'!F:F)+SUMIF('1.9-Glasbewassing'!B:B,'1.1a-Jaarprijzen'!B25,'1.9-Glasbewassing'!H:H)</f>
        <v>0</v>
      </c>
      <c r="N25" s="884" t="e">
        <f ca="1">IF(E25=0,0,SUMIF('1.3-Basis ruimtestaat'!E:E,'1.1a-Jaarprijzen'!B25,'1.3-Basis ruimtestaat'!AG:AG)/SUM(H25+I25))</f>
        <v>#DIV/0!</v>
      </c>
      <c r="O25" s="448"/>
      <c r="P25" s="567"/>
    </row>
    <row r="26" spans="1:21" ht="19" customHeight="1">
      <c r="A26" s="888">
        <f t="shared" si="0"/>
        <v>2</v>
      </c>
      <c r="B26" s="2" t="s">
        <v>635</v>
      </c>
      <c r="C26" s="435" t="s">
        <v>637</v>
      </c>
      <c r="D26" s="435" t="s">
        <v>636</v>
      </c>
      <c r="E26" s="190">
        <f ca="1">SUMIF('1.3-Basis ruimtestaat'!E:K,'1.1a-Jaarprijzen'!B26,'1.3-Basis ruimtestaat'!K:K)</f>
        <v>22.22</v>
      </c>
      <c r="F26" s="190">
        <f ca="1">SUMIF('1.3-Basis ruimtestaat'!E:L,'1.1a-Jaarprijzen'!B26,'1.3-Basis ruimtestaat'!L:L)</f>
        <v>0</v>
      </c>
      <c r="G26" s="687">
        <v>2</v>
      </c>
      <c r="H26" s="351">
        <f>SUMIF('1.3-Basis ruimtestaat'!E:E,'1.1a-Jaarprijzen'!B26,'1.3-Basis ruimtestaat'!T:T)+SUMIF('1.3-Basis ruimtestaat'!E:E,'1.1a-Jaarprijzen'!B26,'1.3-Basis ruimtestaat'!V:V)</f>
        <v>0</v>
      </c>
      <c r="I26" s="351">
        <f>SUMIF('1.3-Basis ruimtestaat'!E:E,'1.1a-Jaarprijzen'!B26,'1.3-Basis ruimtestaat'!U:U)</f>
        <v>0</v>
      </c>
      <c r="J26" s="351">
        <f>SUMIF('1.3-Basis ruimtestaat'!E:E,'1.1a-Jaarprijzen'!B26,'1.3-Basis ruimtestaat'!W:W)</f>
        <v>0</v>
      </c>
      <c r="K26" s="351"/>
      <c r="L26" s="352">
        <f>(H26+I26)*'1.0-Contractblad'!$D$40</f>
        <v>0</v>
      </c>
      <c r="M26" s="197">
        <f>SUMIF('1.9-Glasbewassing'!B:B,'1.1a-Jaarprijzen'!B26,'1.9-Glasbewassing'!D:D)+SUMIF('1.9-Glasbewassing'!B:B,'1.1a-Jaarprijzen'!B26,'1.9-Glasbewassing'!F:F)+SUMIF('1.9-Glasbewassing'!B:B,'1.1a-Jaarprijzen'!B26,'1.9-Glasbewassing'!H:H)</f>
        <v>46.18</v>
      </c>
      <c r="N26" s="884" t="e">
        <f ca="1">IF(E26=0,0,SUMIF('1.3-Basis ruimtestaat'!E:E,'1.1a-Jaarprijzen'!B26,'1.3-Basis ruimtestaat'!AG:AG)/SUM(H26+I26))</f>
        <v>#DIV/0!</v>
      </c>
      <c r="O26" s="448"/>
      <c r="P26" s="567"/>
    </row>
    <row r="27" spans="1:21" ht="19" customHeight="1">
      <c r="A27" s="888">
        <f t="shared" si="0"/>
        <v>2</v>
      </c>
      <c r="B27" s="2" t="s">
        <v>738</v>
      </c>
      <c r="C27" s="435" t="s">
        <v>780</v>
      </c>
      <c r="D27" s="435" t="s">
        <v>779</v>
      </c>
      <c r="E27" s="190">
        <f ca="1">SUMIF('1.3-Basis ruimtestaat'!E:K,'1.1a-Jaarprijzen'!B27,'1.3-Basis ruimtestaat'!K:K)</f>
        <v>51.440000000000005</v>
      </c>
      <c r="F27" s="190">
        <f ca="1">SUMIF('1.3-Basis ruimtestaat'!E:L,'1.1a-Jaarprijzen'!B27,'1.3-Basis ruimtestaat'!L:L)</f>
        <v>63.6</v>
      </c>
      <c r="G27" s="687">
        <v>2</v>
      </c>
      <c r="H27" s="351">
        <f>SUMIF('1.3-Basis ruimtestaat'!E:E,'1.1a-Jaarprijzen'!B27,'1.3-Basis ruimtestaat'!T:T)+SUMIF('1.3-Basis ruimtestaat'!E:E,'1.1a-Jaarprijzen'!B27,'1.3-Basis ruimtestaat'!V:V)</f>
        <v>0</v>
      </c>
      <c r="I27" s="351">
        <f>SUMIF('1.3-Basis ruimtestaat'!E:E,'1.1a-Jaarprijzen'!B27,'1.3-Basis ruimtestaat'!U:U)</f>
        <v>0</v>
      </c>
      <c r="J27" s="351">
        <f>SUMIF('1.3-Basis ruimtestaat'!E:E,'1.1a-Jaarprijzen'!B27,'1.3-Basis ruimtestaat'!W:W)</f>
        <v>0</v>
      </c>
      <c r="K27" s="351"/>
      <c r="L27" s="352">
        <f>(H27+I27)*'1.0-Contractblad'!$D$40</f>
        <v>0</v>
      </c>
      <c r="M27" s="197">
        <f>SUMIF('1.9-Glasbewassing'!B:B,'1.1a-Jaarprijzen'!B27,'1.9-Glasbewassing'!D:D)+SUMIF('1.9-Glasbewassing'!B:B,'1.1a-Jaarprijzen'!B27,'1.9-Glasbewassing'!F:F)+SUMIF('1.9-Glasbewassing'!B:B,'1.1a-Jaarprijzen'!B27,'1.9-Glasbewassing'!H:H)</f>
        <v>63.910000000000004</v>
      </c>
      <c r="N27" s="884" t="e">
        <f ca="1">IF(E27=0,0,SUMIF('1.3-Basis ruimtestaat'!E:E,'1.1a-Jaarprijzen'!B27,'1.3-Basis ruimtestaat'!AG:AG)/SUM(H27+I27))</f>
        <v>#DIV/0!</v>
      </c>
      <c r="O27" s="448"/>
      <c r="P27" s="567"/>
    </row>
    <row r="28" spans="1:21" ht="19" customHeight="1">
      <c r="A28" s="888">
        <f t="shared" si="0"/>
        <v>2</v>
      </c>
      <c r="B28" s="2" t="s">
        <v>948</v>
      </c>
      <c r="C28" s="2" t="s">
        <v>947</v>
      </c>
      <c r="D28" s="2" t="s">
        <v>946</v>
      </c>
      <c r="E28" s="190">
        <f ca="1">SUMIF('1.3-Basis ruimtestaat'!E:K,'1.1a-Jaarprijzen'!B28,'1.3-Basis ruimtestaat'!K:K)</f>
        <v>25.330000000000002</v>
      </c>
      <c r="F28" s="190">
        <f ca="1">SUMIF('1.3-Basis ruimtestaat'!E:L,'1.1a-Jaarprijzen'!B28,'1.3-Basis ruimtestaat'!L:L)</f>
        <v>0</v>
      </c>
      <c r="G28" s="687">
        <v>2</v>
      </c>
      <c r="H28" s="351">
        <f>SUMIF('1.3-Basis ruimtestaat'!E:E,'1.1a-Jaarprijzen'!B28,'1.3-Basis ruimtestaat'!T:T)+SUMIF('1.3-Basis ruimtestaat'!E:E,'1.1a-Jaarprijzen'!B28,'1.3-Basis ruimtestaat'!V:V)</f>
        <v>0</v>
      </c>
      <c r="I28" s="351">
        <f>SUMIF('1.3-Basis ruimtestaat'!E:E,'1.1a-Jaarprijzen'!B28,'1.3-Basis ruimtestaat'!U:U)</f>
        <v>0</v>
      </c>
      <c r="J28" s="351">
        <f>SUMIF('1.3-Basis ruimtestaat'!E:E,'1.1a-Jaarprijzen'!B28,'1.3-Basis ruimtestaat'!W:W)</f>
        <v>0</v>
      </c>
      <c r="K28" s="351"/>
      <c r="L28" s="352">
        <f>(H28+I28)*'1.0-Contractblad'!$D$40</f>
        <v>0</v>
      </c>
      <c r="M28" s="197">
        <f>SUMIF('1.9-Glasbewassing'!B:B,'1.1a-Jaarprijzen'!B28,'1.9-Glasbewassing'!D:D)+SUMIF('1.9-Glasbewassing'!B:B,'1.1a-Jaarprijzen'!B28,'1.9-Glasbewassing'!F:F)+SUMIF('1.9-Glasbewassing'!B:B,'1.1a-Jaarprijzen'!B28,'1.9-Glasbewassing'!H:H)</f>
        <v>22.8</v>
      </c>
      <c r="N28" s="884" t="e">
        <f ca="1">IF(E28=0,0,SUMIF('1.3-Basis ruimtestaat'!E:E,'1.1a-Jaarprijzen'!B28,'1.3-Basis ruimtestaat'!AG:AG)/SUM(H28+I28))</f>
        <v>#DIV/0!</v>
      </c>
      <c r="O28" s="448"/>
      <c r="P28" s="567"/>
    </row>
    <row r="29" spans="1:21" s="591" customFormat="1" ht="19" customHeight="1">
      <c r="A29" s="888">
        <f t="shared" si="0"/>
        <v>2</v>
      </c>
      <c r="B29" s="2" t="s">
        <v>586</v>
      </c>
      <c r="C29" s="435" t="s">
        <v>588</v>
      </c>
      <c r="D29" s="435" t="s">
        <v>587</v>
      </c>
      <c r="E29" s="190">
        <f ca="1">SUMIF('1.3-Basis ruimtestaat'!E:K,'1.1a-Jaarprijzen'!B29,'1.3-Basis ruimtestaat'!K:K)</f>
        <v>25.270000000000003</v>
      </c>
      <c r="F29" s="190">
        <f ca="1">SUMIF('1.3-Basis ruimtestaat'!E:L,'1.1a-Jaarprijzen'!B29,'1.3-Basis ruimtestaat'!L:L)</f>
        <v>47.67</v>
      </c>
      <c r="G29" s="687">
        <v>2</v>
      </c>
      <c r="H29" s="351">
        <f>SUMIF('1.3-Basis ruimtestaat'!E:E,'1.1a-Jaarprijzen'!B29,'1.3-Basis ruimtestaat'!T:T)+SUMIF('1.3-Basis ruimtestaat'!E:E,'1.1a-Jaarprijzen'!B29,'1.3-Basis ruimtestaat'!V:V)</f>
        <v>0</v>
      </c>
      <c r="I29" s="351">
        <f>SUMIF('1.3-Basis ruimtestaat'!E:E,'1.1a-Jaarprijzen'!B29,'1.3-Basis ruimtestaat'!U:U)</f>
        <v>0</v>
      </c>
      <c r="J29" s="351">
        <f>SUMIF('1.3-Basis ruimtestaat'!E:E,'1.1a-Jaarprijzen'!B29,'1.3-Basis ruimtestaat'!W:W)</f>
        <v>0</v>
      </c>
      <c r="K29" s="351"/>
      <c r="L29" s="352">
        <f>(H29+I29)*'1.0-Contractblad'!$D$40</f>
        <v>0</v>
      </c>
      <c r="M29" s="197">
        <f>SUMIF('1.9-Glasbewassing'!B:B,'1.1a-Jaarprijzen'!B29,'1.9-Glasbewassing'!D:D)+SUMIF('1.9-Glasbewassing'!B:B,'1.1a-Jaarprijzen'!B29,'1.9-Glasbewassing'!F:F)+SUMIF('1.9-Glasbewassing'!B:B,'1.1a-Jaarprijzen'!B29,'1.9-Glasbewassing'!H:H)</f>
        <v>6.5</v>
      </c>
      <c r="N29" s="884" t="e">
        <f ca="1">IF(E29=0,0,SUMIF('1.3-Basis ruimtestaat'!E:E,'1.1a-Jaarprijzen'!B29,'1.3-Basis ruimtestaat'!AG:AG)/SUM(H29+I29))</f>
        <v>#DIV/0!</v>
      </c>
      <c r="O29" s="448"/>
      <c r="P29" s="567"/>
      <c r="Q29" s="172"/>
      <c r="R29" s="170"/>
      <c r="S29" s="170"/>
      <c r="T29" s="170"/>
      <c r="U29" s="170"/>
    </row>
    <row r="30" spans="1:21" ht="19" customHeight="1">
      <c r="A30" s="888">
        <f t="shared" si="0"/>
        <v>2</v>
      </c>
      <c r="B30" s="2" t="s">
        <v>672</v>
      </c>
      <c r="C30" s="435" t="s">
        <v>674</v>
      </c>
      <c r="D30" s="2" t="s">
        <v>673</v>
      </c>
      <c r="E30" s="190">
        <f ca="1">SUMIF('1.3-Basis ruimtestaat'!E:K,'1.1a-Jaarprijzen'!B30,'1.3-Basis ruimtestaat'!K:K)</f>
        <v>405.50000000000006</v>
      </c>
      <c r="F30" s="190">
        <f ca="1">SUMIF('1.3-Basis ruimtestaat'!E:L,'1.1a-Jaarprijzen'!B30,'1.3-Basis ruimtestaat'!L:L)</f>
        <v>79.600000000000009</v>
      </c>
      <c r="G30" s="687">
        <v>2</v>
      </c>
      <c r="H30" s="351">
        <f>SUMIF('1.3-Basis ruimtestaat'!E:E,'1.1a-Jaarprijzen'!B30,'1.3-Basis ruimtestaat'!T:T)+SUMIF('1.3-Basis ruimtestaat'!E:E,'1.1a-Jaarprijzen'!B30,'1.3-Basis ruimtestaat'!V:V)</f>
        <v>0</v>
      </c>
      <c r="I30" s="351">
        <f>SUMIF('1.3-Basis ruimtestaat'!E:E,'1.1a-Jaarprijzen'!B30,'1.3-Basis ruimtestaat'!U:U)</f>
        <v>0</v>
      </c>
      <c r="J30" s="351">
        <f>SUMIF('1.3-Basis ruimtestaat'!E:E,'1.1a-Jaarprijzen'!B30,'1.3-Basis ruimtestaat'!W:W)</f>
        <v>0</v>
      </c>
      <c r="K30" s="351"/>
      <c r="L30" s="352">
        <f>(H30+I30)*'1.0-Contractblad'!$D$40</f>
        <v>0</v>
      </c>
      <c r="M30" s="197">
        <f>SUMIF('1.9-Glasbewassing'!B:B,'1.1a-Jaarprijzen'!B30,'1.9-Glasbewassing'!D:D)+SUMIF('1.9-Glasbewassing'!B:B,'1.1a-Jaarprijzen'!B30,'1.9-Glasbewassing'!F:F)+SUMIF('1.9-Glasbewassing'!B:B,'1.1a-Jaarprijzen'!B30,'1.9-Glasbewassing'!H:H)</f>
        <v>206.93</v>
      </c>
      <c r="N30" s="884" t="e">
        <f ca="1">IF(E30=0,0,SUMIF('1.3-Basis ruimtestaat'!E:E,'1.1a-Jaarprijzen'!B30,'1.3-Basis ruimtestaat'!AG:AG)/SUM(H30+I30))</f>
        <v>#DIV/0!</v>
      </c>
      <c r="O30" s="448"/>
      <c r="P30" s="567"/>
      <c r="R30" s="591"/>
      <c r="S30" s="591"/>
      <c r="T30" s="591"/>
      <c r="U30" s="591"/>
    </row>
    <row r="31" spans="1:21" ht="19" customHeight="1">
      <c r="A31" s="888">
        <f t="shared" si="0"/>
        <v>2</v>
      </c>
      <c r="B31" s="2" t="s">
        <v>969</v>
      </c>
      <c r="C31" s="2" t="s">
        <v>968</v>
      </c>
      <c r="D31" s="2" t="s">
        <v>970</v>
      </c>
      <c r="E31" s="190">
        <f ca="1">SUMIF('1.3-Basis ruimtestaat'!E:K,'1.1a-Jaarprijzen'!B31,'1.3-Basis ruimtestaat'!K:K)</f>
        <v>49.56</v>
      </c>
      <c r="F31" s="190">
        <f ca="1">SUMIF('1.3-Basis ruimtestaat'!E:L,'1.1a-Jaarprijzen'!B31,'1.3-Basis ruimtestaat'!L:L)</f>
        <v>5.4</v>
      </c>
      <c r="G31" s="687">
        <v>2</v>
      </c>
      <c r="H31" s="351">
        <f>SUMIF('1.3-Basis ruimtestaat'!E:E,'1.1a-Jaarprijzen'!B31,'1.3-Basis ruimtestaat'!T:T)+SUMIF('1.3-Basis ruimtestaat'!E:E,'1.1a-Jaarprijzen'!B31,'1.3-Basis ruimtestaat'!V:V)</f>
        <v>0</v>
      </c>
      <c r="I31" s="351">
        <f>SUMIF('1.3-Basis ruimtestaat'!E:E,'1.1a-Jaarprijzen'!B31,'1.3-Basis ruimtestaat'!U:U)</f>
        <v>0</v>
      </c>
      <c r="J31" s="351">
        <f>SUMIF('1.3-Basis ruimtestaat'!E:E,'1.1a-Jaarprijzen'!B31,'1.3-Basis ruimtestaat'!W:W)</f>
        <v>0</v>
      </c>
      <c r="K31" s="351"/>
      <c r="L31" s="352">
        <f>(H31+I31)*'1.0-Contractblad'!$D$40</f>
        <v>0</v>
      </c>
      <c r="M31" s="197">
        <f>SUMIF('1.9-Glasbewassing'!B:B,'1.1a-Jaarprijzen'!B31,'1.9-Glasbewassing'!D:D)+SUMIF('1.9-Glasbewassing'!B:B,'1.1a-Jaarprijzen'!B31,'1.9-Glasbewassing'!F:F)+SUMIF('1.9-Glasbewassing'!B:B,'1.1a-Jaarprijzen'!B31,'1.9-Glasbewassing'!H:H)</f>
        <v>61.28</v>
      </c>
      <c r="N31" s="884" t="e">
        <f ca="1">IF(E31=0,0,SUMIF('1.3-Basis ruimtestaat'!E:E,'1.1a-Jaarprijzen'!B31,'1.3-Basis ruimtestaat'!AG:AG)/SUM(H31+I31))</f>
        <v>#DIV/0!</v>
      </c>
      <c r="O31" s="448"/>
      <c r="P31" s="567"/>
    </row>
    <row r="32" spans="1:21" ht="19" customHeight="1">
      <c r="A32" s="888">
        <f t="shared" si="0"/>
        <v>2</v>
      </c>
      <c r="B32" s="2" t="s">
        <v>992</v>
      </c>
      <c r="C32" s="2" t="s">
        <v>568</v>
      </c>
      <c r="D32" s="2" t="s">
        <v>569</v>
      </c>
      <c r="E32" s="190">
        <f ca="1">SUMIF('1.3-Basis ruimtestaat'!E:K,'1.1a-Jaarprijzen'!B32,'1.3-Basis ruimtestaat'!K:K)</f>
        <v>263.23</v>
      </c>
      <c r="F32" s="190">
        <f ca="1">SUMIF('1.3-Basis ruimtestaat'!E:L,'1.1a-Jaarprijzen'!B32,'1.3-Basis ruimtestaat'!L:L)</f>
        <v>45.02</v>
      </c>
      <c r="G32" s="687">
        <v>2</v>
      </c>
      <c r="H32" s="351">
        <f>SUMIF('1.3-Basis ruimtestaat'!E:E,'1.1a-Jaarprijzen'!B32,'1.3-Basis ruimtestaat'!T:T)+SUMIF('1.3-Basis ruimtestaat'!E:E,'1.1a-Jaarprijzen'!B32,'1.3-Basis ruimtestaat'!V:V)</f>
        <v>0</v>
      </c>
      <c r="I32" s="351">
        <f>SUMIF('1.3-Basis ruimtestaat'!E:E,'1.1a-Jaarprijzen'!B32,'1.3-Basis ruimtestaat'!U:U)</f>
        <v>0</v>
      </c>
      <c r="J32" s="351">
        <f>SUMIF('1.3-Basis ruimtestaat'!E:E,'1.1a-Jaarprijzen'!B32,'1.3-Basis ruimtestaat'!W:W)</f>
        <v>0</v>
      </c>
      <c r="K32" s="351"/>
      <c r="L32" s="352">
        <f>(H32+I32)*'1.0-Contractblad'!$D$40</f>
        <v>0</v>
      </c>
      <c r="M32" s="197">
        <f>SUMIF('1.9-Glasbewassing'!B:B,'1.1a-Jaarprijzen'!B32,'1.9-Glasbewassing'!D:D)+SUMIF('1.9-Glasbewassing'!B:B,'1.1a-Jaarprijzen'!B32,'1.9-Glasbewassing'!F:F)+SUMIF('1.9-Glasbewassing'!B:B,'1.1a-Jaarprijzen'!B32,'1.9-Glasbewassing'!H:H)</f>
        <v>203.44</v>
      </c>
      <c r="N32" s="884" t="e">
        <f ca="1">IF(E32=0,0,SUMIF('1.3-Basis ruimtestaat'!E:E,'1.1a-Jaarprijzen'!B32,'1.3-Basis ruimtestaat'!AG:AG)/SUM(H32+I32))</f>
        <v>#DIV/0!</v>
      </c>
      <c r="O32" s="575"/>
      <c r="P32" s="567"/>
    </row>
    <row r="33" spans="1:21" ht="19" customHeight="1">
      <c r="A33" s="888">
        <f t="shared" si="0"/>
        <v>2</v>
      </c>
      <c r="B33" s="2" t="s">
        <v>485</v>
      </c>
      <c r="C33" s="2" t="s">
        <v>487</v>
      </c>
      <c r="D33" s="2" t="s">
        <v>486</v>
      </c>
      <c r="E33" s="190">
        <f ca="1">SUMIF('1.3-Basis ruimtestaat'!E:K,'1.1a-Jaarprijzen'!B33,'1.3-Basis ruimtestaat'!K:K)</f>
        <v>312.84000000000003</v>
      </c>
      <c r="F33" s="190">
        <f ca="1">SUMIF('1.3-Basis ruimtestaat'!E:L,'1.1a-Jaarprijzen'!B33,'1.3-Basis ruimtestaat'!L:L)</f>
        <v>258.89</v>
      </c>
      <c r="G33" s="687">
        <v>2</v>
      </c>
      <c r="H33" s="351">
        <f>SUMIF('1.3-Basis ruimtestaat'!E:E,'1.1a-Jaarprijzen'!B33,'1.3-Basis ruimtestaat'!T:T)+SUMIF('1.3-Basis ruimtestaat'!E:E,'1.1a-Jaarprijzen'!B33,'1.3-Basis ruimtestaat'!V:V)</f>
        <v>0</v>
      </c>
      <c r="I33" s="351">
        <f>SUMIF('1.3-Basis ruimtestaat'!E:E,'1.1a-Jaarprijzen'!B33,'1.3-Basis ruimtestaat'!U:U)</f>
        <v>0</v>
      </c>
      <c r="J33" s="351">
        <f>SUMIF('1.3-Basis ruimtestaat'!E:E,'1.1a-Jaarprijzen'!B33,'1.3-Basis ruimtestaat'!W:W)</f>
        <v>0</v>
      </c>
      <c r="K33" s="351"/>
      <c r="L33" s="352">
        <f>(H33+I33)*'1.0-Contractblad'!$D$40</f>
        <v>0</v>
      </c>
      <c r="M33" s="197">
        <f>SUMIF('1.9-Glasbewassing'!B:B,'1.1a-Jaarprijzen'!B33,'1.9-Glasbewassing'!D:D)+SUMIF('1.9-Glasbewassing'!B:B,'1.1a-Jaarprijzen'!B33,'1.9-Glasbewassing'!F:F)+SUMIF('1.9-Glasbewassing'!B:B,'1.1a-Jaarprijzen'!B33,'1.9-Glasbewassing'!H:H)</f>
        <v>107.57000000000001</v>
      </c>
      <c r="N33" s="884" t="e">
        <f ca="1">IF(E33=0,0,SUMIF('1.3-Basis ruimtestaat'!E:E,'1.1a-Jaarprijzen'!B33,'1.3-Basis ruimtestaat'!AG:AG)/SUM(H33+I33))</f>
        <v>#DIV/0!</v>
      </c>
      <c r="O33" s="448"/>
      <c r="P33" s="567"/>
    </row>
    <row r="34" spans="1:21" ht="19" customHeight="1">
      <c r="A34" s="888">
        <f t="shared" si="0"/>
        <v>2</v>
      </c>
      <c r="B34" s="2" t="s">
        <v>797</v>
      </c>
      <c r="C34" s="435" t="s">
        <v>796</v>
      </c>
      <c r="D34" s="435" t="s">
        <v>795</v>
      </c>
      <c r="E34" s="190">
        <f ca="1">SUMIF('1.3-Basis ruimtestaat'!E:K,'1.1a-Jaarprijzen'!B34,'1.3-Basis ruimtestaat'!K:K)</f>
        <v>276.24</v>
      </c>
      <c r="F34" s="190">
        <f ca="1">SUMIF('1.3-Basis ruimtestaat'!E:L,'1.1a-Jaarprijzen'!B34,'1.3-Basis ruimtestaat'!L:L)</f>
        <v>0</v>
      </c>
      <c r="G34" s="687">
        <v>2</v>
      </c>
      <c r="H34" s="351">
        <f>SUMIF('1.3-Basis ruimtestaat'!E:E,'1.1a-Jaarprijzen'!B34,'1.3-Basis ruimtestaat'!T:T)+SUMIF('1.3-Basis ruimtestaat'!E:E,'1.1a-Jaarprijzen'!B34,'1.3-Basis ruimtestaat'!V:V)</f>
        <v>0</v>
      </c>
      <c r="I34" s="351">
        <f>SUMIF('1.3-Basis ruimtestaat'!E:E,'1.1a-Jaarprijzen'!B34,'1.3-Basis ruimtestaat'!U:U)</f>
        <v>0</v>
      </c>
      <c r="J34" s="351">
        <f>SUMIF('1.3-Basis ruimtestaat'!E:E,'1.1a-Jaarprijzen'!B34,'1.3-Basis ruimtestaat'!W:W)</f>
        <v>0</v>
      </c>
      <c r="K34" s="351"/>
      <c r="L34" s="352">
        <f>(H34+I34)*'1.0-Contractblad'!$D$40</f>
        <v>0</v>
      </c>
      <c r="M34" s="197">
        <f>SUMIF('1.9-Glasbewassing'!B:B,'1.1a-Jaarprijzen'!B34,'1.9-Glasbewassing'!D:D)+SUMIF('1.9-Glasbewassing'!B:B,'1.1a-Jaarprijzen'!B34,'1.9-Glasbewassing'!F:F)+SUMIF('1.9-Glasbewassing'!B:B,'1.1a-Jaarprijzen'!B34,'1.9-Glasbewassing'!H:H)</f>
        <v>520.15</v>
      </c>
      <c r="N34" s="884" t="e">
        <f ca="1">IF(E34=0,0,SUMIF('1.3-Basis ruimtestaat'!E:E,'1.1a-Jaarprijzen'!B34,'1.3-Basis ruimtestaat'!AG:AG)/SUM(H34+I34))</f>
        <v>#DIV/0!</v>
      </c>
      <c r="O34" s="448"/>
      <c r="P34" s="567"/>
    </row>
    <row r="35" spans="1:21" ht="19" customHeight="1">
      <c r="A35" s="888">
        <f t="shared" si="0"/>
        <v>2</v>
      </c>
      <c r="B35" s="2" t="s">
        <v>701</v>
      </c>
      <c r="C35" s="435" t="s">
        <v>703</v>
      </c>
      <c r="D35" s="2" t="s">
        <v>702</v>
      </c>
      <c r="E35" s="190">
        <f ca="1">SUMIF('1.3-Basis ruimtestaat'!E:K,'1.1a-Jaarprijzen'!B35,'1.3-Basis ruimtestaat'!K:K)</f>
        <v>501.59</v>
      </c>
      <c r="F35" s="190">
        <f ca="1">SUMIF('1.3-Basis ruimtestaat'!E:L,'1.1a-Jaarprijzen'!B35,'1.3-Basis ruimtestaat'!L:L)</f>
        <v>40.89</v>
      </c>
      <c r="G35" s="687">
        <v>2</v>
      </c>
      <c r="H35" s="351">
        <f>SUMIF('1.3-Basis ruimtestaat'!E:E,'1.1a-Jaarprijzen'!B35,'1.3-Basis ruimtestaat'!T:T)+SUMIF('1.3-Basis ruimtestaat'!E:E,'1.1a-Jaarprijzen'!B35,'1.3-Basis ruimtestaat'!V:V)</f>
        <v>0</v>
      </c>
      <c r="I35" s="351">
        <f>SUMIF('1.3-Basis ruimtestaat'!E:E,'1.1a-Jaarprijzen'!B35,'1.3-Basis ruimtestaat'!U:U)</f>
        <v>0</v>
      </c>
      <c r="J35" s="351">
        <f>SUMIF('1.3-Basis ruimtestaat'!E:E,'1.1a-Jaarprijzen'!B35,'1.3-Basis ruimtestaat'!W:W)</f>
        <v>0</v>
      </c>
      <c r="K35" s="351"/>
      <c r="L35" s="352">
        <f>(H35+I35)*'1.0-Contractblad'!$D$40</f>
        <v>0</v>
      </c>
      <c r="M35" s="197">
        <f>SUMIF('1.9-Glasbewassing'!B:B,'1.1a-Jaarprijzen'!B35,'1.9-Glasbewassing'!D:D)+SUMIF('1.9-Glasbewassing'!B:B,'1.1a-Jaarprijzen'!B35,'1.9-Glasbewassing'!F:F)+SUMIF('1.9-Glasbewassing'!B:B,'1.1a-Jaarprijzen'!B35,'1.9-Glasbewassing'!H:H)</f>
        <v>259.47999999999996</v>
      </c>
      <c r="N35" s="884" t="e">
        <f ca="1">IF(E35=0,0,SUMIF('1.3-Basis ruimtestaat'!E:E,'1.1a-Jaarprijzen'!B35,'1.3-Basis ruimtestaat'!AG:AG)/SUM(H35+I35))</f>
        <v>#DIV/0!</v>
      </c>
      <c r="O35" s="448"/>
      <c r="P35" s="567"/>
    </row>
    <row r="36" spans="1:21" ht="19" customHeight="1">
      <c r="A36" s="888">
        <f t="shared" si="0"/>
        <v>2</v>
      </c>
      <c r="B36" s="2" t="s">
        <v>700</v>
      </c>
      <c r="C36" s="2" t="s">
        <v>703</v>
      </c>
      <c r="D36" s="2" t="s">
        <v>702</v>
      </c>
      <c r="E36" s="190">
        <f ca="1">SUMIF('1.3-Basis ruimtestaat'!E:K,'1.1a-Jaarprijzen'!B36,'1.3-Basis ruimtestaat'!K:K)</f>
        <v>267.10999999999996</v>
      </c>
      <c r="F36" s="190">
        <f ca="1">SUMIF('1.3-Basis ruimtestaat'!E:L,'1.1a-Jaarprijzen'!B36,'1.3-Basis ruimtestaat'!L:L)</f>
        <v>0</v>
      </c>
      <c r="G36" s="687">
        <v>2</v>
      </c>
      <c r="H36" s="351">
        <f>SUMIF('1.3-Basis ruimtestaat'!E:E,'1.1a-Jaarprijzen'!B36,'1.3-Basis ruimtestaat'!T:T)+SUMIF('1.3-Basis ruimtestaat'!E:E,'1.1a-Jaarprijzen'!B36,'1.3-Basis ruimtestaat'!V:V)</f>
        <v>0</v>
      </c>
      <c r="I36" s="351">
        <f>SUMIF('1.3-Basis ruimtestaat'!E:E,'1.1a-Jaarprijzen'!B36,'1.3-Basis ruimtestaat'!U:U)</f>
        <v>0</v>
      </c>
      <c r="J36" s="351">
        <f>SUMIF('1.3-Basis ruimtestaat'!E:E,'1.1a-Jaarprijzen'!B36,'1.3-Basis ruimtestaat'!W:W)</f>
        <v>0</v>
      </c>
      <c r="K36" s="351"/>
      <c r="L36" s="352">
        <f>(H36+I36)*'1.0-Contractblad'!$D$40</f>
        <v>0</v>
      </c>
      <c r="M36" s="197">
        <f>SUMIF('1.9-Glasbewassing'!B:B,'1.1a-Jaarprijzen'!B36,'1.9-Glasbewassing'!D:D)+SUMIF('1.9-Glasbewassing'!B:B,'1.1a-Jaarprijzen'!B36,'1.9-Glasbewassing'!F:F)+SUMIF('1.9-Glasbewassing'!B:B,'1.1a-Jaarprijzen'!B36,'1.9-Glasbewassing'!H:H)</f>
        <v>109.64</v>
      </c>
      <c r="N36" s="884" t="e">
        <f ca="1">IF(E36=0,0,SUMIF('1.3-Basis ruimtestaat'!E:E,'1.1a-Jaarprijzen'!B36,'1.3-Basis ruimtestaat'!AG:AG)/SUM(H36+I36))</f>
        <v>#DIV/0!</v>
      </c>
      <c r="O36" s="448"/>
      <c r="P36" s="567"/>
    </row>
    <row r="37" spans="1:21" ht="19" customHeight="1">
      <c r="A37" s="888">
        <f t="shared" si="0"/>
        <v>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884">
        <f>IF(E37=0,0,SUMIF('1.3-Basis ruimtestaat'!E:E,'1.1a-Jaarprijzen'!B37,'1.3-Basis ruimtestaat'!AG:AG)/SUM(H37+I37))</f>
        <v>0</v>
      </c>
      <c r="O37" s="448"/>
      <c r="P37" s="567"/>
    </row>
    <row r="38" spans="1:21" ht="19" customHeight="1">
      <c r="A38" s="888">
        <f t="shared" si="0"/>
        <v>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884">
        <f>IF(E38=0,0,SUMIF('1.3-Basis ruimtestaat'!E:E,'1.1a-Jaarprijzen'!B38,'1.3-Basis ruimtestaat'!AG:AG)/SUM(H38+I38))</f>
        <v>0</v>
      </c>
      <c r="O38" s="448"/>
      <c r="P38" s="567"/>
    </row>
    <row r="39" spans="1:21" ht="19" hidden="1" customHeight="1">
      <c r="A39" s="888"/>
      <c r="B39" s="682"/>
      <c r="C39" s="682"/>
      <c r="D39" s="682"/>
      <c r="E39" s="190"/>
      <c r="F39" s="190"/>
      <c r="G39" s="687"/>
      <c r="H39" s="351"/>
      <c r="I39" s="351"/>
      <c r="J39" s="351"/>
      <c r="K39" s="351"/>
      <c r="L39" s="352"/>
      <c r="M39" s="197"/>
      <c r="N39" s="884"/>
      <c r="O39" s="448"/>
      <c r="P39" s="460"/>
      <c r="Q39" s="460"/>
      <c r="R39" s="460"/>
      <c r="S39" s="460"/>
      <c r="T39" s="460"/>
      <c r="U39" s="460"/>
    </row>
    <row r="40" spans="1:21" ht="19" hidden="1" customHeight="1">
      <c r="A40" s="888"/>
      <c r="B40" s="682"/>
      <c r="C40" s="682"/>
      <c r="D40" s="682"/>
      <c r="E40" s="190"/>
      <c r="F40" s="190"/>
      <c r="G40" s="687"/>
      <c r="H40" s="351"/>
      <c r="I40" s="351"/>
      <c r="J40" s="351"/>
      <c r="K40" s="351"/>
      <c r="L40" s="352"/>
      <c r="M40" s="197"/>
      <c r="N40" s="884"/>
      <c r="O40" s="448"/>
      <c r="P40" s="460"/>
      <c r="Q40" s="460"/>
      <c r="R40" s="460"/>
      <c r="S40" s="460"/>
      <c r="T40" s="460"/>
      <c r="U40" s="460"/>
    </row>
    <row r="41" spans="1:21" ht="19" hidden="1" customHeight="1">
      <c r="A41" s="888"/>
      <c r="B41" s="682"/>
      <c r="C41" s="682"/>
      <c r="D41" s="682"/>
      <c r="E41" s="190"/>
      <c r="F41" s="190"/>
      <c r="G41" s="687"/>
      <c r="H41" s="351"/>
      <c r="I41" s="351"/>
      <c r="J41" s="351"/>
      <c r="K41" s="351"/>
      <c r="L41" s="352"/>
      <c r="M41" s="197"/>
      <c r="N41" s="884"/>
      <c r="O41" s="448"/>
      <c r="P41" s="460"/>
      <c r="Q41" s="460"/>
      <c r="R41" s="460"/>
      <c r="S41" s="460"/>
      <c r="T41" s="460"/>
      <c r="U41" s="460"/>
    </row>
    <row r="42" spans="1:21" ht="19" hidden="1" customHeight="1">
      <c r="A42" s="888"/>
      <c r="B42" s="682"/>
      <c r="C42" s="682"/>
      <c r="D42" s="682"/>
      <c r="E42" s="190"/>
      <c r="F42" s="190"/>
      <c r="G42" s="687"/>
      <c r="H42" s="351"/>
      <c r="I42" s="351"/>
      <c r="J42" s="351"/>
      <c r="K42" s="351"/>
      <c r="L42" s="352"/>
      <c r="M42" s="197"/>
      <c r="N42" s="884"/>
      <c r="O42" s="448"/>
      <c r="P42" s="460"/>
      <c r="Q42" s="460"/>
      <c r="R42" s="460"/>
      <c r="S42" s="460"/>
      <c r="T42" s="460"/>
      <c r="U42" s="460"/>
    </row>
    <row r="43" spans="1:21" ht="19" hidden="1" customHeight="1">
      <c r="A43" s="888"/>
      <c r="B43" s="682"/>
      <c r="C43" s="682"/>
      <c r="D43" s="682"/>
      <c r="E43" s="190"/>
      <c r="F43" s="190"/>
      <c r="G43" s="687"/>
      <c r="H43" s="351"/>
      <c r="I43" s="351"/>
      <c r="J43" s="351"/>
      <c r="K43" s="351"/>
      <c r="L43" s="352"/>
      <c r="M43" s="197"/>
      <c r="N43" s="884"/>
      <c r="O43" s="448"/>
      <c r="P43" s="460"/>
      <c r="Q43" s="460"/>
      <c r="R43" s="460"/>
      <c r="S43" s="460"/>
      <c r="T43" s="460"/>
      <c r="U43" s="460"/>
    </row>
    <row r="44" spans="1:21" ht="19" hidden="1" customHeight="1">
      <c r="A44" s="888"/>
      <c r="B44" s="682"/>
      <c r="C44" s="682"/>
      <c r="D44" s="682"/>
      <c r="E44" s="190"/>
      <c r="F44" s="190"/>
      <c r="G44" s="687"/>
      <c r="H44" s="351"/>
      <c r="I44" s="351"/>
      <c r="J44" s="351"/>
      <c r="K44" s="351"/>
      <c r="L44" s="352"/>
      <c r="M44" s="197"/>
      <c r="N44" s="884"/>
      <c r="O44" s="448"/>
      <c r="P44" s="460"/>
      <c r="Q44" s="460"/>
      <c r="R44" s="460"/>
      <c r="S44" s="460"/>
      <c r="T44" s="460"/>
      <c r="U44" s="460"/>
    </row>
    <row r="45" spans="1:21" ht="19" hidden="1" customHeight="1">
      <c r="A45" s="888"/>
      <c r="B45" s="682"/>
      <c r="C45" s="682"/>
      <c r="D45" s="682"/>
      <c r="E45" s="190"/>
      <c r="F45" s="190"/>
      <c r="G45" s="687"/>
      <c r="H45" s="351"/>
      <c r="I45" s="351"/>
      <c r="J45" s="351"/>
      <c r="K45" s="351"/>
      <c r="L45" s="352"/>
      <c r="M45" s="197"/>
      <c r="N45" s="884"/>
      <c r="O45" s="448"/>
      <c r="P45" s="460"/>
      <c r="Q45" s="460"/>
      <c r="R45" s="460"/>
      <c r="S45" s="460"/>
      <c r="T45" s="460"/>
      <c r="U45" s="460"/>
    </row>
    <row r="46" spans="1:21" ht="19" hidden="1" customHeight="1">
      <c r="A46" s="888"/>
      <c r="B46" s="682"/>
      <c r="C46" s="682"/>
      <c r="D46" s="682"/>
      <c r="E46" s="190"/>
      <c r="F46" s="190"/>
      <c r="G46" s="687"/>
      <c r="H46" s="351"/>
      <c r="I46" s="351"/>
      <c r="J46" s="351"/>
      <c r="K46" s="351"/>
      <c r="L46" s="352"/>
      <c r="M46" s="197"/>
      <c r="N46" s="884"/>
      <c r="O46" s="448"/>
      <c r="P46" s="460"/>
      <c r="Q46" s="460"/>
      <c r="R46" s="460"/>
      <c r="S46" s="460"/>
      <c r="T46" s="460"/>
      <c r="U46" s="460"/>
    </row>
    <row r="47" spans="1:21" ht="19" hidden="1" customHeight="1">
      <c r="A47" s="888"/>
      <c r="B47" s="682"/>
      <c r="C47" s="682"/>
      <c r="D47" s="682"/>
      <c r="E47" s="190"/>
      <c r="F47" s="190"/>
      <c r="G47" s="687"/>
      <c r="H47" s="351"/>
      <c r="I47" s="351"/>
      <c r="J47" s="351"/>
      <c r="K47" s="351"/>
      <c r="L47" s="352"/>
      <c r="M47" s="197"/>
      <c r="N47" s="884"/>
      <c r="O47" s="448"/>
      <c r="P47" s="460"/>
      <c r="Q47" s="460"/>
      <c r="R47" s="460"/>
      <c r="S47" s="460"/>
      <c r="T47" s="460"/>
      <c r="U47" s="460"/>
    </row>
    <row r="48" spans="1:21" ht="19" hidden="1" customHeight="1">
      <c r="A48" s="888"/>
      <c r="B48" s="682"/>
      <c r="C48" s="682"/>
      <c r="D48" s="682"/>
      <c r="E48" s="190"/>
      <c r="F48" s="190"/>
      <c r="G48" s="687"/>
      <c r="H48" s="351"/>
      <c r="I48" s="351"/>
      <c r="J48" s="351"/>
      <c r="K48" s="351"/>
      <c r="L48" s="352"/>
      <c r="M48" s="197"/>
      <c r="N48" s="884"/>
      <c r="O48" s="448"/>
      <c r="P48" s="460"/>
      <c r="Q48" s="460"/>
      <c r="R48" s="460"/>
      <c r="S48" s="460"/>
      <c r="T48" s="460"/>
      <c r="U48" s="460"/>
    </row>
    <row r="49" spans="1:21" ht="19" hidden="1" customHeight="1">
      <c r="A49" s="888"/>
      <c r="B49" s="682"/>
      <c r="C49" s="682"/>
      <c r="D49" s="682"/>
      <c r="E49" s="190"/>
      <c r="F49" s="190"/>
      <c r="G49" s="687"/>
      <c r="H49" s="351"/>
      <c r="I49" s="351"/>
      <c r="J49" s="351"/>
      <c r="K49" s="351"/>
      <c r="L49" s="352"/>
      <c r="M49" s="197"/>
      <c r="N49" s="884"/>
      <c r="O49" s="448"/>
      <c r="P49" s="460"/>
      <c r="Q49" s="460"/>
      <c r="R49" s="460"/>
      <c r="S49" s="460"/>
      <c r="T49" s="460"/>
      <c r="U49" s="460"/>
    </row>
    <row r="50" spans="1:21" ht="19" hidden="1" customHeight="1">
      <c r="A50" s="888"/>
      <c r="B50" s="682"/>
      <c r="C50" s="682"/>
      <c r="D50" s="682"/>
      <c r="E50" s="190"/>
      <c r="F50" s="190"/>
      <c r="G50" s="687"/>
      <c r="H50" s="351"/>
      <c r="I50" s="351"/>
      <c r="J50" s="351"/>
      <c r="K50" s="351"/>
      <c r="L50" s="352"/>
      <c r="M50" s="197"/>
      <c r="N50" s="884"/>
      <c r="O50" s="448"/>
      <c r="P50" s="460"/>
      <c r="Q50" s="460"/>
      <c r="R50" s="460"/>
      <c r="S50" s="460"/>
      <c r="T50" s="460"/>
      <c r="U50" s="460"/>
    </row>
    <row r="51" spans="1:21" ht="19" hidden="1" customHeight="1">
      <c r="A51" s="888"/>
      <c r="B51" s="682"/>
      <c r="C51" s="682"/>
      <c r="D51" s="682"/>
      <c r="E51" s="190"/>
      <c r="F51" s="190"/>
      <c r="G51" s="687"/>
      <c r="H51" s="351"/>
      <c r="I51" s="351"/>
      <c r="J51" s="351"/>
      <c r="K51" s="351"/>
      <c r="L51" s="352"/>
      <c r="M51" s="197"/>
      <c r="N51" s="884"/>
      <c r="O51" s="448"/>
      <c r="P51" s="460"/>
      <c r="Q51" s="460"/>
      <c r="R51" s="460"/>
      <c r="S51" s="460"/>
      <c r="T51" s="460"/>
      <c r="U51" s="460"/>
    </row>
    <row r="52" spans="1:21" ht="19" hidden="1" customHeight="1">
      <c r="A52" s="888"/>
      <c r="B52" s="682"/>
      <c r="C52" s="682"/>
      <c r="D52" s="682"/>
      <c r="E52" s="190"/>
      <c r="F52" s="190"/>
      <c r="G52" s="687"/>
      <c r="H52" s="351"/>
      <c r="I52" s="351"/>
      <c r="J52" s="351"/>
      <c r="K52" s="351"/>
      <c r="L52" s="352"/>
      <c r="M52" s="197"/>
      <c r="N52" s="884"/>
      <c r="O52" s="448"/>
      <c r="P52" s="460"/>
      <c r="Q52" s="460"/>
      <c r="R52" s="460"/>
      <c r="S52" s="460"/>
      <c r="T52" s="460"/>
      <c r="U52" s="460"/>
    </row>
    <row r="53" spans="1:21" ht="19" hidden="1" customHeight="1">
      <c r="A53" s="888"/>
      <c r="B53" s="682"/>
      <c r="C53" s="682"/>
      <c r="D53" s="682"/>
      <c r="E53" s="190"/>
      <c r="F53" s="190"/>
      <c r="G53" s="687"/>
      <c r="H53" s="351"/>
      <c r="I53" s="351"/>
      <c r="J53" s="351"/>
      <c r="K53" s="351"/>
      <c r="L53" s="352"/>
      <c r="M53" s="197"/>
      <c r="N53" s="884"/>
      <c r="O53" s="448"/>
      <c r="P53" s="460"/>
      <c r="Q53" s="460"/>
      <c r="R53" s="460"/>
      <c r="S53" s="460"/>
      <c r="T53" s="460"/>
      <c r="U53" s="460"/>
    </row>
    <row r="54" spans="1:21" ht="19" hidden="1" customHeight="1">
      <c r="A54" s="888"/>
      <c r="B54" s="682"/>
      <c r="C54" s="682"/>
      <c r="D54" s="682"/>
      <c r="E54" s="190"/>
      <c r="F54" s="190"/>
      <c r="G54" s="687"/>
      <c r="H54" s="351"/>
      <c r="I54" s="351"/>
      <c r="J54" s="351"/>
      <c r="K54" s="351"/>
      <c r="L54" s="352"/>
      <c r="M54" s="197"/>
      <c r="N54" s="884"/>
      <c r="O54" s="448"/>
      <c r="P54" s="460"/>
      <c r="Q54" s="460"/>
      <c r="R54" s="460"/>
      <c r="S54" s="460"/>
      <c r="T54" s="460"/>
      <c r="U54" s="460"/>
    </row>
    <row r="55" spans="1:21" ht="19" hidden="1" customHeight="1">
      <c r="A55" s="888"/>
      <c r="B55" s="682"/>
      <c r="C55" s="682"/>
      <c r="D55" s="682"/>
      <c r="E55" s="190"/>
      <c r="F55" s="190"/>
      <c r="G55" s="687"/>
      <c r="H55" s="351"/>
      <c r="I55" s="351"/>
      <c r="J55" s="351"/>
      <c r="K55" s="351"/>
      <c r="L55" s="352"/>
      <c r="M55" s="197"/>
      <c r="N55" s="884"/>
      <c r="O55" s="448"/>
      <c r="P55" s="460"/>
      <c r="Q55" s="460"/>
      <c r="R55" s="460"/>
      <c r="S55" s="460"/>
      <c r="T55" s="460"/>
      <c r="U55" s="460"/>
    </row>
    <row r="56" spans="1:21" ht="19" hidden="1" customHeight="1">
      <c r="A56" s="888"/>
      <c r="B56" s="682"/>
      <c r="C56" s="682"/>
      <c r="D56" s="682"/>
      <c r="E56" s="190"/>
      <c r="F56" s="190"/>
      <c r="G56" s="687"/>
      <c r="H56" s="351"/>
      <c r="I56" s="351"/>
      <c r="J56" s="351"/>
      <c r="K56" s="351"/>
      <c r="L56" s="352"/>
      <c r="M56" s="197"/>
      <c r="N56" s="884"/>
      <c r="O56" s="448"/>
      <c r="P56" s="460"/>
      <c r="Q56" s="460"/>
      <c r="R56" s="460"/>
      <c r="S56" s="460"/>
      <c r="T56" s="460"/>
      <c r="U56" s="460"/>
    </row>
    <row r="57" spans="1:21" ht="19" hidden="1" customHeight="1">
      <c r="A57" s="888"/>
      <c r="B57" s="682"/>
      <c r="C57" s="682"/>
      <c r="D57" s="682"/>
      <c r="E57" s="190"/>
      <c r="F57" s="190"/>
      <c r="G57" s="687"/>
      <c r="H57" s="351"/>
      <c r="I57" s="351"/>
      <c r="J57" s="351"/>
      <c r="K57" s="351"/>
      <c r="L57" s="352"/>
      <c r="M57" s="197"/>
      <c r="N57" s="884"/>
      <c r="O57" s="448"/>
      <c r="P57" s="460"/>
      <c r="Q57" s="460"/>
      <c r="R57" s="460"/>
      <c r="S57" s="460"/>
      <c r="T57" s="460"/>
      <c r="U57" s="460"/>
    </row>
    <row r="58" spans="1:21" ht="19" hidden="1" customHeight="1">
      <c r="A58" s="888"/>
      <c r="B58" s="682"/>
      <c r="C58" s="682"/>
      <c r="D58" s="682"/>
      <c r="E58" s="190"/>
      <c r="F58" s="190"/>
      <c r="G58" s="687"/>
      <c r="H58" s="351"/>
      <c r="I58" s="351"/>
      <c r="J58" s="351"/>
      <c r="K58" s="351"/>
      <c r="L58" s="352"/>
      <c r="M58" s="197"/>
      <c r="N58" s="884"/>
      <c r="O58" s="448"/>
      <c r="P58" s="460"/>
      <c r="Q58" s="460"/>
      <c r="R58" s="460"/>
      <c r="S58" s="460"/>
      <c r="T58" s="460"/>
      <c r="U58" s="460"/>
    </row>
    <row r="59" spans="1:21" ht="19" hidden="1" customHeight="1">
      <c r="A59" s="888"/>
      <c r="B59" s="682"/>
      <c r="C59" s="682"/>
      <c r="D59" s="682"/>
      <c r="E59" s="190"/>
      <c r="F59" s="190"/>
      <c r="G59" s="687"/>
      <c r="H59" s="351"/>
      <c r="I59" s="351"/>
      <c r="J59" s="351"/>
      <c r="K59" s="351"/>
      <c r="L59" s="352"/>
      <c r="M59" s="197"/>
      <c r="N59" s="884"/>
      <c r="O59" s="448"/>
      <c r="P59" s="460"/>
      <c r="Q59" s="460"/>
      <c r="R59" s="460"/>
      <c r="S59" s="460"/>
      <c r="T59" s="460"/>
      <c r="U59" s="460"/>
    </row>
    <row r="60" spans="1:21" ht="19" hidden="1" customHeight="1">
      <c r="A60" s="888"/>
      <c r="B60" s="682"/>
      <c r="C60" s="682"/>
      <c r="D60" s="682"/>
      <c r="E60" s="190"/>
      <c r="F60" s="190"/>
      <c r="G60" s="687"/>
      <c r="H60" s="351"/>
      <c r="I60" s="351"/>
      <c r="J60" s="351"/>
      <c r="K60" s="351"/>
      <c r="L60" s="352"/>
      <c r="M60" s="197"/>
      <c r="N60" s="884"/>
      <c r="O60" s="448"/>
      <c r="P60" s="460"/>
      <c r="Q60" s="460"/>
      <c r="R60" s="460"/>
      <c r="S60" s="460"/>
      <c r="T60" s="460"/>
      <c r="U60" s="460"/>
    </row>
    <row r="61" spans="1:21" ht="19" hidden="1" customHeight="1">
      <c r="A61" s="888"/>
      <c r="B61" s="682"/>
      <c r="C61" s="682"/>
      <c r="D61" s="682"/>
      <c r="E61" s="190"/>
      <c r="F61" s="190"/>
      <c r="G61" s="687"/>
      <c r="H61" s="351"/>
      <c r="I61" s="351"/>
      <c r="J61" s="351"/>
      <c r="K61" s="351"/>
      <c r="L61" s="352"/>
      <c r="M61" s="197"/>
      <c r="N61" s="884"/>
      <c r="O61" s="448"/>
      <c r="P61" s="460"/>
      <c r="Q61" s="460"/>
      <c r="R61" s="460"/>
      <c r="S61" s="460"/>
      <c r="T61" s="460"/>
      <c r="U61" s="460"/>
    </row>
    <row r="62" spans="1:21" ht="19" hidden="1" customHeight="1">
      <c r="A62" s="888"/>
      <c r="B62" s="2"/>
      <c r="C62" s="2"/>
      <c r="D62" s="2"/>
      <c r="E62" s="190"/>
      <c r="F62" s="190"/>
      <c r="G62" s="687"/>
      <c r="H62" s="351"/>
      <c r="I62" s="351"/>
      <c r="J62" s="351"/>
      <c r="K62" s="351"/>
      <c r="L62" s="352"/>
      <c r="M62" s="197"/>
      <c r="N62" s="884"/>
      <c r="O62" s="448"/>
      <c r="P62" s="567"/>
    </row>
    <row r="63" spans="1:21" ht="19" hidden="1" customHeight="1">
      <c r="A63" s="888"/>
      <c r="B63" s="2"/>
      <c r="C63" s="2"/>
      <c r="D63" s="2"/>
      <c r="E63" s="190"/>
      <c r="F63" s="190"/>
      <c r="G63" s="687"/>
      <c r="H63" s="351"/>
      <c r="I63" s="351"/>
      <c r="J63" s="351"/>
      <c r="K63" s="351"/>
      <c r="L63" s="352"/>
      <c r="M63" s="197"/>
      <c r="N63" s="884"/>
      <c r="O63" s="448"/>
      <c r="P63" s="567"/>
    </row>
    <row r="64" spans="1:21" ht="19" hidden="1" customHeight="1">
      <c r="A64" s="888"/>
      <c r="B64" s="2"/>
      <c r="C64" s="435"/>
      <c r="D64" s="2"/>
      <c r="E64" s="190"/>
      <c r="F64" s="190"/>
      <c r="G64" s="687"/>
      <c r="H64" s="351"/>
      <c r="I64" s="351"/>
      <c r="J64" s="351"/>
      <c r="K64" s="351"/>
      <c r="L64" s="352"/>
      <c r="M64" s="197"/>
      <c r="N64" s="884"/>
      <c r="O64" s="448"/>
      <c r="P64" s="567"/>
    </row>
    <row r="65" spans="1:21" ht="19" hidden="1" customHeight="1">
      <c r="A65" s="888"/>
      <c r="B65" s="2"/>
      <c r="C65" s="2"/>
      <c r="D65" s="2"/>
      <c r="E65" s="190"/>
      <c r="F65" s="190"/>
      <c r="G65" s="687"/>
      <c r="H65" s="351"/>
      <c r="I65" s="351"/>
      <c r="J65" s="351"/>
      <c r="K65" s="351"/>
      <c r="L65" s="352"/>
      <c r="M65" s="197"/>
      <c r="N65" s="884"/>
      <c r="O65" s="448"/>
      <c r="P65" s="567"/>
    </row>
    <row r="66" spans="1:21" ht="19" hidden="1" customHeight="1">
      <c r="A66" s="888"/>
      <c r="B66" s="2"/>
      <c r="C66" s="2"/>
      <c r="D66" s="2"/>
      <c r="E66" s="190"/>
      <c r="F66" s="190"/>
      <c r="G66" s="687"/>
      <c r="H66" s="351"/>
      <c r="I66" s="351"/>
      <c r="J66" s="351"/>
      <c r="K66" s="351"/>
      <c r="L66" s="352"/>
      <c r="M66" s="197"/>
      <c r="N66" s="884"/>
      <c r="O66" s="448"/>
      <c r="P66" s="567"/>
    </row>
    <row r="67" spans="1:21" ht="19" hidden="1" customHeight="1">
      <c r="A67" s="888"/>
      <c r="B67" s="2"/>
      <c r="C67" s="2"/>
      <c r="D67" s="2"/>
      <c r="E67" s="190"/>
      <c r="F67" s="190"/>
      <c r="G67" s="687"/>
      <c r="H67" s="351"/>
      <c r="I67" s="351"/>
      <c r="J67" s="351"/>
      <c r="K67" s="351"/>
      <c r="L67" s="352"/>
      <c r="M67" s="197"/>
      <c r="N67" s="884"/>
      <c r="O67" s="448"/>
      <c r="P67" s="567"/>
    </row>
    <row r="68" spans="1:21" ht="19" hidden="1" customHeight="1">
      <c r="A68" s="888"/>
      <c r="B68" s="2"/>
      <c r="C68" s="2"/>
      <c r="D68" s="2"/>
      <c r="E68" s="190"/>
      <c r="F68" s="190"/>
      <c r="G68" s="687"/>
      <c r="H68" s="351"/>
      <c r="I68" s="351"/>
      <c r="J68" s="351"/>
      <c r="K68" s="351"/>
      <c r="L68" s="352"/>
      <c r="M68" s="197"/>
      <c r="N68" s="884"/>
      <c r="O68" s="448"/>
      <c r="P68" s="567"/>
    </row>
    <row r="69" spans="1:21" ht="19" hidden="1" customHeight="1">
      <c r="A69" s="888"/>
      <c r="B69" s="2"/>
      <c r="C69" s="2"/>
      <c r="D69" s="2"/>
      <c r="E69" s="190"/>
      <c r="F69" s="190"/>
      <c r="G69" s="687"/>
      <c r="H69" s="351"/>
      <c r="I69" s="351"/>
      <c r="J69" s="351"/>
      <c r="K69" s="351"/>
      <c r="L69" s="352"/>
      <c r="M69" s="197"/>
      <c r="N69" s="884"/>
      <c r="O69" s="448"/>
      <c r="P69" s="567"/>
    </row>
    <row r="70" spans="1:21" ht="19" hidden="1" customHeight="1">
      <c r="A70" s="888"/>
      <c r="B70" s="2"/>
      <c r="C70" s="2"/>
      <c r="D70" s="2"/>
      <c r="E70" s="190"/>
      <c r="F70" s="190"/>
      <c r="G70" s="687"/>
      <c r="H70" s="351"/>
      <c r="I70" s="351"/>
      <c r="J70" s="351"/>
      <c r="K70" s="351"/>
      <c r="L70" s="352"/>
      <c r="M70" s="197"/>
      <c r="N70" s="884"/>
      <c r="O70" s="448"/>
      <c r="P70" s="567"/>
    </row>
    <row r="71" spans="1:21" ht="19" hidden="1" customHeight="1">
      <c r="A71" s="888"/>
      <c r="B71" s="682"/>
      <c r="C71" s="682"/>
      <c r="D71" s="682"/>
      <c r="E71" s="190"/>
      <c r="F71" s="190"/>
      <c r="G71" s="687"/>
      <c r="H71" s="351"/>
      <c r="I71" s="351"/>
      <c r="J71" s="351"/>
      <c r="K71" s="351"/>
      <c r="L71" s="352"/>
      <c r="M71" s="197"/>
      <c r="N71" s="884"/>
      <c r="O71" s="448"/>
      <c r="P71" s="460"/>
      <c r="Q71" s="460"/>
      <c r="R71" s="460"/>
      <c r="S71" s="460"/>
      <c r="T71" s="460"/>
      <c r="U71" s="460"/>
    </row>
    <row r="72" spans="1:21" ht="19" hidden="1" customHeight="1">
      <c r="A72" s="888"/>
      <c r="B72" s="682"/>
      <c r="C72" s="682"/>
      <c r="D72" s="682"/>
      <c r="E72" s="190"/>
      <c r="F72" s="190"/>
      <c r="G72" s="687"/>
      <c r="H72" s="351"/>
      <c r="I72" s="351"/>
      <c r="J72" s="351"/>
      <c r="K72" s="351"/>
      <c r="L72" s="352"/>
      <c r="M72" s="197"/>
      <c r="N72" s="884"/>
      <c r="O72" s="448"/>
      <c r="P72" s="460"/>
      <c r="Q72" s="460"/>
      <c r="R72" s="460"/>
      <c r="S72" s="460"/>
      <c r="T72" s="460"/>
      <c r="U72" s="460"/>
    </row>
    <row r="73" spans="1:21" ht="19" hidden="1" customHeight="1">
      <c r="A73" s="888"/>
      <c r="B73" s="682"/>
      <c r="C73" s="682"/>
      <c r="D73" s="682"/>
      <c r="E73" s="190"/>
      <c r="F73" s="190"/>
      <c r="G73" s="687"/>
      <c r="H73" s="351"/>
      <c r="I73" s="351"/>
      <c r="J73" s="351"/>
      <c r="K73" s="351"/>
      <c r="L73" s="352"/>
      <c r="M73" s="197"/>
      <c r="N73" s="884"/>
      <c r="O73" s="448"/>
      <c r="P73" s="460"/>
      <c r="Q73" s="460"/>
      <c r="R73" s="460"/>
      <c r="S73" s="460"/>
      <c r="T73" s="460"/>
      <c r="U73" s="460"/>
    </row>
    <row r="74" spans="1:21" ht="19" hidden="1" customHeight="1">
      <c r="A74" s="888"/>
      <c r="B74" s="2"/>
      <c r="C74" s="2"/>
      <c r="D74" s="2"/>
      <c r="E74" s="190"/>
      <c r="F74" s="190"/>
      <c r="G74" s="687"/>
      <c r="H74" s="351"/>
      <c r="I74" s="351"/>
      <c r="J74" s="351"/>
      <c r="K74" s="351"/>
      <c r="L74" s="352"/>
      <c r="M74" s="197"/>
      <c r="N74" s="884"/>
      <c r="O74" s="448"/>
    </row>
    <row r="75" spans="1:21" ht="19" hidden="1" customHeight="1">
      <c r="A75" s="888"/>
      <c r="B75" s="2"/>
      <c r="C75" s="2"/>
      <c r="D75" s="2"/>
      <c r="E75" s="190"/>
      <c r="F75" s="190"/>
      <c r="G75" s="687"/>
      <c r="H75" s="351"/>
      <c r="I75" s="351"/>
      <c r="J75" s="351"/>
      <c r="K75" s="351"/>
      <c r="L75" s="352"/>
      <c r="M75" s="197"/>
      <c r="N75" s="884"/>
      <c r="O75" s="448"/>
    </row>
    <row r="76" spans="1:21" ht="19" hidden="1" customHeight="1">
      <c r="A76" s="888"/>
      <c r="B76" s="2"/>
      <c r="C76" s="2"/>
      <c r="D76" s="2"/>
      <c r="E76" s="190"/>
      <c r="F76" s="190"/>
      <c r="G76" s="687"/>
      <c r="H76" s="351"/>
      <c r="I76" s="351"/>
      <c r="J76" s="351"/>
      <c r="K76" s="351"/>
      <c r="L76" s="352"/>
      <c r="M76" s="197"/>
      <c r="N76" s="884"/>
      <c r="O76" s="448"/>
    </row>
    <row r="77" spans="1:21" ht="19" hidden="1" customHeight="1">
      <c r="A77" s="888"/>
      <c r="B77" s="682"/>
      <c r="C77" s="682"/>
      <c r="D77" s="682"/>
      <c r="E77" s="190"/>
      <c r="F77" s="190"/>
      <c r="G77" s="687"/>
      <c r="H77" s="351"/>
      <c r="I77" s="351"/>
      <c r="J77" s="351"/>
      <c r="K77" s="351"/>
      <c r="L77" s="352"/>
      <c r="M77" s="197"/>
      <c r="N77" s="884"/>
      <c r="O77" s="448"/>
      <c r="P77" s="460"/>
      <c r="Q77" s="460"/>
      <c r="R77" s="460"/>
      <c r="S77" s="460"/>
      <c r="T77" s="460"/>
      <c r="U77" s="460"/>
    </row>
    <row r="78" spans="1:21" ht="19" hidden="1" customHeight="1">
      <c r="A78" s="888"/>
      <c r="B78" s="682"/>
      <c r="C78" s="682"/>
      <c r="D78" s="682"/>
      <c r="E78" s="190"/>
      <c r="F78" s="190"/>
      <c r="G78" s="687"/>
      <c r="H78" s="351"/>
      <c r="I78" s="351"/>
      <c r="J78" s="351"/>
      <c r="K78" s="351"/>
      <c r="L78" s="352"/>
      <c r="M78" s="197"/>
      <c r="N78" s="884"/>
      <c r="O78" s="448"/>
      <c r="P78" s="460"/>
      <c r="Q78" s="460"/>
      <c r="R78" s="460"/>
      <c r="S78" s="460"/>
      <c r="T78" s="460"/>
      <c r="U78" s="460"/>
    </row>
    <row r="79" spans="1:21" ht="19" hidden="1" customHeight="1">
      <c r="A79" s="888"/>
      <c r="B79" s="682"/>
      <c r="C79" s="682"/>
      <c r="D79" s="682"/>
      <c r="E79" s="190"/>
      <c r="F79" s="190"/>
      <c r="G79" s="687"/>
      <c r="H79" s="351"/>
      <c r="I79" s="351"/>
      <c r="J79" s="351"/>
      <c r="K79" s="351"/>
      <c r="L79" s="352"/>
      <c r="M79" s="197"/>
      <c r="N79" s="884"/>
      <c r="O79" s="448"/>
      <c r="P79" s="460"/>
      <c r="Q79" s="460"/>
      <c r="R79" s="460"/>
      <c r="S79" s="460"/>
      <c r="T79" s="460"/>
      <c r="U79" s="460"/>
    </row>
    <row r="80" spans="1:21" ht="19" hidden="1" customHeight="1">
      <c r="A80" s="888"/>
      <c r="B80" s="682"/>
      <c r="C80" s="682"/>
      <c r="D80" s="682"/>
      <c r="E80" s="190"/>
      <c r="F80" s="190"/>
      <c r="G80" s="687"/>
      <c r="H80" s="351"/>
      <c r="I80" s="351"/>
      <c r="J80" s="351"/>
      <c r="K80" s="351"/>
      <c r="L80" s="352"/>
      <c r="M80" s="197"/>
      <c r="N80" s="884"/>
      <c r="O80" s="448"/>
      <c r="P80" s="460"/>
      <c r="Q80" s="460"/>
      <c r="R80" s="460"/>
      <c r="S80" s="460"/>
      <c r="T80" s="460"/>
      <c r="U80" s="460"/>
    </row>
    <row r="81" spans="1:21" ht="19" hidden="1" customHeight="1">
      <c r="A81" s="888"/>
      <c r="B81" s="682"/>
      <c r="C81" s="682"/>
      <c r="D81" s="682"/>
      <c r="E81" s="190"/>
      <c r="F81" s="190"/>
      <c r="G81" s="687"/>
      <c r="H81" s="351"/>
      <c r="I81" s="351"/>
      <c r="J81" s="351"/>
      <c r="K81" s="351"/>
      <c r="L81" s="352"/>
      <c r="M81" s="197"/>
      <c r="N81" s="884"/>
      <c r="O81" s="448"/>
      <c r="P81" s="460"/>
      <c r="Q81" s="460"/>
      <c r="R81" s="460"/>
      <c r="S81" s="460"/>
      <c r="T81" s="460"/>
      <c r="U81" s="460"/>
    </row>
    <row r="82" spans="1:21" ht="19" hidden="1" customHeight="1">
      <c r="A82" s="888"/>
      <c r="B82" s="682"/>
      <c r="C82" s="682"/>
      <c r="D82" s="682"/>
      <c r="E82" s="190"/>
      <c r="F82" s="190"/>
      <c r="G82" s="687"/>
      <c r="H82" s="351"/>
      <c r="I82" s="351"/>
      <c r="J82" s="351"/>
      <c r="K82" s="351"/>
      <c r="L82" s="352"/>
      <c r="M82" s="197"/>
      <c r="N82" s="884"/>
      <c r="O82" s="448"/>
      <c r="P82" s="460"/>
      <c r="Q82" s="460"/>
      <c r="R82" s="460"/>
      <c r="S82" s="460"/>
      <c r="T82" s="460"/>
      <c r="U82" s="460"/>
    </row>
    <row r="83" spans="1:21" ht="19" hidden="1" customHeight="1">
      <c r="A83" s="888"/>
      <c r="B83" s="682"/>
      <c r="C83" s="682"/>
      <c r="D83" s="682"/>
      <c r="E83" s="190"/>
      <c r="F83" s="190"/>
      <c r="G83" s="687"/>
      <c r="H83" s="351"/>
      <c r="I83" s="351"/>
      <c r="J83" s="351"/>
      <c r="K83" s="351"/>
      <c r="L83" s="352"/>
      <c r="M83" s="197"/>
      <c r="N83" s="884"/>
      <c r="O83" s="448"/>
      <c r="P83" s="460"/>
      <c r="Q83" s="460"/>
      <c r="R83" s="460"/>
      <c r="S83" s="460"/>
      <c r="T83" s="460"/>
      <c r="U83" s="460"/>
    </row>
    <row r="84" spans="1:21" ht="19" hidden="1" customHeight="1">
      <c r="A84" s="888"/>
      <c r="B84" s="682"/>
      <c r="C84" s="682"/>
      <c r="D84" s="682"/>
      <c r="E84" s="190"/>
      <c r="F84" s="190"/>
      <c r="G84" s="687"/>
      <c r="H84" s="351"/>
      <c r="I84" s="351"/>
      <c r="J84" s="351"/>
      <c r="K84" s="351"/>
      <c r="L84" s="352"/>
      <c r="M84" s="197"/>
      <c r="N84" s="884"/>
      <c r="O84" s="448"/>
      <c r="P84" s="460"/>
      <c r="Q84" s="460"/>
      <c r="R84" s="460"/>
      <c r="S84" s="460"/>
      <c r="T84" s="460"/>
      <c r="U84" s="460"/>
    </row>
    <row r="85" spans="1:21" ht="19" hidden="1" customHeight="1">
      <c r="A85" s="888"/>
      <c r="B85" s="682"/>
      <c r="C85" s="682"/>
      <c r="D85" s="682"/>
      <c r="E85" s="190"/>
      <c r="F85" s="190"/>
      <c r="G85" s="687"/>
      <c r="H85" s="351"/>
      <c r="I85" s="351"/>
      <c r="J85" s="351"/>
      <c r="K85" s="351"/>
      <c r="L85" s="352"/>
      <c r="M85" s="197"/>
      <c r="N85" s="884"/>
      <c r="O85" s="448"/>
      <c r="P85" s="460"/>
      <c r="Q85" s="460"/>
      <c r="R85" s="460"/>
      <c r="S85" s="460"/>
      <c r="T85" s="460"/>
      <c r="U85" s="460"/>
    </row>
    <row r="86" spans="1:21" ht="19" hidden="1" customHeight="1">
      <c r="A86" s="888"/>
      <c r="B86" s="682"/>
      <c r="C86" s="682"/>
      <c r="D86" s="682"/>
      <c r="E86" s="190"/>
      <c r="F86" s="190"/>
      <c r="G86" s="687"/>
      <c r="H86" s="351"/>
      <c r="I86" s="351"/>
      <c r="J86" s="351"/>
      <c r="K86" s="351"/>
      <c r="L86" s="352"/>
      <c r="M86" s="197"/>
      <c r="N86" s="884"/>
      <c r="O86" s="448"/>
      <c r="P86" s="460"/>
      <c r="Q86" s="460"/>
      <c r="R86" s="460"/>
      <c r="S86" s="460"/>
      <c r="T86" s="460"/>
      <c r="U86" s="460"/>
    </row>
    <row r="87" spans="1:21" ht="19" hidden="1" customHeight="1">
      <c r="A87" s="888"/>
      <c r="B87" s="682"/>
      <c r="C87" s="682"/>
      <c r="D87" s="682"/>
      <c r="E87" s="190"/>
      <c r="F87" s="190"/>
      <c r="G87" s="687"/>
      <c r="H87" s="351"/>
      <c r="I87" s="351"/>
      <c r="J87" s="351"/>
      <c r="K87" s="351"/>
      <c r="L87" s="352"/>
      <c r="M87" s="197"/>
      <c r="N87" s="884"/>
      <c r="O87" s="448"/>
      <c r="P87" s="460"/>
      <c r="Q87" s="460"/>
      <c r="R87" s="460"/>
      <c r="S87" s="460"/>
      <c r="T87" s="460"/>
      <c r="U87" s="460"/>
    </row>
    <row r="88" spans="1:21" ht="19" hidden="1" customHeight="1">
      <c r="A88" s="888"/>
      <c r="B88" s="682"/>
      <c r="C88" s="682"/>
      <c r="D88" s="682"/>
      <c r="E88" s="190"/>
      <c r="F88" s="190"/>
      <c r="G88" s="687"/>
      <c r="H88" s="351"/>
      <c r="I88" s="351"/>
      <c r="J88" s="351"/>
      <c r="K88" s="351"/>
      <c r="L88" s="352"/>
      <c r="M88" s="197"/>
      <c r="N88" s="884"/>
      <c r="O88" s="448"/>
      <c r="P88" s="460"/>
      <c r="Q88" s="460"/>
      <c r="R88" s="460"/>
      <c r="S88" s="460"/>
      <c r="T88" s="460"/>
      <c r="U88" s="460"/>
    </row>
    <row r="89" spans="1:21" ht="19" hidden="1" customHeight="1">
      <c r="A89" s="888"/>
      <c r="B89" s="682"/>
      <c r="C89" s="682"/>
      <c r="D89" s="682"/>
      <c r="E89" s="190"/>
      <c r="F89" s="190"/>
      <c r="G89" s="687"/>
      <c r="H89" s="351"/>
      <c r="I89" s="351"/>
      <c r="J89" s="351"/>
      <c r="K89" s="351"/>
      <c r="L89" s="352"/>
      <c r="M89" s="197"/>
      <c r="N89" s="884"/>
      <c r="O89" s="448"/>
      <c r="P89" s="460"/>
      <c r="Q89" s="460"/>
      <c r="R89" s="460"/>
      <c r="S89" s="460"/>
      <c r="T89" s="460"/>
      <c r="U89" s="460"/>
    </row>
    <row r="90" spans="1:21" ht="19" hidden="1" customHeight="1">
      <c r="A90" s="888"/>
      <c r="B90" s="682"/>
      <c r="C90" s="682"/>
      <c r="D90" s="682"/>
      <c r="E90" s="190"/>
      <c r="F90" s="190"/>
      <c r="G90" s="687"/>
      <c r="H90" s="351"/>
      <c r="I90" s="351"/>
      <c r="J90" s="351"/>
      <c r="K90" s="351"/>
      <c r="L90" s="352"/>
      <c r="M90" s="197"/>
      <c r="N90" s="884"/>
      <c r="O90" s="448"/>
      <c r="P90" s="460"/>
      <c r="Q90" s="460"/>
      <c r="R90" s="460"/>
      <c r="S90" s="460"/>
      <c r="T90" s="460"/>
      <c r="U90" s="460"/>
    </row>
    <row r="91" spans="1:21" ht="19" hidden="1" customHeight="1">
      <c r="A91" s="888"/>
      <c r="B91" s="682"/>
      <c r="C91" s="682"/>
      <c r="D91" s="682"/>
      <c r="E91" s="190"/>
      <c r="F91" s="190"/>
      <c r="G91" s="687"/>
      <c r="H91" s="351"/>
      <c r="I91" s="351"/>
      <c r="J91" s="351"/>
      <c r="K91" s="351"/>
      <c r="L91" s="352"/>
      <c r="M91" s="197"/>
      <c r="N91" s="884"/>
      <c r="O91" s="448"/>
      <c r="P91" s="460"/>
      <c r="Q91" s="460"/>
      <c r="R91" s="460"/>
      <c r="S91" s="460"/>
      <c r="T91" s="460"/>
      <c r="U91" s="460"/>
    </row>
    <row r="92" spans="1:21" ht="19" hidden="1" customHeight="1">
      <c r="A92" s="888"/>
      <c r="B92" s="682"/>
      <c r="C92" s="682"/>
      <c r="D92" s="682"/>
      <c r="E92" s="190"/>
      <c r="F92" s="190"/>
      <c r="G92" s="687"/>
      <c r="H92" s="351"/>
      <c r="I92" s="351"/>
      <c r="J92" s="351"/>
      <c r="K92" s="351"/>
      <c r="L92" s="352"/>
      <c r="M92" s="197"/>
      <c r="N92" s="884"/>
      <c r="O92" s="448"/>
      <c r="P92" s="460"/>
      <c r="Q92" s="460"/>
      <c r="R92" s="460"/>
      <c r="S92" s="460"/>
      <c r="T92" s="460"/>
      <c r="U92" s="460"/>
    </row>
    <row r="93" spans="1:21" ht="19" hidden="1" customHeight="1">
      <c r="A93" s="888"/>
      <c r="B93" s="682"/>
      <c r="C93" s="682"/>
      <c r="D93" s="682"/>
      <c r="E93" s="190"/>
      <c r="F93" s="190"/>
      <c r="G93" s="687"/>
      <c r="H93" s="351"/>
      <c r="I93" s="351"/>
      <c r="J93" s="351"/>
      <c r="K93" s="351"/>
      <c r="L93" s="352"/>
      <c r="M93" s="197"/>
      <c r="N93" s="884"/>
      <c r="O93" s="448"/>
      <c r="P93" s="460"/>
      <c r="Q93" s="460"/>
      <c r="R93" s="460"/>
      <c r="S93" s="460"/>
      <c r="T93" s="460"/>
      <c r="U93" s="460"/>
    </row>
    <row r="94" spans="1:21" ht="19" hidden="1" customHeight="1">
      <c r="A94" s="888"/>
      <c r="B94" s="682"/>
      <c r="C94" s="682"/>
      <c r="D94" s="682"/>
      <c r="E94" s="190"/>
      <c r="F94" s="190"/>
      <c r="G94" s="687"/>
      <c r="H94" s="351"/>
      <c r="I94" s="351"/>
      <c r="J94" s="351"/>
      <c r="K94" s="351"/>
      <c r="L94" s="352"/>
      <c r="M94" s="197"/>
      <c r="N94" s="884"/>
      <c r="O94" s="448"/>
      <c r="P94" s="460"/>
      <c r="Q94" s="460"/>
      <c r="R94" s="460"/>
      <c r="S94" s="460"/>
      <c r="T94" s="460"/>
      <c r="U94" s="460"/>
    </row>
    <row r="95" spans="1:21" ht="19" hidden="1" customHeight="1">
      <c r="A95" s="888"/>
      <c r="B95" s="682"/>
      <c r="C95" s="682"/>
      <c r="D95" s="682"/>
      <c r="E95" s="190"/>
      <c r="F95" s="190"/>
      <c r="G95" s="687"/>
      <c r="H95" s="351"/>
      <c r="I95" s="351"/>
      <c r="J95" s="351"/>
      <c r="K95" s="351"/>
      <c r="L95" s="352"/>
      <c r="M95" s="197"/>
      <c r="N95" s="884"/>
      <c r="O95" s="448"/>
      <c r="P95" s="460"/>
      <c r="Q95" s="460"/>
      <c r="R95" s="460"/>
      <c r="S95" s="460"/>
      <c r="T95" s="460"/>
      <c r="U95" s="460"/>
    </row>
    <row r="96" spans="1:21" ht="19" hidden="1" customHeight="1">
      <c r="A96" s="888"/>
      <c r="B96" s="682"/>
      <c r="C96" s="682"/>
      <c r="D96" s="682"/>
      <c r="E96" s="190"/>
      <c r="F96" s="190"/>
      <c r="G96" s="687"/>
      <c r="H96" s="351"/>
      <c r="I96" s="351"/>
      <c r="J96" s="351"/>
      <c r="K96" s="351"/>
      <c r="L96" s="352"/>
      <c r="M96" s="197"/>
      <c r="N96" s="884"/>
      <c r="O96" s="448"/>
      <c r="P96" s="460"/>
      <c r="Q96" s="460"/>
      <c r="R96" s="460"/>
      <c r="S96" s="460"/>
      <c r="T96" s="460"/>
      <c r="U96" s="460"/>
    </row>
    <row r="97" spans="1:21" ht="19" hidden="1" customHeight="1">
      <c r="A97" s="888"/>
      <c r="B97" s="682"/>
      <c r="C97" s="682"/>
      <c r="D97" s="682"/>
      <c r="E97" s="190"/>
      <c r="F97" s="190"/>
      <c r="G97" s="687"/>
      <c r="H97" s="351"/>
      <c r="I97" s="351"/>
      <c r="J97" s="351"/>
      <c r="K97" s="351"/>
      <c r="L97" s="352"/>
      <c r="M97" s="197"/>
      <c r="N97" s="884"/>
      <c r="O97" s="448"/>
      <c r="P97" s="460"/>
      <c r="Q97" s="460"/>
      <c r="R97" s="460"/>
      <c r="S97" s="460"/>
      <c r="T97" s="460"/>
      <c r="U97" s="460"/>
    </row>
    <row r="98" spans="1:21" ht="19" hidden="1" customHeight="1">
      <c r="A98" s="888"/>
      <c r="B98" s="682"/>
      <c r="C98" s="682"/>
      <c r="D98" s="682"/>
      <c r="E98" s="190"/>
      <c r="F98" s="190"/>
      <c r="G98" s="687"/>
      <c r="H98" s="351"/>
      <c r="I98" s="351"/>
      <c r="J98" s="351"/>
      <c r="K98" s="351"/>
      <c r="L98" s="352"/>
      <c r="M98" s="197"/>
      <c r="N98" s="884"/>
      <c r="O98" s="448"/>
      <c r="P98" s="460"/>
      <c r="Q98" s="460"/>
      <c r="R98" s="460"/>
      <c r="S98" s="460"/>
      <c r="T98" s="460"/>
      <c r="U98" s="460"/>
    </row>
    <row r="99" spans="1:21" ht="19" hidden="1" customHeight="1">
      <c r="A99" s="888"/>
      <c r="B99" s="682"/>
      <c r="C99" s="682"/>
      <c r="D99" s="682"/>
      <c r="E99" s="190"/>
      <c r="F99" s="190"/>
      <c r="G99" s="687"/>
      <c r="H99" s="351"/>
      <c r="I99" s="351"/>
      <c r="J99" s="351"/>
      <c r="K99" s="351"/>
      <c r="L99" s="352"/>
      <c r="M99" s="197"/>
      <c r="N99" s="884"/>
      <c r="O99" s="448"/>
      <c r="P99" s="460"/>
      <c r="Q99" s="460"/>
      <c r="R99" s="460"/>
      <c r="S99" s="460"/>
      <c r="T99" s="460"/>
      <c r="U99" s="460"/>
    </row>
    <row r="100" spans="1:21" ht="19" hidden="1" customHeight="1">
      <c r="A100" s="888"/>
      <c r="B100" s="682"/>
      <c r="C100" s="682"/>
      <c r="D100" s="682"/>
      <c r="E100" s="190"/>
      <c r="F100" s="190"/>
      <c r="G100" s="687"/>
      <c r="H100" s="351"/>
      <c r="I100" s="351"/>
      <c r="J100" s="351"/>
      <c r="K100" s="351"/>
      <c r="L100" s="352"/>
      <c r="M100" s="197"/>
      <c r="N100" s="884"/>
      <c r="O100" s="448"/>
      <c r="P100" s="460"/>
      <c r="Q100" s="460"/>
      <c r="R100" s="460"/>
      <c r="S100" s="460"/>
      <c r="T100" s="460"/>
      <c r="U100" s="460"/>
    </row>
    <row r="101" spans="1:21" ht="19" hidden="1" customHeight="1">
      <c r="A101" s="888"/>
      <c r="B101" s="682"/>
      <c r="C101" s="682"/>
      <c r="D101" s="682"/>
      <c r="E101" s="190"/>
      <c r="F101" s="190"/>
      <c r="G101" s="687"/>
      <c r="H101" s="351"/>
      <c r="I101" s="351"/>
      <c r="J101" s="351"/>
      <c r="K101" s="351"/>
      <c r="L101" s="352"/>
      <c r="M101" s="197"/>
      <c r="N101" s="884"/>
      <c r="O101" s="448"/>
      <c r="P101" s="460"/>
      <c r="Q101" s="460"/>
      <c r="R101" s="460"/>
      <c r="S101" s="460"/>
      <c r="T101" s="460"/>
      <c r="U101" s="460"/>
    </row>
    <row r="102" spans="1:21" ht="19" hidden="1" customHeight="1">
      <c r="A102" s="888"/>
      <c r="B102" s="682"/>
      <c r="C102" s="682"/>
      <c r="D102" s="682"/>
      <c r="E102" s="190"/>
      <c r="F102" s="190"/>
      <c r="G102" s="687"/>
      <c r="H102" s="351"/>
      <c r="I102" s="351"/>
      <c r="J102" s="351"/>
      <c r="K102" s="351"/>
      <c r="L102" s="352"/>
      <c r="M102" s="197"/>
      <c r="N102" s="884"/>
      <c r="O102" s="448"/>
      <c r="P102" s="460"/>
      <c r="Q102" s="460"/>
      <c r="R102" s="460"/>
      <c r="S102" s="460"/>
      <c r="T102" s="460"/>
      <c r="U102" s="460"/>
    </row>
    <row r="103" spans="1:21" ht="19" hidden="1" customHeight="1">
      <c r="A103" s="888"/>
      <c r="B103" s="682"/>
      <c r="C103" s="682"/>
      <c r="D103" s="682"/>
      <c r="E103" s="190"/>
      <c r="F103" s="190"/>
      <c r="G103" s="687"/>
      <c r="H103" s="351"/>
      <c r="I103" s="351"/>
      <c r="J103" s="351"/>
      <c r="K103" s="351"/>
      <c r="L103" s="352"/>
      <c r="M103" s="197"/>
      <c r="N103" s="884"/>
      <c r="O103" s="448"/>
      <c r="P103" s="460"/>
      <c r="Q103" s="460"/>
      <c r="R103" s="460"/>
      <c r="S103" s="460"/>
      <c r="T103" s="460"/>
      <c r="U103" s="460"/>
    </row>
    <row r="104" spans="1:21" ht="19" hidden="1" customHeight="1">
      <c r="A104" s="888"/>
      <c r="B104" s="682"/>
      <c r="C104" s="682"/>
      <c r="D104" s="682"/>
      <c r="E104" s="190"/>
      <c r="F104" s="190"/>
      <c r="G104" s="687"/>
      <c r="H104" s="351"/>
      <c r="I104" s="351"/>
      <c r="J104" s="351"/>
      <c r="K104" s="351"/>
      <c r="L104" s="352"/>
      <c r="M104" s="197"/>
      <c r="N104" s="884"/>
      <c r="O104" s="448"/>
      <c r="P104" s="460"/>
      <c r="Q104" s="460"/>
      <c r="R104" s="460"/>
      <c r="S104" s="460"/>
      <c r="T104" s="460"/>
      <c r="U104" s="460"/>
    </row>
    <row r="105" spans="1:21" ht="19" hidden="1" customHeight="1">
      <c r="A105" s="888"/>
      <c r="B105" s="682"/>
      <c r="C105" s="682"/>
      <c r="D105" s="682"/>
      <c r="E105" s="190"/>
      <c r="F105" s="190"/>
      <c r="G105" s="687"/>
      <c r="H105" s="351"/>
      <c r="I105" s="351"/>
      <c r="J105" s="351"/>
      <c r="K105" s="351"/>
      <c r="L105" s="352"/>
      <c r="M105" s="197"/>
      <c r="N105" s="884"/>
      <c r="O105" s="448"/>
      <c r="P105" s="460"/>
      <c r="Q105" s="460"/>
      <c r="R105" s="460"/>
      <c r="S105" s="460"/>
      <c r="T105" s="460"/>
      <c r="U105" s="460"/>
    </row>
    <row r="106" spans="1:21" ht="19" hidden="1" customHeight="1">
      <c r="A106" s="888"/>
      <c r="B106" s="682"/>
      <c r="C106" s="682"/>
      <c r="D106" s="682"/>
      <c r="E106" s="190"/>
      <c r="F106" s="190"/>
      <c r="G106" s="687"/>
      <c r="H106" s="351"/>
      <c r="I106" s="351"/>
      <c r="J106" s="351"/>
      <c r="K106" s="351"/>
      <c r="L106" s="352"/>
      <c r="M106" s="197"/>
      <c r="N106" s="884"/>
      <c r="O106" s="448"/>
      <c r="P106" s="460"/>
      <c r="Q106" s="460"/>
      <c r="R106" s="460"/>
      <c r="S106" s="460"/>
      <c r="T106" s="460"/>
      <c r="U106" s="460"/>
    </row>
    <row r="107" spans="1:21" ht="19" hidden="1" customHeight="1">
      <c r="A107" s="888"/>
      <c r="B107" s="682"/>
      <c r="C107" s="682"/>
      <c r="D107" s="682"/>
      <c r="E107" s="190"/>
      <c r="F107" s="190"/>
      <c r="G107" s="687"/>
      <c r="H107" s="351"/>
      <c r="I107" s="351"/>
      <c r="J107" s="351"/>
      <c r="K107" s="351"/>
      <c r="L107" s="352"/>
      <c r="M107" s="197"/>
      <c r="N107" s="884"/>
      <c r="O107" s="448"/>
      <c r="P107" s="460"/>
      <c r="Q107" s="460"/>
      <c r="R107" s="460"/>
      <c r="S107" s="460"/>
      <c r="T107" s="460"/>
      <c r="U107" s="460"/>
    </row>
    <row r="108" spans="1:21" ht="19" hidden="1" customHeight="1">
      <c r="A108" s="888"/>
      <c r="B108" s="682"/>
      <c r="C108" s="682"/>
      <c r="D108" s="682"/>
      <c r="E108" s="190"/>
      <c r="F108" s="190"/>
      <c r="G108" s="687"/>
      <c r="H108" s="351"/>
      <c r="I108" s="351"/>
      <c r="J108" s="351"/>
      <c r="K108" s="351"/>
      <c r="L108" s="352"/>
      <c r="M108" s="197"/>
      <c r="N108" s="884"/>
      <c r="O108" s="448"/>
      <c r="P108" s="460"/>
      <c r="Q108" s="460"/>
      <c r="R108" s="460"/>
      <c r="S108" s="460"/>
      <c r="T108" s="460"/>
      <c r="U108" s="460"/>
    </row>
    <row r="109" spans="1:21" ht="19" hidden="1" customHeight="1">
      <c r="A109" s="888"/>
      <c r="B109" s="682"/>
      <c r="C109" s="682"/>
      <c r="D109" s="682"/>
      <c r="E109" s="190"/>
      <c r="F109" s="190"/>
      <c r="G109" s="687"/>
      <c r="H109" s="351"/>
      <c r="I109" s="351"/>
      <c r="J109" s="351"/>
      <c r="K109" s="351"/>
      <c r="L109" s="352"/>
      <c r="M109" s="197"/>
      <c r="N109" s="884"/>
      <c r="O109" s="448"/>
      <c r="P109" s="460"/>
      <c r="Q109" s="460"/>
      <c r="R109" s="460"/>
      <c r="S109" s="460"/>
      <c r="T109" s="460"/>
      <c r="U109" s="460"/>
    </row>
    <row r="110" spans="1:21" ht="19" hidden="1" customHeight="1">
      <c r="A110" s="888"/>
      <c r="B110" s="682"/>
      <c r="C110" s="682"/>
      <c r="D110" s="682"/>
      <c r="E110" s="190"/>
      <c r="F110" s="190"/>
      <c r="G110" s="687"/>
      <c r="H110" s="351"/>
      <c r="I110" s="351"/>
      <c r="J110" s="351"/>
      <c r="K110" s="351"/>
      <c r="L110" s="352"/>
      <c r="M110" s="197"/>
      <c r="N110" s="884"/>
      <c r="O110" s="448"/>
      <c r="P110" s="460"/>
      <c r="Q110" s="460"/>
      <c r="R110" s="460"/>
      <c r="S110" s="460"/>
      <c r="T110" s="460"/>
      <c r="U110" s="460"/>
    </row>
    <row r="111" spans="1:21" ht="19" hidden="1" customHeight="1">
      <c r="A111" s="888"/>
      <c r="B111" s="682"/>
      <c r="C111" s="682"/>
      <c r="D111" s="682"/>
      <c r="E111" s="190"/>
      <c r="F111" s="190"/>
      <c r="G111" s="687"/>
      <c r="H111" s="351"/>
      <c r="I111" s="351"/>
      <c r="J111" s="351"/>
      <c r="K111" s="351"/>
      <c r="L111" s="352"/>
      <c r="M111" s="197"/>
      <c r="N111" s="884"/>
      <c r="O111" s="448"/>
      <c r="P111" s="460"/>
      <c r="Q111" s="460"/>
      <c r="R111" s="460"/>
      <c r="S111" s="460"/>
      <c r="T111" s="460"/>
      <c r="U111" s="460"/>
    </row>
    <row r="112" spans="1:21" ht="19" hidden="1" customHeight="1">
      <c r="A112" s="888"/>
      <c r="B112" s="682"/>
      <c r="C112" s="682"/>
      <c r="D112" s="682"/>
      <c r="E112" s="190"/>
      <c r="F112" s="190"/>
      <c r="G112" s="687"/>
      <c r="H112" s="351"/>
      <c r="I112" s="351"/>
      <c r="J112" s="351"/>
      <c r="K112" s="351"/>
      <c r="L112" s="352"/>
      <c r="M112" s="197"/>
      <c r="N112" s="884"/>
      <c r="O112" s="448"/>
      <c r="P112" s="460"/>
      <c r="Q112" s="460"/>
      <c r="R112" s="460"/>
      <c r="S112" s="460"/>
      <c r="T112" s="460"/>
      <c r="U112" s="460"/>
    </row>
    <row r="113" spans="1:21" ht="19" hidden="1" customHeight="1">
      <c r="A113" s="888"/>
      <c r="B113" s="682"/>
      <c r="C113" s="682"/>
      <c r="D113" s="682"/>
      <c r="E113" s="190"/>
      <c r="F113" s="190"/>
      <c r="G113" s="687"/>
      <c r="H113" s="351"/>
      <c r="I113" s="351"/>
      <c r="J113" s="351"/>
      <c r="K113" s="351"/>
      <c r="L113" s="352"/>
      <c r="M113" s="197"/>
      <c r="N113" s="884"/>
      <c r="O113" s="448"/>
      <c r="P113" s="460"/>
      <c r="Q113" s="460"/>
      <c r="R113" s="460"/>
      <c r="S113" s="460"/>
      <c r="T113" s="460"/>
      <c r="U113" s="460"/>
    </row>
    <row r="114" spans="1:21" ht="19" hidden="1" customHeight="1">
      <c r="A114" s="888"/>
      <c r="B114" s="682"/>
      <c r="C114" s="682"/>
      <c r="D114" s="682"/>
      <c r="E114" s="190"/>
      <c r="F114" s="190"/>
      <c r="G114" s="687"/>
      <c r="H114" s="351"/>
      <c r="I114" s="351"/>
      <c r="J114" s="351"/>
      <c r="K114" s="351"/>
      <c r="L114" s="352"/>
      <c r="M114" s="197"/>
      <c r="N114" s="884"/>
      <c r="O114" s="448"/>
      <c r="P114" s="460"/>
      <c r="Q114" s="460"/>
      <c r="R114" s="460"/>
      <c r="S114" s="460"/>
      <c r="T114" s="460"/>
      <c r="U114" s="460"/>
    </row>
    <row r="115" spans="1:21" ht="19" hidden="1" customHeight="1">
      <c r="A115" s="888"/>
      <c r="B115" s="682"/>
      <c r="C115" s="682"/>
      <c r="D115" s="682"/>
      <c r="E115" s="190"/>
      <c r="F115" s="190"/>
      <c r="G115" s="687"/>
      <c r="H115" s="351"/>
      <c r="I115" s="351"/>
      <c r="J115" s="351"/>
      <c r="K115" s="351"/>
      <c r="L115" s="352"/>
      <c r="M115" s="197"/>
      <c r="N115" s="884"/>
      <c r="O115" s="448"/>
      <c r="P115" s="460"/>
      <c r="Q115" s="460"/>
      <c r="R115" s="460"/>
      <c r="S115" s="460"/>
      <c r="T115" s="460"/>
      <c r="U115" s="460"/>
    </row>
    <row r="116" spans="1:21" ht="19" hidden="1" customHeight="1">
      <c r="A116" s="888"/>
      <c r="B116" s="682"/>
      <c r="C116" s="682"/>
      <c r="D116" s="682"/>
      <c r="E116" s="190"/>
      <c r="F116" s="190"/>
      <c r="G116" s="687"/>
      <c r="H116" s="351"/>
      <c r="I116" s="351"/>
      <c r="J116" s="351"/>
      <c r="K116" s="351"/>
      <c r="L116" s="352"/>
      <c r="M116" s="197"/>
      <c r="N116" s="884"/>
      <c r="O116" s="448"/>
      <c r="P116" s="460"/>
      <c r="Q116" s="460"/>
      <c r="R116" s="460"/>
      <c r="S116" s="460"/>
      <c r="T116" s="460"/>
      <c r="U116" s="460"/>
    </row>
    <row r="117" spans="1:21" ht="19" hidden="1" customHeight="1">
      <c r="A117" s="888"/>
      <c r="B117" s="682"/>
      <c r="C117" s="682"/>
      <c r="D117" s="682"/>
      <c r="E117" s="190"/>
      <c r="F117" s="190"/>
      <c r="G117" s="687"/>
      <c r="H117" s="351"/>
      <c r="I117" s="351"/>
      <c r="J117" s="351"/>
      <c r="K117" s="351"/>
      <c r="L117" s="352"/>
      <c r="M117" s="197"/>
      <c r="N117" s="884"/>
      <c r="O117" s="448"/>
      <c r="P117" s="460"/>
      <c r="Q117" s="460"/>
      <c r="R117" s="460"/>
      <c r="S117" s="460"/>
      <c r="T117" s="460"/>
      <c r="U117" s="460"/>
    </row>
    <row r="118" spans="1:21" ht="19" hidden="1" customHeight="1">
      <c r="A118" s="888"/>
      <c r="B118" s="682"/>
      <c r="C118" s="682"/>
      <c r="D118" s="682"/>
      <c r="E118" s="190"/>
      <c r="F118" s="190"/>
      <c r="G118" s="687"/>
      <c r="H118" s="351"/>
      <c r="I118" s="351"/>
      <c r="J118" s="351"/>
      <c r="K118" s="351"/>
      <c r="L118" s="352"/>
      <c r="M118" s="197"/>
      <c r="N118" s="884"/>
      <c r="O118" s="448"/>
      <c r="P118" s="460"/>
      <c r="Q118" s="460"/>
      <c r="R118" s="460"/>
      <c r="S118" s="460"/>
      <c r="T118" s="460"/>
      <c r="U118" s="460"/>
    </row>
    <row r="119" spans="1:21" ht="19" hidden="1" customHeight="1">
      <c r="A119" s="888"/>
      <c r="B119" s="682"/>
      <c r="C119" s="682"/>
      <c r="D119" s="682"/>
      <c r="E119" s="190"/>
      <c r="F119" s="190"/>
      <c r="G119" s="687"/>
      <c r="H119" s="351"/>
      <c r="I119" s="351"/>
      <c r="J119" s="351"/>
      <c r="K119" s="351"/>
      <c r="L119" s="352"/>
      <c r="M119" s="197"/>
      <c r="N119" s="884"/>
      <c r="O119" s="448"/>
      <c r="P119" s="460"/>
      <c r="Q119" s="460"/>
      <c r="R119" s="460"/>
      <c r="S119" s="460"/>
      <c r="T119" s="460"/>
      <c r="U119" s="460"/>
    </row>
    <row r="120" spans="1:21" ht="19" hidden="1" customHeight="1">
      <c r="A120" s="888"/>
      <c r="B120" s="682"/>
      <c r="C120" s="682"/>
      <c r="D120" s="682"/>
      <c r="E120" s="190"/>
      <c r="F120" s="190"/>
      <c r="G120" s="687"/>
      <c r="H120" s="351"/>
      <c r="I120" s="351"/>
      <c r="J120" s="351"/>
      <c r="K120" s="351"/>
      <c r="L120" s="352"/>
      <c r="M120" s="197"/>
      <c r="N120" s="884"/>
      <c r="O120" s="448"/>
      <c r="P120" s="460"/>
      <c r="Q120" s="460"/>
      <c r="R120" s="460"/>
      <c r="S120" s="460"/>
      <c r="T120" s="460"/>
      <c r="U120" s="460"/>
    </row>
    <row r="121" spans="1:21" ht="19" hidden="1" customHeight="1">
      <c r="A121" s="888"/>
      <c r="B121" s="682"/>
      <c r="C121" s="682"/>
      <c r="D121" s="682"/>
      <c r="E121" s="190"/>
      <c r="F121" s="190"/>
      <c r="G121" s="687"/>
      <c r="H121" s="351"/>
      <c r="I121" s="351"/>
      <c r="J121" s="351"/>
      <c r="K121" s="351"/>
      <c r="L121" s="352"/>
      <c r="M121" s="197"/>
      <c r="N121" s="884"/>
      <c r="O121" s="448"/>
      <c r="P121" s="460"/>
      <c r="Q121" s="460"/>
      <c r="R121" s="460"/>
      <c r="S121" s="460"/>
      <c r="T121" s="460"/>
      <c r="U121" s="460"/>
    </row>
    <row r="122" spans="1:21" ht="19" hidden="1" customHeight="1">
      <c r="A122" s="888"/>
      <c r="B122" s="682"/>
      <c r="C122" s="682"/>
      <c r="D122" s="682"/>
      <c r="E122" s="190"/>
      <c r="F122" s="190"/>
      <c r="G122" s="687"/>
      <c r="H122" s="351"/>
      <c r="I122" s="351"/>
      <c r="J122" s="351"/>
      <c r="K122" s="351"/>
      <c r="L122" s="352"/>
      <c r="M122" s="197"/>
      <c r="N122" s="884"/>
      <c r="O122" s="448"/>
      <c r="P122" s="460"/>
      <c r="Q122" s="460"/>
      <c r="R122" s="460"/>
      <c r="S122" s="460"/>
      <c r="T122" s="460"/>
      <c r="U122" s="460"/>
    </row>
    <row r="123" spans="1:21" ht="19" hidden="1" customHeight="1">
      <c r="A123" s="888"/>
      <c r="B123" s="682"/>
      <c r="C123" s="682"/>
      <c r="D123" s="682"/>
      <c r="E123" s="190"/>
      <c r="F123" s="190"/>
      <c r="G123" s="687"/>
      <c r="H123" s="351"/>
      <c r="I123" s="351"/>
      <c r="J123" s="351"/>
      <c r="K123" s="351"/>
      <c r="L123" s="352"/>
      <c r="M123" s="197"/>
      <c r="N123" s="884"/>
      <c r="O123" s="448"/>
      <c r="P123" s="460"/>
      <c r="Q123" s="460"/>
      <c r="R123" s="460"/>
      <c r="S123" s="460"/>
      <c r="T123" s="460"/>
      <c r="U123" s="460"/>
    </row>
    <row r="124" spans="1:21" ht="19" hidden="1" customHeight="1">
      <c r="A124" s="888"/>
      <c r="B124" s="682"/>
      <c r="C124" s="682"/>
      <c r="D124" s="682"/>
      <c r="E124" s="190"/>
      <c r="F124" s="190"/>
      <c r="G124" s="687"/>
      <c r="H124" s="351"/>
      <c r="I124" s="351"/>
      <c r="J124" s="351"/>
      <c r="K124" s="351"/>
      <c r="L124" s="352"/>
      <c r="M124" s="197"/>
      <c r="N124" s="884"/>
      <c r="O124" s="448"/>
      <c r="P124" s="460"/>
      <c r="Q124" s="460"/>
      <c r="R124" s="460"/>
      <c r="S124" s="460"/>
      <c r="T124" s="460"/>
      <c r="U124" s="460"/>
    </row>
    <row r="125" spans="1:21" ht="19" customHeight="1">
      <c r="A125" s="889"/>
      <c r="B125" s="2"/>
      <c r="C125" s="2"/>
      <c r="D125" s="2"/>
      <c r="E125" s="190"/>
      <c r="F125" s="190"/>
      <c r="G125" s="190"/>
      <c r="H125" s="190"/>
      <c r="I125" s="351"/>
      <c r="J125" s="351"/>
      <c r="K125" s="351"/>
      <c r="L125" s="352"/>
      <c r="M125" s="197"/>
      <c r="N125" s="522"/>
      <c r="O125" s="448"/>
    </row>
    <row r="126" spans="1:21" ht="19" hidden="1" customHeight="1">
      <c r="A126" s="889"/>
      <c r="B126" s="2"/>
      <c r="C126" s="2"/>
      <c r="D126" s="2"/>
      <c r="E126" s="190"/>
      <c r="F126" s="190"/>
      <c r="G126" s="190"/>
      <c r="H126" s="190"/>
      <c r="I126" s="351"/>
      <c r="J126" s="351"/>
      <c r="K126" s="351"/>
      <c r="L126" s="352"/>
      <c r="M126" s="197"/>
      <c r="N126" s="522"/>
      <c r="O126" s="448"/>
    </row>
    <row r="127" spans="1:21" ht="19" hidden="1" customHeight="1">
      <c r="A127" s="889"/>
      <c r="B127" s="2"/>
      <c r="C127" s="2"/>
      <c r="D127" s="2"/>
      <c r="E127" s="190"/>
      <c r="F127" s="190"/>
      <c r="G127" s="190"/>
      <c r="H127" s="190"/>
      <c r="I127" s="351"/>
      <c r="J127" s="351"/>
      <c r="K127" s="351"/>
      <c r="L127" s="352"/>
      <c r="M127" s="197"/>
      <c r="N127" s="522"/>
      <c r="O127" s="448"/>
    </row>
    <row r="128" spans="1:21" ht="19" hidden="1" customHeight="1">
      <c r="A128" s="889"/>
      <c r="B128" s="393"/>
      <c r="E128" s="173"/>
      <c r="F128" s="173"/>
      <c r="H128" s="445">
        <f>'1.0-Contractblad'!$K$28</f>
        <v>0</v>
      </c>
      <c r="I128" s="445">
        <f>H128</f>
        <v>0</v>
      </c>
      <c r="J128" s="445">
        <f>'1.0-Contractblad'!K52</f>
        <v>0</v>
      </c>
      <c r="K128" s="445"/>
      <c r="L128" s="445">
        <f>'1.0-Contractblad'!$K$40</f>
        <v>0</v>
      </c>
      <c r="M128" s="334"/>
      <c r="N128" s="334"/>
    </row>
    <row r="129" spans="1:20" ht="14" thickBot="1">
      <c r="A129" s="889"/>
      <c r="B129" s="393"/>
      <c r="D129" s="174"/>
      <c r="E129" s="335"/>
      <c r="F129" s="335"/>
      <c r="G129" s="174"/>
      <c r="H129" s="174"/>
    </row>
    <row r="130" spans="1:20" s="175" customFormat="1" ht="36" customHeight="1" thickBot="1">
      <c r="A130" s="890">
        <f t="shared" ref="A130:C150" si="1">A10</f>
        <v>0</v>
      </c>
      <c r="B130" s="592" t="s">
        <v>129</v>
      </c>
      <c r="C130" s="594" t="s">
        <v>245</v>
      </c>
      <c r="D130" s="594" t="s">
        <v>155</v>
      </c>
      <c r="E130" s="593" t="s">
        <v>92</v>
      </c>
      <c r="F130" s="593" t="s">
        <v>1225</v>
      </c>
      <c r="G130" s="593" t="s">
        <v>1226</v>
      </c>
      <c r="H130" s="593" t="s">
        <v>45</v>
      </c>
      <c r="I130" s="593" t="s">
        <v>142</v>
      </c>
      <c r="J130" s="593" t="s">
        <v>27</v>
      </c>
      <c r="K130" s="593" t="s">
        <v>98</v>
      </c>
      <c r="L130" s="593" t="s">
        <v>97</v>
      </c>
      <c r="M130" s="593" t="s">
        <v>46</v>
      </c>
      <c r="N130" s="596" t="s">
        <v>124</v>
      </c>
      <c r="O130" s="174"/>
      <c r="P130" s="321"/>
      <c r="Q130" s="172"/>
      <c r="R130" s="170"/>
      <c r="S130" s="170"/>
      <c r="T130" s="170"/>
    </row>
    <row r="131" spans="1:20" ht="19" hidden="1" customHeight="1">
      <c r="A131" s="891"/>
      <c r="B131" s="350"/>
      <c r="C131" s="2"/>
      <c r="D131" s="192"/>
      <c r="E131" s="193"/>
      <c r="F131" s="193"/>
      <c r="G131" s="193"/>
      <c r="H131" s="193"/>
      <c r="I131" s="193"/>
      <c r="J131" s="193"/>
      <c r="K131" s="194"/>
      <c r="L131" s="195"/>
      <c r="M131" s="483"/>
      <c r="N131" s="193"/>
      <c r="O131" s="410"/>
      <c r="P131" s="329"/>
    </row>
    <row r="132" spans="1:20" ht="19" customHeight="1">
      <c r="A132" s="891">
        <f t="shared" si="1"/>
        <v>2</v>
      </c>
      <c r="B132" s="350" t="str">
        <f t="shared" ref="B132:C132" si="2">B12</f>
        <v xml:space="preserve">RWZI Katwoude </v>
      </c>
      <c r="C132" s="2" t="str">
        <f t="shared" si="2"/>
        <v>Wagenweg 11</v>
      </c>
      <c r="D132" s="192">
        <f>SUMIF('1.0-Contractblad'!$F$66:$F$69,'1.1a-Jaarprijzen'!B132,'1.0-Contractblad'!$I$66:$I$69)</f>
        <v>0</v>
      </c>
      <c r="E132" s="193">
        <f>VLOOKUP($B132,'1.6-Machine-investeringskosten'!$B$97:$E$234,4,FALSE)</f>
        <v>0</v>
      </c>
      <c r="F132" s="193">
        <f t="shared" ref="F132" si="3">$H$128*H12+$I$128*I12</f>
        <v>0</v>
      </c>
      <c r="G132" s="193">
        <f t="shared" ref="G132" si="4">$J$128*J12</f>
        <v>0</v>
      </c>
      <c r="H132" s="193">
        <f t="shared" ref="H132" si="5">$L$128*L12</f>
        <v>0</v>
      </c>
      <c r="I132" s="193">
        <f t="shared" ref="I132:I149" si="6">$H$128*K12</f>
        <v>0</v>
      </c>
      <c r="J132" s="193">
        <f t="shared" ref="J132:J156" si="7">E132+F132+H132+D132+I132+G132</f>
        <v>0</v>
      </c>
      <c r="K132" s="194">
        <f>SUMIF('1.3a-Mutaties'!E:E,'1.1a-Jaarprijzen'!B132,'1.3a-Mutaties'!AB:AB)</f>
        <v>0</v>
      </c>
      <c r="L132" s="195"/>
      <c r="M132" s="483">
        <f>SUMIF('1.9-Glasbewassing'!B:B,B132,'1.9-Glasbewassing'!X:X)+SUMIF('1.9-Glasbewassing'!B:B,B132,'1.9-Glasbewassing'!W:W)</f>
        <v>0</v>
      </c>
      <c r="N132" s="193">
        <f t="shared" ref="N132" si="8">IF(L132="ja",M132+J132,J132+K132+M132)</f>
        <v>0</v>
      </c>
      <c r="O132" s="410">
        <f ca="1">N132/(E12)</f>
        <v>0</v>
      </c>
      <c r="P132" s="329"/>
    </row>
    <row r="133" spans="1:20" ht="19" customHeight="1">
      <c r="A133" s="891">
        <f t="shared" si="1"/>
        <v>2</v>
      </c>
      <c r="B133" s="350" t="str">
        <f t="shared" si="1"/>
        <v>Werf Kwadijk</v>
      </c>
      <c r="C133" s="2" t="str">
        <f t="shared" si="1"/>
        <v>Kwadijkerweg 3</v>
      </c>
      <c r="D133" s="192">
        <f>SUMIF('1.0-Contractblad'!$F$66:$F$69,'1.1a-Jaarprijzen'!B133,'1.0-Contractblad'!$I$66:$I$69)</f>
        <v>0</v>
      </c>
      <c r="E133" s="193">
        <f>VLOOKUP($B133,'1.6-Machine-investeringskosten'!$B$97:$E$234,4,FALSE)</f>
        <v>0</v>
      </c>
      <c r="F133" s="193">
        <f t="shared" ref="F133:F156" si="9">$H$128*H13+$I$128*I13</f>
        <v>0</v>
      </c>
      <c r="G133" s="193">
        <f t="shared" ref="G133:G156" si="10">$J$128*J13</f>
        <v>0</v>
      </c>
      <c r="H133" s="193">
        <f t="shared" ref="H133:H156" si="11">$L$128*L13</f>
        <v>0</v>
      </c>
      <c r="I133" s="193">
        <f t="shared" si="6"/>
        <v>0</v>
      </c>
      <c r="J133" s="193">
        <f t="shared" si="7"/>
        <v>0</v>
      </c>
      <c r="K133" s="194">
        <f>SUMIF('1.3a-Mutaties'!E:E,'1.1a-Jaarprijzen'!B133,'1.3a-Mutaties'!AB:AB)</f>
        <v>0</v>
      </c>
      <c r="L133" s="195"/>
      <c r="M133" s="483">
        <f>SUMIF('1.9-Glasbewassing'!B:B,B133,'1.9-Glasbewassing'!X:X)+SUMIF('1.9-Glasbewassing'!B:B,B133,'1.9-Glasbewassing'!W:W)</f>
        <v>0</v>
      </c>
      <c r="N133" s="193">
        <f t="shared" ref="N133:N156" si="12">IF(L133="ja",M133+J133,J133+K133+M133)</f>
        <v>0</v>
      </c>
      <c r="O133" s="410">
        <f t="shared" ref="O133:O149" ca="1" si="13">N133/(E13+F13)</f>
        <v>0</v>
      </c>
      <c r="P133" s="329"/>
    </row>
    <row r="134" spans="1:20" ht="19" customHeight="1">
      <c r="A134" s="891">
        <f t="shared" si="1"/>
        <v>2</v>
      </c>
      <c r="B134" s="350" t="str">
        <f t="shared" si="1"/>
        <v>RWZI Zuidoostbeemster</v>
      </c>
      <c r="C134" s="2" t="str">
        <f t="shared" si="1"/>
        <v>Zuiderweg 44</v>
      </c>
      <c r="D134" s="192">
        <f>SUMIF('1.0-Contractblad'!$F$66:$F$69,'1.1a-Jaarprijzen'!B134,'1.0-Contractblad'!$I$66:$I$69)</f>
        <v>0</v>
      </c>
      <c r="E134" s="193">
        <f>VLOOKUP($B134,'1.6-Machine-investeringskosten'!$B$97:$E$234,4,FALSE)</f>
        <v>0</v>
      </c>
      <c r="F134" s="193">
        <f t="shared" si="9"/>
        <v>0</v>
      </c>
      <c r="G134" s="193">
        <f t="shared" si="10"/>
        <v>0</v>
      </c>
      <c r="H134" s="193">
        <f t="shared" si="11"/>
        <v>0</v>
      </c>
      <c r="I134" s="193">
        <f t="shared" si="6"/>
        <v>0</v>
      </c>
      <c r="J134" s="193">
        <f t="shared" si="7"/>
        <v>0</v>
      </c>
      <c r="K134" s="194">
        <f>SUMIF('1.3a-Mutaties'!E:E,'1.1a-Jaarprijzen'!B134,'1.3a-Mutaties'!AB:AB)</f>
        <v>0</v>
      </c>
      <c r="L134" s="195"/>
      <c r="M134" s="483">
        <f>SUMIF('1.9-Glasbewassing'!B:B,B134,'1.9-Glasbewassing'!X:X)+SUMIF('1.9-Glasbewassing'!B:B,B134,'1.9-Glasbewassing'!W:W)</f>
        <v>0</v>
      </c>
      <c r="N134" s="193">
        <f t="shared" si="12"/>
        <v>0</v>
      </c>
      <c r="O134" s="410">
        <f t="shared" ca="1" si="13"/>
        <v>0</v>
      </c>
      <c r="P134" s="329"/>
    </row>
    <row r="135" spans="1:20" ht="19" customHeight="1">
      <c r="A135" s="891">
        <f t="shared" si="1"/>
        <v>2</v>
      </c>
      <c r="B135" s="350" t="str">
        <f t="shared" si="1"/>
        <v>RWZI Oosthuizen</v>
      </c>
      <c r="C135" s="2" t="str">
        <f t="shared" si="1"/>
        <v>Beetsdijkje 2</v>
      </c>
      <c r="D135" s="192">
        <f>SUMIF('1.0-Contractblad'!$F$66:$F$69,'1.1a-Jaarprijzen'!B135,'1.0-Contractblad'!$I$66:$I$69)</f>
        <v>0</v>
      </c>
      <c r="E135" s="193">
        <f>VLOOKUP($B135,'1.6-Machine-investeringskosten'!$B$97:$E$234,4,FALSE)</f>
        <v>0</v>
      </c>
      <c r="F135" s="193">
        <f t="shared" si="9"/>
        <v>0</v>
      </c>
      <c r="G135" s="193">
        <f t="shared" si="10"/>
        <v>0</v>
      </c>
      <c r="H135" s="193">
        <f t="shared" si="11"/>
        <v>0</v>
      </c>
      <c r="I135" s="193">
        <f t="shared" si="6"/>
        <v>0</v>
      </c>
      <c r="J135" s="193">
        <f t="shared" si="7"/>
        <v>0</v>
      </c>
      <c r="K135" s="194">
        <f>SUMIF('1.3a-Mutaties'!E:E,'1.1a-Jaarprijzen'!B135,'1.3a-Mutaties'!AB:AB)</f>
        <v>0</v>
      </c>
      <c r="L135" s="195"/>
      <c r="M135" s="483">
        <f>SUMIF('1.9-Glasbewassing'!B:B,B135,'1.9-Glasbewassing'!X:X)+SUMIF('1.9-Glasbewassing'!B:B,B135,'1.9-Glasbewassing'!W:W)</f>
        <v>0</v>
      </c>
      <c r="N135" s="193">
        <f t="shared" si="12"/>
        <v>0</v>
      </c>
      <c r="O135" s="410">
        <f t="shared" ca="1" si="13"/>
        <v>0</v>
      </c>
      <c r="P135" s="329"/>
    </row>
    <row r="136" spans="1:20" ht="19" customHeight="1">
      <c r="A136" s="891">
        <f t="shared" si="1"/>
        <v>2</v>
      </c>
      <c r="B136" s="350" t="str">
        <f t="shared" si="1"/>
        <v>RWZI Zaandam Oost Slibgistinggebouw</v>
      </c>
      <c r="C136" s="2" t="str">
        <f t="shared" si="1"/>
        <v>Poelenburg 467</v>
      </c>
      <c r="D136" s="192">
        <f>SUMIF('1.0-Contractblad'!$F$66:$F$69,'1.1a-Jaarprijzen'!B136,'1.0-Contractblad'!$I$66:$I$69)</f>
        <v>0</v>
      </c>
      <c r="E136" s="193">
        <f>VLOOKUP($B136,'1.6-Machine-investeringskosten'!$B$97:$E$234,4,FALSE)</f>
        <v>0</v>
      </c>
      <c r="F136" s="193">
        <f t="shared" si="9"/>
        <v>0</v>
      </c>
      <c r="G136" s="193">
        <f t="shared" si="10"/>
        <v>0</v>
      </c>
      <c r="H136" s="193">
        <f t="shared" si="11"/>
        <v>0</v>
      </c>
      <c r="I136" s="193">
        <f t="shared" si="6"/>
        <v>0</v>
      </c>
      <c r="J136" s="193">
        <f t="shared" si="7"/>
        <v>0</v>
      </c>
      <c r="K136" s="194">
        <f>SUMIF('1.3a-Mutaties'!E:E,'1.1a-Jaarprijzen'!B136,'1.3a-Mutaties'!AB:AB)</f>
        <v>0</v>
      </c>
      <c r="L136" s="195"/>
      <c r="M136" s="483">
        <f>SUMIF('1.9-Glasbewassing'!B:B,B136,'1.9-Glasbewassing'!X:X)+SUMIF('1.9-Glasbewassing'!B:B,B136,'1.9-Glasbewassing'!W:W)</f>
        <v>0</v>
      </c>
      <c r="N136" s="193">
        <f t="shared" si="12"/>
        <v>0</v>
      </c>
      <c r="O136" s="410">
        <f t="shared" ca="1" si="13"/>
        <v>0</v>
      </c>
      <c r="P136" s="329"/>
    </row>
    <row r="137" spans="1:20" ht="19" customHeight="1">
      <c r="A137" s="891">
        <f t="shared" si="1"/>
        <v>2</v>
      </c>
      <c r="B137" s="350" t="str">
        <f t="shared" si="1"/>
        <v>RWZI Zaandam-Oost</v>
      </c>
      <c r="C137" s="2" t="str">
        <f t="shared" si="1"/>
        <v>Poelenburg 46</v>
      </c>
      <c r="D137" s="192">
        <f>SUMIF('1.0-Contractblad'!$F$66:$F$69,'1.1a-Jaarprijzen'!B137,'1.0-Contractblad'!$I$66:$I$69)</f>
        <v>0</v>
      </c>
      <c r="E137" s="193">
        <f>VLOOKUP($B137,'1.6-Machine-investeringskosten'!$B$97:$E$234,4,FALSE)</f>
        <v>0</v>
      </c>
      <c r="F137" s="193">
        <f t="shared" si="9"/>
        <v>0</v>
      </c>
      <c r="G137" s="193">
        <f t="shared" si="10"/>
        <v>0</v>
      </c>
      <c r="H137" s="193">
        <f t="shared" si="11"/>
        <v>0</v>
      </c>
      <c r="I137" s="193">
        <f t="shared" si="6"/>
        <v>0</v>
      </c>
      <c r="J137" s="193">
        <f t="shared" si="7"/>
        <v>0</v>
      </c>
      <c r="K137" s="194">
        <f>SUMIF('1.3a-Mutaties'!E:E,'1.1a-Jaarprijzen'!B137,'1.3a-Mutaties'!AB:AB)</f>
        <v>0</v>
      </c>
      <c r="L137" s="195"/>
      <c r="M137" s="483">
        <f>SUMIF('1.9-Glasbewassing'!B:B,B137,'1.9-Glasbewassing'!X:X)+SUMIF('1.9-Glasbewassing'!B:B,B137,'1.9-Glasbewassing'!W:W)</f>
        <v>0</v>
      </c>
      <c r="N137" s="193">
        <f t="shared" si="12"/>
        <v>0</v>
      </c>
      <c r="O137" s="410">
        <f t="shared" ca="1" si="13"/>
        <v>0</v>
      </c>
      <c r="P137" s="329"/>
    </row>
    <row r="138" spans="1:20" ht="19" customHeight="1">
      <c r="A138" s="891">
        <f t="shared" si="1"/>
        <v>2</v>
      </c>
      <c r="B138" s="350" t="str">
        <f t="shared" si="1"/>
        <v>RWZI Ursem</v>
      </c>
      <c r="C138" s="2" t="str">
        <f t="shared" si="1"/>
        <v>Het Gors 1</v>
      </c>
      <c r="D138" s="192">
        <f>SUMIF('1.0-Contractblad'!$F$66:$F$69,'1.1a-Jaarprijzen'!B138,'1.0-Contractblad'!$I$66:$I$69)</f>
        <v>0</v>
      </c>
      <c r="E138" s="193">
        <f>VLOOKUP($B138,'1.6-Machine-investeringskosten'!$B$97:$E$234,4,FALSE)</f>
        <v>0</v>
      </c>
      <c r="F138" s="193">
        <f t="shared" si="9"/>
        <v>0</v>
      </c>
      <c r="G138" s="193">
        <f t="shared" si="10"/>
        <v>0</v>
      </c>
      <c r="H138" s="193">
        <f t="shared" si="11"/>
        <v>0</v>
      </c>
      <c r="I138" s="193">
        <f t="shared" si="6"/>
        <v>0</v>
      </c>
      <c r="J138" s="193">
        <f t="shared" si="7"/>
        <v>0</v>
      </c>
      <c r="K138" s="194">
        <f>SUMIF('1.3a-Mutaties'!E:E,'1.1a-Jaarprijzen'!B138,'1.3a-Mutaties'!AB:AB)</f>
        <v>0</v>
      </c>
      <c r="L138" s="195"/>
      <c r="M138" s="483">
        <f>SUMIF('1.9-Glasbewassing'!B:B,B138,'1.9-Glasbewassing'!X:X)+SUMIF('1.9-Glasbewassing'!B:B,B138,'1.9-Glasbewassing'!W:W)</f>
        <v>0</v>
      </c>
      <c r="N138" s="193">
        <f t="shared" si="12"/>
        <v>0</v>
      </c>
      <c r="O138" s="410">
        <f t="shared" ca="1" si="13"/>
        <v>0</v>
      </c>
      <c r="P138" s="329"/>
    </row>
    <row r="139" spans="1:20" ht="19" customHeight="1">
      <c r="A139" s="891">
        <f t="shared" si="1"/>
        <v>2</v>
      </c>
      <c r="B139" s="350" t="str">
        <f t="shared" si="1"/>
        <v>Werf Zwaagdijk</v>
      </c>
      <c r="C139" s="2" t="str">
        <f t="shared" si="1"/>
        <v>Zwaagdijk 390</v>
      </c>
      <c r="D139" s="192">
        <f>SUMIF('1.0-Contractblad'!$F$66:$F$69,'1.1a-Jaarprijzen'!B139,'1.0-Contractblad'!$I$66:$I$69)</f>
        <v>0</v>
      </c>
      <c r="E139" s="193">
        <f>VLOOKUP($B139,'1.6-Machine-investeringskosten'!$B$97:$E$234,4,FALSE)</f>
        <v>0</v>
      </c>
      <c r="F139" s="193">
        <f t="shared" si="9"/>
        <v>0</v>
      </c>
      <c r="G139" s="193">
        <f t="shared" si="10"/>
        <v>0</v>
      </c>
      <c r="H139" s="193">
        <f t="shared" si="11"/>
        <v>0</v>
      </c>
      <c r="I139" s="193">
        <f t="shared" si="6"/>
        <v>0</v>
      </c>
      <c r="J139" s="193">
        <f t="shared" si="7"/>
        <v>0</v>
      </c>
      <c r="K139" s="194">
        <f>SUMIF('1.3a-Mutaties'!E:E,'1.1a-Jaarprijzen'!B139,'1.3a-Mutaties'!AB:AB)</f>
        <v>0</v>
      </c>
      <c r="L139" s="195"/>
      <c r="M139" s="483">
        <f>SUMIF('1.9-Glasbewassing'!B:B,B139,'1.9-Glasbewassing'!X:X)+SUMIF('1.9-Glasbewassing'!B:B,B139,'1.9-Glasbewassing'!W:W)</f>
        <v>0</v>
      </c>
      <c r="N139" s="193">
        <f t="shared" si="12"/>
        <v>0</v>
      </c>
      <c r="O139" s="410">
        <f t="shared" ca="1" si="13"/>
        <v>0</v>
      </c>
      <c r="P139" s="329"/>
    </row>
    <row r="140" spans="1:20" ht="19" customHeight="1">
      <c r="A140" s="891">
        <f t="shared" si="1"/>
        <v>2</v>
      </c>
      <c r="B140" s="350" t="str">
        <f t="shared" si="1"/>
        <v>RWZI Wervershoof</v>
      </c>
      <c r="C140" s="2" t="str">
        <f t="shared" si="1"/>
        <v>Ketellap 1</v>
      </c>
      <c r="D140" s="192">
        <f>SUMIF('1.0-Contractblad'!$F$66:$F$69,'1.1a-Jaarprijzen'!B140,'1.0-Contractblad'!$I$66:$I$69)</f>
        <v>0</v>
      </c>
      <c r="E140" s="193">
        <f>VLOOKUP($B140,'1.6-Machine-investeringskosten'!$B$97:$E$234,4,FALSE)</f>
        <v>0</v>
      </c>
      <c r="F140" s="193">
        <f t="shared" si="9"/>
        <v>0</v>
      </c>
      <c r="G140" s="193">
        <f t="shared" si="10"/>
        <v>0</v>
      </c>
      <c r="H140" s="193">
        <f t="shared" si="11"/>
        <v>0</v>
      </c>
      <c r="I140" s="193">
        <f t="shared" si="6"/>
        <v>0</v>
      </c>
      <c r="J140" s="193">
        <f t="shared" si="7"/>
        <v>0</v>
      </c>
      <c r="K140" s="194">
        <f>SUMIF('1.3a-Mutaties'!E:E,'1.1a-Jaarprijzen'!B140,'1.3a-Mutaties'!AB:AB)</f>
        <v>0</v>
      </c>
      <c r="L140" s="195"/>
      <c r="M140" s="483">
        <f>SUMIF('1.9-Glasbewassing'!B:B,B140,'1.9-Glasbewassing'!X:X)+SUMIF('1.9-Glasbewassing'!B:B,B140,'1.9-Glasbewassing'!W:W)</f>
        <v>0</v>
      </c>
      <c r="N140" s="193">
        <f t="shared" si="12"/>
        <v>0</v>
      </c>
      <c r="O140" s="410">
        <f t="shared" ca="1" si="13"/>
        <v>0</v>
      </c>
      <c r="P140" s="329"/>
    </row>
    <row r="141" spans="1:20" ht="19" customHeight="1">
      <c r="A141" s="891">
        <f t="shared" si="1"/>
        <v>2</v>
      </c>
      <c r="B141" s="350" t="str">
        <f t="shared" si="1"/>
        <v>Werf Dirkshorn</v>
      </c>
      <c r="C141" s="2" t="str">
        <f t="shared" si="1"/>
        <v>C. de Vriesweg 11-13</v>
      </c>
      <c r="D141" s="192">
        <f>SUMIF('1.0-Contractblad'!$F$66:$F$69,'1.1a-Jaarprijzen'!B141,'1.0-Contractblad'!$I$66:$I$69)</f>
        <v>0</v>
      </c>
      <c r="E141" s="193">
        <f>VLOOKUP($B141,'1.6-Machine-investeringskosten'!$B$97:$E$234,4,FALSE)</f>
        <v>0</v>
      </c>
      <c r="F141" s="193">
        <f t="shared" si="9"/>
        <v>0</v>
      </c>
      <c r="G141" s="193">
        <f t="shared" si="10"/>
        <v>0</v>
      </c>
      <c r="H141" s="193">
        <f t="shared" si="11"/>
        <v>0</v>
      </c>
      <c r="I141" s="193">
        <f t="shared" si="6"/>
        <v>0</v>
      </c>
      <c r="J141" s="193">
        <f t="shared" si="7"/>
        <v>0</v>
      </c>
      <c r="K141" s="194">
        <f>SUMIF('1.3a-Mutaties'!E:E,'1.1a-Jaarprijzen'!B141,'1.3a-Mutaties'!AB:AB)</f>
        <v>0</v>
      </c>
      <c r="L141" s="195"/>
      <c r="M141" s="483">
        <f>SUMIF('1.9-Glasbewassing'!B:B,B141,'1.9-Glasbewassing'!X:X)+SUMIF('1.9-Glasbewassing'!B:B,B141,'1.9-Glasbewassing'!W:W)</f>
        <v>0</v>
      </c>
      <c r="N141" s="193">
        <f t="shared" si="12"/>
        <v>0</v>
      </c>
      <c r="O141" s="410">
        <f t="shared" ca="1" si="13"/>
        <v>0</v>
      </c>
      <c r="P141" s="329"/>
    </row>
    <row r="142" spans="1:20" ht="19" customHeight="1">
      <c r="A142" s="891">
        <f t="shared" si="1"/>
        <v>2</v>
      </c>
      <c r="B142" s="350" t="str">
        <f t="shared" si="1"/>
        <v>RWZI Geestmerambacht</v>
      </c>
      <c r="C142" s="2" t="str">
        <f t="shared" si="1"/>
        <v>Huiskebuurtweg 4</v>
      </c>
      <c r="D142" s="192">
        <f>SUMIF('1.0-Contractblad'!$F$66:$F$69,'1.1a-Jaarprijzen'!B142,'1.0-Contractblad'!$I$66:$I$69)</f>
        <v>0</v>
      </c>
      <c r="E142" s="193">
        <f>VLOOKUP($B142,'1.6-Machine-investeringskosten'!$B$97:$E$234,4,FALSE)</f>
        <v>0</v>
      </c>
      <c r="F142" s="193">
        <f t="shared" si="9"/>
        <v>0</v>
      </c>
      <c r="G142" s="193">
        <f t="shared" si="10"/>
        <v>0</v>
      </c>
      <c r="H142" s="193">
        <f t="shared" si="11"/>
        <v>0</v>
      </c>
      <c r="I142" s="193">
        <f t="shared" si="6"/>
        <v>0</v>
      </c>
      <c r="J142" s="193">
        <f t="shared" si="7"/>
        <v>0</v>
      </c>
      <c r="K142" s="194">
        <f>SUMIF('1.3a-Mutaties'!E:E,'1.1a-Jaarprijzen'!B142,'1.3a-Mutaties'!AB:AB)</f>
        <v>0</v>
      </c>
      <c r="L142" s="195"/>
      <c r="M142" s="483">
        <f>SUMIF('1.9-Glasbewassing'!B:B,B142,'1.9-Glasbewassing'!X:X)+SUMIF('1.9-Glasbewassing'!B:B,B142,'1.9-Glasbewassing'!W:W)</f>
        <v>0</v>
      </c>
      <c r="N142" s="193">
        <f t="shared" si="12"/>
        <v>0</v>
      </c>
      <c r="O142" s="410">
        <f t="shared" ca="1" si="13"/>
        <v>0</v>
      </c>
      <c r="P142" s="329"/>
    </row>
    <row r="143" spans="1:20" ht="19" customHeight="1">
      <c r="A143" s="891">
        <f t="shared" si="1"/>
        <v>2</v>
      </c>
      <c r="B143" s="350" t="str">
        <f t="shared" si="1"/>
        <v>Zand tegen Zee</v>
      </c>
      <c r="C143" s="2" t="str">
        <f t="shared" si="1"/>
        <v>Strandweg 4</v>
      </c>
      <c r="D143" s="192">
        <f>SUMIF('1.0-Contractblad'!$F$66:$F$69,'1.1a-Jaarprijzen'!B143,'1.0-Contractblad'!$I$66:$I$69)</f>
        <v>0</v>
      </c>
      <c r="E143" s="193">
        <f>VLOOKUP($B143,'1.6-Machine-investeringskosten'!$B$97:$E$234,4,FALSE)</f>
        <v>0</v>
      </c>
      <c r="F143" s="193">
        <f t="shared" si="9"/>
        <v>0</v>
      </c>
      <c r="G143" s="193">
        <f t="shared" si="10"/>
        <v>0</v>
      </c>
      <c r="H143" s="193">
        <f t="shared" si="11"/>
        <v>0</v>
      </c>
      <c r="I143" s="193">
        <f t="shared" si="6"/>
        <v>0</v>
      </c>
      <c r="J143" s="193">
        <f t="shared" si="7"/>
        <v>0</v>
      </c>
      <c r="K143" s="194">
        <f>SUMIF('1.3a-Mutaties'!E:E,'1.1a-Jaarprijzen'!B143,'1.3a-Mutaties'!AB:AB)</f>
        <v>0</v>
      </c>
      <c r="L143" s="195"/>
      <c r="M143" s="483">
        <f>SUMIF('1.9-Glasbewassing'!B:B,B143,'1.9-Glasbewassing'!X:X)+SUMIF('1.9-Glasbewassing'!B:B,B143,'1.9-Glasbewassing'!W:W)</f>
        <v>0</v>
      </c>
      <c r="N143" s="193">
        <f t="shared" si="12"/>
        <v>0</v>
      </c>
      <c r="O143" s="410">
        <f t="shared" ca="1" si="13"/>
        <v>0</v>
      </c>
      <c r="P143" s="329"/>
    </row>
    <row r="144" spans="1:20" ht="19" customHeight="1">
      <c r="A144" s="891">
        <f t="shared" si="1"/>
        <v>2</v>
      </c>
      <c r="B144" s="350" t="str">
        <f t="shared" si="1"/>
        <v>Werf Anna Paulowna</v>
      </c>
      <c r="C144" s="2" t="str">
        <f t="shared" si="1"/>
        <v>Van Ewijcksvaart 3a</v>
      </c>
      <c r="D144" s="192">
        <f>SUMIF('1.0-Contractblad'!$F$66:$F$69,'1.1a-Jaarprijzen'!B144,'1.0-Contractblad'!$I$66:$I$69)</f>
        <v>0</v>
      </c>
      <c r="E144" s="193">
        <f>VLOOKUP($B144,'1.6-Machine-investeringskosten'!$B$97:$E$234,4,FALSE)</f>
        <v>0</v>
      </c>
      <c r="F144" s="193">
        <f t="shared" si="9"/>
        <v>0</v>
      </c>
      <c r="G144" s="193">
        <f t="shared" si="10"/>
        <v>0</v>
      </c>
      <c r="H144" s="193">
        <f t="shared" si="11"/>
        <v>0</v>
      </c>
      <c r="I144" s="193">
        <f t="shared" si="6"/>
        <v>0</v>
      </c>
      <c r="J144" s="193">
        <f t="shared" si="7"/>
        <v>0</v>
      </c>
      <c r="K144" s="194">
        <f>SUMIF('1.3a-Mutaties'!E:E,'1.1a-Jaarprijzen'!B144,'1.3a-Mutaties'!AB:AB)</f>
        <v>0</v>
      </c>
      <c r="L144" s="195"/>
      <c r="M144" s="483">
        <f>SUMIF('1.9-Glasbewassing'!B:B,B144,'1.9-Glasbewassing'!X:X)+SUMIF('1.9-Glasbewassing'!B:B,B144,'1.9-Glasbewassing'!W:W)</f>
        <v>0</v>
      </c>
      <c r="N144" s="193">
        <f t="shared" si="12"/>
        <v>0</v>
      </c>
      <c r="O144" s="410">
        <f t="shared" ca="1" si="13"/>
        <v>0</v>
      </c>
      <c r="P144" s="329"/>
    </row>
    <row r="145" spans="1:16" ht="19" customHeight="1">
      <c r="A145" s="891">
        <f t="shared" si="1"/>
        <v>2</v>
      </c>
      <c r="B145" s="350" t="str">
        <f t="shared" si="1"/>
        <v>Oude Zeug Muskusrattenbestrijders</v>
      </c>
      <c r="C145" s="2" t="str">
        <f t="shared" si="1"/>
        <v>Noorderdijkweg 12</v>
      </c>
      <c r="D145" s="192">
        <f>SUMIF('1.0-Contractblad'!$F$66:$F$69,'1.1a-Jaarprijzen'!B145,'1.0-Contractblad'!$I$66:$I$69)</f>
        <v>0</v>
      </c>
      <c r="E145" s="193">
        <f>VLOOKUP($B145,'1.6-Machine-investeringskosten'!$B$97:$E$234,4,FALSE)</f>
        <v>0</v>
      </c>
      <c r="F145" s="193">
        <f t="shared" si="9"/>
        <v>0</v>
      </c>
      <c r="G145" s="193">
        <f t="shared" si="10"/>
        <v>0</v>
      </c>
      <c r="H145" s="193">
        <f t="shared" si="11"/>
        <v>0</v>
      </c>
      <c r="I145" s="193">
        <f t="shared" si="6"/>
        <v>0</v>
      </c>
      <c r="J145" s="193">
        <f t="shared" si="7"/>
        <v>0</v>
      </c>
      <c r="K145" s="194">
        <f>SUMIF('1.3a-Mutaties'!E:E,'1.1a-Jaarprijzen'!B145,'1.3a-Mutaties'!AB:AB)</f>
        <v>0</v>
      </c>
      <c r="L145" s="195"/>
      <c r="M145" s="483">
        <f>SUMIF('1.9-Glasbewassing'!B:B,B145,'1.9-Glasbewassing'!X:X)+SUMIF('1.9-Glasbewassing'!B:B,B145,'1.9-Glasbewassing'!W:W)</f>
        <v>0</v>
      </c>
      <c r="N145" s="193">
        <f t="shared" si="12"/>
        <v>0</v>
      </c>
      <c r="O145" s="410">
        <f t="shared" ca="1" si="13"/>
        <v>0</v>
      </c>
      <c r="P145" s="329"/>
    </row>
    <row r="146" spans="1:16" ht="19" customHeight="1">
      <c r="A146" s="891">
        <f t="shared" si="1"/>
        <v>2</v>
      </c>
      <c r="B146" s="350" t="str">
        <f t="shared" si="1"/>
        <v>Betonloods Ulkesluis</v>
      </c>
      <c r="C146" s="2" t="str">
        <f t="shared" si="1"/>
        <v>Amstelmeerweg 5</v>
      </c>
      <c r="D146" s="192">
        <f>SUMIF('1.0-Contractblad'!$F$66:$F$69,'1.1a-Jaarprijzen'!B146,'1.0-Contractblad'!$I$66:$I$69)</f>
        <v>0</v>
      </c>
      <c r="E146" s="193">
        <f>VLOOKUP($B146,'1.6-Machine-investeringskosten'!$B$97:$E$234,4,FALSE)</f>
        <v>0</v>
      </c>
      <c r="F146" s="193">
        <f t="shared" si="9"/>
        <v>0</v>
      </c>
      <c r="G146" s="193">
        <f t="shared" si="10"/>
        <v>0</v>
      </c>
      <c r="H146" s="193">
        <f t="shared" si="11"/>
        <v>0</v>
      </c>
      <c r="I146" s="193">
        <f t="shared" si="6"/>
        <v>0</v>
      </c>
      <c r="J146" s="193">
        <f t="shared" si="7"/>
        <v>0</v>
      </c>
      <c r="K146" s="194">
        <f>SUMIF('1.3a-Mutaties'!E:E,'1.1a-Jaarprijzen'!B146,'1.3a-Mutaties'!AB:AB)</f>
        <v>0</v>
      </c>
      <c r="L146" s="195"/>
      <c r="M146" s="483">
        <f>SUMIF('1.9-Glasbewassing'!B:B,B146,'1.9-Glasbewassing'!X:X)+SUMIF('1.9-Glasbewassing'!B:B,B146,'1.9-Glasbewassing'!W:W)</f>
        <v>0</v>
      </c>
      <c r="N146" s="193">
        <f t="shared" si="12"/>
        <v>0</v>
      </c>
      <c r="O146" s="410">
        <f t="shared" ca="1" si="13"/>
        <v>0</v>
      </c>
      <c r="P146" s="329"/>
    </row>
    <row r="147" spans="1:16" ht="19" customHeight="1">
      <c r="A147" s="891">
        <f t="shared" si="1"/>
        <v>2</v>
      </c>
      <c r="B147" s="350" t="str">
        <f t="shared" si="1"/>
        <v>RWZI De Stolpen</v>
      </c>
      <c r="C147" s="2" t="str">
        <f t="shared" si="1"/>
        <v>Schagerweg 2</v>
      </c>
      <c r="D147" s="192">
        <f>SUMIF('1.0-Contractblad'!$F$66:$F$69,'1.1a-Jaarprijzen'!B147,'1.0-Contractblad'!$I$66:$I$69)</f>
        <v>0</v>
      </c>
      <c r="E147" s="193">
        <f>VLOOKUP($B147,'1.6-Machine-investeringskosten'!$B$97:$E$234,4,FALSE)</f>
        <v>0</v>
      </c>
      <c r="F147" s="193">
        <f t="shared" si="9"/>
        <v>0</v>
      </c>
      <c r="G147" s="193">
        <f t="shared" si="10"/>
        <v>0</v>
      </c>
      <c r="H147" s="193">
        <f t="shared" si="11"/>
        <v>0</v>
      </c>
      <c r="I147" s="193">
        <f t="shared" si="6"/>
        <v>0</v>
      </c>
      <c r="J147" s="193">
        <f t="shared" si="7"/>
        <v>0</v>
      </c>
      <c r="K147" s="194">
        <f>SUMIF('1.3a-Mutaties'!E:E,'1.1a-Jaarprijzen'!B147,'1.3a-Mutaties'!AB:AB)</f>
        <v>0</v>
      </c>
      <c r="L147" s="195"/>
      <c r="M147" s="483">
        <f>SUMIF('1.9-Glasbewassing'!B:B,B147,'1.9-Glasbewassing'!X:X)+SUMIF('1.9-Glasbewassing'!B:B,B147,'1.9-Glasbewassing'!W:W)</f>
        <v>0</v>
      </c>
      <c r="N147" s="193">
        <f t="shared" si="12"/>
        <v>0</v>
      </c>
      <c r="O147" s="410">
        <f t="shared" ca="1" si="13"/>
        <v>0</v>
      </c>
      <c r="P147" s="329"/>
    </row>
    <row r="148" spans="1:16" ht="19" customHeight="1">
      <c r="A148" s="891">
        <f t="shared" si="1"/>
        <v>2</v>
      </c>
      <c r="B148" s="350" t="str">
        <f t="shared" si="1"/>
        <v>RWZI Wieringermeer</v>
      </c>
      <c r="C148" s="2" t="str">
        <f t="shared" si="1"/>
        <v>Flevoweg 2</v>
      </c>
      <c r="D148" s="192">
        <f>SUMIF('1.0-Contractblad'!$F$66:$F$69,'1.1a-Jaarprijzen'!B148,'1.0-Contractblad'!$I$66:$I$69)</f>
        <v>0</v>
      </c>
      <c r="E148" s="193">
        <f>VLOOKUP($B148,'1.6-Machine-investeringskosten'!$B$97:$E$234,4,FALSE)</f>
        <v>0</v>
      </c>
      <c r="F148" s="193">
        <f t="shared" si="9"/>
        <v>0</v>
      </c>
      <c r="G148" s="193">
        <f t="shared" si="10"/>
        <v>0</v>
      </c>
      <c r="H148" s="193">
        <f t="shared" si="11"/>
        <v>0</v>
      </c>
      <c r="I148" s="193">
        <f t="shared" si="6"/>
        <v>0</v>
      </c>
      <c r="J148" s="193">
        <f t="shared" si="7"/>
        <v>0</v>
      </c>
      <c r="K148" s="194">
        <f>SUMIF('1.3a-Mutaties'!E:E,'1.1a-Jaarprijzen'!B148,'1.3a-Mutaties'!AB:AB)</f>
        <v>0</v>
      </c>
      <c r="L148" s="195"/>
      <c r="M148" s="483">
        <f>SUMIF('1.9-Glasbewassing'!B:B,B148,'1.9-Glasbewassing'!X:X)+SUMIF('1.9-Glasbewassing'!B:B,B148,'1.9-Glasbewassing'!W:W)</f>
        <v>0</v>
      </c>
      <c r="N148" s="193">
        <f t="shared" si="12"/>
        <v>0</v>
      </c>
      <c r="O148" s="410">
        <f t="shared" ca="1" si="13"/>
        <v>0</v>
      </c>
      <c r="P148" s="329"/>
    </row>
    <row r="149" spans="1:16" ht="19" customHeight="1">
      <c r="A149" s="891">
        <f t="shared" si="1"/>
        <v>2</v>
      </c>
      <c r="B149" s="350" t="str">
        <f t="shared" si="1"/>
        <v>RWZI Wieringen</v>
      </c>
      <c r="C149" s="2" t="str">
        <f t="shared" si="1"/>
        <v>Rijksweg 9</v>
      </c>
      <c r="D149" s="192">
        <f>SUMIF('1.0-Contractblad'!$F$66:$F$69,'1.1a-Jaarprijzen'!B149,'1.0-Contractblad'!$I$66:$I$69)</f>
        <v>0</v>
      </c>
      <c r="E149" s="193">
        <f>VLOOKUP($B149,'1.6-Machine-investeringskosten'!$B$97:$E$234,4,FALSE)</f>
        <v>0</v>
      </c>
      <c r="F149" s="193">
        <f t="shared" si="9"/>
        <v>0</v>
      </c>
      <c r="G149" s="193">
        <f t="shared" si="10"/>
        <v>0</v>
      </c>
      <c r="H149" s="193">
        <f t="shared" si="11"/>
        <v>0</v>
      </c>
      <c r="I149" s="193">
        <f t="shared" si="6"/>
        <v>0</v>
      </c>
      <c r="J149" s="193">
        <f t="shared" si="7"/>
        <v>0</v>
      </c>
      <c r="K149" s="194">
        <f>SUMIF('1.3a-Mutaties'!E:E,'1.1a-Jaarprijzen'!B149,'1.3a-Mutaties'!AB:AB)</f>
        <v>0</v>
      </c>
      <c r="L149" s="195"/>
      <c r="M149" s="483">
        <f>SUMIF('1.9-Glasbewassing'!B:B,B149,'1.9-Glasbewassing'!X:X)+SUMIF('1.9-Glasbewassing'!B:B,B149,'1.9-Glasbewassing'!W:W)</f>
        <v>0</v>
      </c>
      <c r="N149" s="193">
        <f t="shared" si="12"/>
        <v>0</v>
      </c>
      <c r="O149" s="410">
        <f t="shared" ca="1" si="13"/>
        <v>0</v>
      </c>
      <c r="P149" s="329"/>
    </row>
    <row r="150" spans="1:16" ht="19" customHeight="1">
      <c r="A150" s="891">
        <f t="shared" si="1"/>
        <v>2</v>
      </c>
      <c r="B150" s="350" t="str">
        <f t="shared" si="1"/>
        <v>RWZI Den Helder</v>
      </c>
      <c r="C150" s="2" t="str">
        <f t="shared" si="1"/>
        <v>Oostoeverweg 70</v>
      </c>
      <c r="D150" s="192">
        <f>SUMIF('1.0-Contractblad'!$F$66:$F$69,'1.1a-Jaarprijzen'!B150,'1.0-Contractblad'!$I$66:$I$69)</f>
        <v>0</v>
      </c>
      <c r="E150" s="193">
        <f>VLOOKUP($B150,'1.6-Machine-investeringskosten'!$B$97:$E$234,4,FALSE)</f>
        <v>0</v>
      </c>
      <c r="F150" s="193">
        <f t="shared" si="9"/>
        <v>0</v>
      </c>
      <c r="G150" s="193">
        <f t="shared" si="10"/>
        <v>0</v>
      </c>
      <c r="H150" s="193">
        <f t="shared" si="11"/>
        <v>0</v>
      </c>
      <c r="I150" s="193">
        <f t="shared" ref="I150:I156" si="14">$H$128*K30</f>
        <v>0</v>
      </c>
      <c r="J150" s="193">
        <f t="shared" si="7"/>
        <v>0</v>
      </c>
      <c r="K150" s="194">
        <f>SUMIF('1.3a-Mutaties'!E:E,'1.1a-Jaarprijzen'!B150,'1.3a-Mutaties'!AB:AB)</f>
        <v>0</v>
      </c>
      <c r="L150" s="195"/>
      <c r="M150" s="483">
        <f>SUMIF('1.9-Glasbewassing'!B:B,B150,'1.9-Glasbewassing'!X:X)+SUMIF('1.9-Glasbewassing'!B:B,B150,'1.9-Glasbewassing'!W:W)</f>
        <v>0</v>
      </c>
      <c r="N150" s="193">
        <f t="shared" si="12"/>
        <v>0</v>
      </c>
      <c r="O150" s="410">
        <f t="shared" ref="O150:O158" ca="1" si="15">N150/(E30+F30)</f>
        <v>0</v>
      </c>
      <c r="P150" s="329"/>
    </row>
    <row r="151" spans="1:16" ht="19" customHeight="1">
      <c r="A151" s="891">
        <f t="shared" ref="A151:C158" si="16">A31</f>
        <v>2</v>
      </c>
      <c r="B151" s="350" t="str">
        <f t="shared" si="16"/>
        <v>RWZI Evertsekoog</v>
      </c>
      <c r="C151" s="2" t="str">
        <f t="shared" si="16"/>
        <v>Pontweg 150</v>
      </c>
      <c r="D151" s="192">
        <f>SUMIF('1.0-Contractblad'!$F$66:$F$69,'1.1a-Jaarprijzen'!B151,'1.0-Contractblad'!$I$66:$I$69)</f>
        <v>0</v>
      </c>
      <c r="E151" s="193">
        <f>VLOOKUP($B151,'1.6-Machine-investeringskosten'!$B$97:$E$234,4,FALSE)</f>
        <v>0</v>
      </c>
      <c r="F151" s="193">
        <f t="shared" si="9"/>
        <v>0</v>
      </c>
      <c r="G151" s="193">
        <f t="shared" si="10"/>
        <v>0</v>
      </c>
      <c r="H151" s="193">
        <f t="shared" si="11"/>
        <v>0</v>
      </c>
      <c r="I151" s="193">
        <f t="shared" si="14"/>
        <v>0</v>
      </c>
      <c r="J151" s="193">
        <f t="shared" si="7"/>
        <v>0</v>
      </c>
      <c r="K151" s="194">
        <f>SUMIF('1.3a-Mutaties'!E:E,'1.1a-Jaarprijzen'!B151,'1.3a-Mutaties'!AB:AB)</f>
        <v>0</v>
      </c>
      <c r="L151" s="195"/>
      <c r="M151" s="483">
        <f>SUMIF('1.9-Glasbewassing'!B:B,B151,'1.9-Glasbewassing'!X:X)+SUMIF('1.9-Glasbewassing'!B:B,B151,'1.9-Glasbewassing'!W:W)</f>
        <v>0</v>
      </c>
      <c r="N151" s="193">
        <f t="shared" si="12"/>
        <v>0</v>
      </c>
      <c r="O151" s="410">
        <f t="shared" ca="1" si="15"/>
        <v>0</v>
      </c>
      <c r="P151" s="329"/>
    </row>
    <row r="152" spans="1:16" ht="19" customHeight="1">
      <c r="A152" s="891">
        <f t="shared" si="16"/>
        <v>2</v>
      </c>
      <c r="B152" s="350" t="str">
        <f t="shared" si="16"/>
        <v>RWZI Alkmaar Bedrijfsgebouw</v>
      </c>
      <c r="C152" s="2" t="str">
        <f t="shared" si="16"/>
        <v>Jan van Scorelkade 6</v>
      </c>
      <c r="D152" s="192">
        <f>SUMIF('1.0-Contractblad'!$F$66:$F$69,'1.1a-Jaarprijzen'!B152,'1.0-Contractblad'!$I$66:$I$69)</f>
        <v>0</v>
      </c>
      <c r="E152" s="193">
        <f>VLOOKUP($B152,'1.6-Machine-investeringskosten'!$B$97:$E$234,4,FALSE)</f>
        <v>0</v>
      </c>
      <c r="F152" s="193">
        <f t="shared" si="9"/>
        <v>0</v>
      </c>
      <c r="G152" s="193">
        <f t="shared" si="10"/>
        <v>0</v>
      </c>
      <c r="H152" s="193">
        <f t="shared" si="11"/>
        <v>0</v>
      </c>
      <c r="I152" s="193">
        <f t="shared" si="14"/>
        <v>0</v>
      </c>
      <c r="J152" s="193">
        <f t="shared" si="7"/>
        <v>0</v>
      </c>
      <c r="K152" s="194">
        <f>SUMIF('1.3a-Mutaties'!E:E,'1.1a-Jaarprijzen'!B152,'1.3a-Mutaties'!AB:AB)</f>
        <v>0</v>
      </c>
      <c r="L152" s="195"/>
      <c r="M152" s="483">
        <f>SUMIF('1.9-Glasbewassing'!B:B,B152,'1.9-Glasbewassing'!X:X)+SUMIF('1.9-Glasbewassing'!B:B,B152,'1.9-Glasbewassing'!W:W)</f>
        <v>0</v>
      </c>
      <c r="N152" s="193">
        <f t="shared" si="12"/>
        <v>0</v>
      </c>
      <c r="O152" s="410">
        <f t="shared" ca="1" si="15"/>
        <v>0</v>
      </c>
      <c r="P152" s="329"/>
    </row>
    <row r="153" spans="1:16" ht="19" customHeight="1">
      <c r="A153" s="891">
        <f t="shared" si="16"/>
        <v>2</v>
      </c>
      <c r="B153" s="350" t="str">
        <f t="shared" si="16"/>
        <v>Noorderpolderhuis</v>
      </c>
      <c r="C153" s="2" t="str">
        <f t="shared" si="16"/>
        <v>Molendijk 11</v>
      </c>
      <c r="D153" s="192">
        <f>SUMIF('1.0-Contractblad'!$F$66:$F$69,'1.1a-Jaarprijzen'!B153,'1.0-Contractblad'!$I$66:$I$69)</f>
        <v>0</v>
      </c>
      <c r="E153" s="193">
        <f>VLOOKUP($B153,'1.6-Machine-investeringskosten'!$B$97:$E$234,4,FALSE)</f>
        <v>0</v>
      </c>
      <c r="F153" s="193">
        <f t="shared" si="9"/>
        <v>0</v>
      </c>
      <c r="G153" s="193">
        <f t="shared" si="10"/>
        <v>0</v>
      </c>
      <c r="H153" s="193">
        <f t="shared" si="11"/>
        <v>0</v>
      </c>
      <c r="I153" s="193">
        <f t="shared" si="14"/>
        <v>0</v>
      </c>
      <c r="J153" s="193">
        <f t="shared" si="7"/>
        <v>0</v>
      </c>
      <c r="K153" s="194">
        <f>SUMIF('1.3a-Mutaties'!E:E,'1.1a-Jaarprijzen'!B153,'1.3a-Mutaties'!AB:AB)</f>
        <v>0</v>
      </c>
      <c r="L153" s="195"/>
      <c r="M153" s="483">
        <f>SUMIF('1.9-Glasbewassing'!B:B,B153,'1.9-Glasbewassing'!X:X)+SUMIF('1.9-Glasbewassing'!B:B,B153,'1.9-Glasbewassing'!W:W)</f>
        <v>0</v>
      </c>
      <c r="N153" s="193">
        <f t="shared" si="12"/>
        <v>0</v>
      </c>
      <c r="O153" s="410">
        <f t="shared" ca="1" si="15"/>
        <v>0</v>
      </c>
      <c r="P153" s="329"/>
    </row>
    <row r="154" spans="1:16" ht="19" customHeight="1">
      <c r="A154" s="891">
        <f t="shared" si="16"/>
        <v>2</v>
      </c>
      <c r="B154" s="350" t="str">
        <f t="shared" si="16"/>
        <v>RWZI Heiloo</v>
      </c>
      <c r="C154" s="2" t="str">
        <f t="shared" si="16"/>
        <v>Kanaalstraat 11</v>
      </c>
      <c r="D154" s="192">
        <f>SUMIF('1.0-Contractblad'!$F$66:$F$69,'1.1a-Jaarprijzen'!B154,'1.0-Contractblad'!$I$66:$I$69)</f>
        <v>0</v>
      </c>
      <c r="E154" s="193">
        <f>VLOOKUP($B154,'1.6-Machine-investeringskosten'!$B$97:$E$234,4,FALSE)</f>
        <v>0</v>
      </c>
      <c r="F154" s="193">
        <f t="shared" si="9"/>
        <v>0</v>
      </c>
      <c r="G154" s="193">
        <f t="shared" si="10"/>
        <v>0</v>
      </c>
      <c r="H154" s="193">
        <f t="shared" si="11"/>
        <v>0</v>
      </c>
      <c r="I154" s="193">
        <f t="shared" si="14"/>
        <v>0</v>
      </c>
      <c r="J154" s="193">
        <f t="shared" si="7"/>
        <v>0</v>
      </c>
      <c r="K154" s="194">
        <f>SUMIF('1.3a-Mutaties'!E:E,'1.1a-Jaarprijzen'!B154,'1.3a-Mutaties'!AB:AB)</f>
        <v>0</v>
      </c>
      <c r="L154" s="195"/>
      <c r="M154" s="483">
        <f>SUMIF('1.9-Glasbewassing'!B:B,B154,'1.9-Glasbewassing'!X:X)+SUMIF('1.9-Glasbewassing'!B:B,B154,'1.9-Glasbewassing'!W:W)</f>
        <v>0</v>
      </c>
      <c r="N154" s="193">
        <f t="shared" si="12"/>
        <v>0</v>
      </c>
      <c r="O154" s="410">
        <f t="shared" ca="1" si="15"/>
        <v>0</v>
      </c>
      <c r="P154" s="329"/>
    </row>
    <row r="155" spans="1:16" ht="19" customHeight="1">
      <c r="A155" s="891">
        <f t="shared" si="16"/>
        <v>2</v>
      </c>
      <c r="B155" s="350" t="str">
        <f t="shared" si="16"/>
        <v>RWZI Beverwijk Bedrijfsgebouw</v>
      </c>
      <c r="C155" s="2" t="str">
        <f t="shared" si="16"/>
        <v>Randweg 2</v>
      </c>
      <c r="D155" s="192">
        <f>SUMIF('1.0-Contractblad'!$F$66:$F$69,'1.1a-Jaarprijzen'!B155,'1.0-Contractblad'!$I$66:$I$69)</f>
        <v>0</v>
      </c>
      <c r="E155" s="193">
        <f>VLOOKUP($B155,'1.6-Machine-investeringskosten'!$B$97:$E$234,4,FALSE)</f>
        <v>0</v>
      </c>
      <c r="F155" s="193">
        <f t="shared" si="9"/>
        <v>0</v>
      </c>
      <c r="G155" s="193">
        <f t="shared" si="10"/>
        <v>0</v>
      </c>
      <c r="H155" s="193">
        <f t="shared" si="11"/>
        <v>0</v>
      </c>
      <c r="I155" s="193">
        <f t="shared" si="14"/>
        <v>0</v>
      </c>
      <c r="J155" s="193">
        <f t="shared" si="7"/>
        <v>0</v>
      </c>
      <c r="K155" s="194">
        <f>SUMIF('1.3a-Mutaties'!E:E,'1.1a-Jaarprijzen'!B155,'1.3a-Mutaties'!AB:AB)</f>
        <v>0</v>
      </c>
      <c r="L155" s="195"/>
      <c r="M155" s="483">
        <f>SUMIF('1.9-Glasbewassing'!B:B,B155,'1.9-Glasbewassing'!X:X)+SUMIF('1.9-Glasbewassing'!B:B,B155,'1.9-Glasbewassing'!W:W)</f>
        <v>0</v>
      </c>
      <c r="N155" s="193">
        <f t="shared" si="12"/>
        <v>0</v>
      </c>
      <c r="O155" s="410">
        <f t="shared" ca="1" si="15"/>
        <v>0</v>
      </c>
      <c r="P155" s="329"/>
    </row>
    <row r="156" spans="1:16" ht="19" customHeight="1">
      <c r="A156" s="891">
        <f t="shared" si="16"/>
        <v>2</v>
      </c>
      <c r="B156" s="350" t="str">
        <f t="shared" si="16"/>
        <v>RWZI Beverwijk, Slibgebouw</v>
      </c>
      <c r="C156" s="2" t="str">
        <f t="shared" si="16"/>
        <v>Randweg 2</v>
      </c>
      <c r="D156" s="192">
        <f>SUMIF('1.0-Contractblad'!$F$66:$F$69,'1.1a-Jaarprijzen'!B156,'1.0-Contractblad'!$I$66:$I$69)</f>
        <v>0</v>
      </c>
      <c r="E156" s="193">
        <f>VLOOKUP($B156,'1.6-Machine-investeringskosten'!$B$97:$E$234,4,FALSE)</f>
        <v>0</v>
      </c>
      <c r="F156" s="193">
        <f t="shared" si="9"/>
        <v>0</v>
      </c>
      <c r="G156" s="193">
        <f t="shared" si="10"/>
        <v>0</v>
      </c>
      <c r="H156" s="193">
        <f t="shared" si="11"/>
        <v>0</v>
      </c>
      <c r="I156" s="193">
        <f t="shared" si="14"/>
        <v>0</v>
      </c>
      <c r="J156" s="193">
        <f t="shared" si="7"/>
        <v>0</v>
      </c>
      <c r="K156" s="194">
        <f>SUMIF('1.3a-Mutaties'!E:E,'1.1a-Jaarprijzen'!B156,'1.3a-Mutaties'!AB:AB)</f>
        <v>0</v>
      </c>
      <c r="L156" s="195"/>
      <c r="M156" s="483">
        <f>SUMIF('1.9-Glasbewassing'!B:B,B156,'1.9-Glasbewassing'!X:X)+SUMIF('1.9-Glasbewassing'!B:B,B156,'1.9-Glasbewassing'!W:W)</f>
        <v>0</v>
      </c>
      <c r="N156" s="193">
        <f t="shared" si="12"/>
        <v>0</v>
      </c>
      <c r="O156" s="410">
        <f t="shared" ca="1" si="15"/>
        <v>0</v>
      </c>
      <c r="P156" s="329"/>
    </row>
    <row r="157" spans="1:16" ht="19" customHeight="1">
      <c r="A157" s="891">
        <f t="shared" si="16"/>
        <v>0</v>
      </c>
      <c r="B157" s="350"/>
      <c r="C157" s="2"/>
      <c r="D157" s="192"/>
      <c r="E157" s="193"/>
      <c r="F157" s="193"/>
      <c r="G157" s="193"/>
      <c r="H157" s="193"/>
      <c r="I157" s="193"/>
      <c r="J157" s="193"/>
      <c r="K157" s="194"/>
      <c r="L157" s="195"/>
      <c r="M157" s="483"/>
      <c r="N157" s="193"/>
      <c r="O157" s="410" t="e">
        <f t="shared" si="15"/>
        <v>#DIV/0!</v>
      </c>
      <c r="P157" s="329"/>
    </row>
    <row r="158" spans="1:16" ht="19" customHeight="1">
      <c r="A158" s="891">
        <f t="shared" si="16"/>
        <v>0</v>
      </c>
      <c r="B158" s="350"/>
      <c r="C158" s="2"/>
      <c r="D158" s="192"/>
      <c r="E158" s="193"/>
      <c r="F158" s="193"/>
      <c r="G158" s="193"/>
      <c r="H158" s="193"/>
      <c r="I158" s="193"/>
      <c r="J158" s="193"/>
      <c r="K158" s="194"/>
      <c r="L158" s="195"/>
      <c r="M158" s="483"/>
      <c r="N158" s="193"/>
      <c r="O158" s="410" t="e">
        <f t="shared" si="15"/>
        <v>#DIV/0!</v>
      </c>
      <c r="P158" s="329"/>
    </row>
    <row r="159" spans="1:16" ht="19" hidden="1" customHeight="1">
      <c r="A159" s="891"/>
      <c r="B159" s="350">
        <f t="shared" ref="B159:C159" si="17">B39</f>
        <v>0</v>
      </c>
      <c r="C159" s="2">
        <f t="shared" si="17"/>
        <v>0</v>
      </c>
      <c r="D159" s="192"/>
      <c r="E159" s="193"/>
      <c r="F159" s="193"/>
      <c r="G159" s="193"/>
      <c r="H159" s="193"/>
      <c r="I159" s="193"/>
      <c r="J159" s="193"/>
      <c r="K159" s="194"/>
      <c r="L159" s="195"/>
      <c r="M159" s="483"/>
      <c r="N159" s="193"/>
      <c r="O159" s="410"/>
      <c r="P159" s="329"/>
    </row>
    <row r="160" spans="1:16" ht="19" hidden="1" customHeight="1">
      <c r="A160" s="891"/>
      <c r="B160" s="350">
        <f t="shared" ref="B160:C160" si="18">B40</f>
        <v>0</v>
      </c>
      <c r="C160" s="2">
        <f t="shared" si="18"/>
        <v>0</v>
      </c>
      <c r="D160" s="192"/>
      <c r="E160" s="193"/>
      <c r="F160" s="193"/>
      <c r="G160" s="193"/>
      <c r="H160" s="193"/>
      <c r="I160" s="193"/>
      <c r="J160" s="193"/>
      <c r="K160" s="194"/>
      <c r="L160" s="195"/>
      <c r="M160" s="483"/>
      <c r="N160" s="193"/>
      <c r="O160" s="410"/>
      <c r="P160" s="329"/>
    </row>
    <row r="161" spans="1:16" ht="19" hidden="1" customHeight="1">
      <c r="A161" s="891"/>
      <c r="B161" s="350">
        <f t="shared" ref="B161:C161" si="19">B41</f>
        <v>0</v>
      </c>
      <c r="C161" s="2">
        <f t="shared" si="19"/>
        <v>0</v>
      </c>
      <c r="D161" s="192"/>
      <c r="E161" s="193"/>
      <c r="F161" s="193"/>
      <c r="G161" s="193"/>
      <c r="H161" s="193"/>
      <c r="I161" s="193"/>
      <c r="J161" s="193"/>
      <c r="K161" s="194"/>
      <c r="L161" s="195"/>
      <c r="M161" s="483"/>
      <c r="N161" s="193"/>
      <c r="O161" s="410"/>
      <c r="P161" s="329"/>
    </row>
    <row r="162" spans="1:16" ht="19" hidden="1" customHeight="1">
      <c r="A162" s="891"/>
      <c r="B162" s="350">
        <f t="shared" ref="B162:C162" si="20">B42</f>
        <v>0</v>
      </c>
      <c r="C162" s="2">
        <f t="shared" si="20"/>
        <v>0</v>
      </c>
      <c r="D162" s="192"/>
      <c r="E162" s="193"/>
      <c r="F162" s="193"/>
      <c r="G162" s="193"/>
      <c r="H162" s="193"/>
      <c r="I162" s="193"/>
      <c r="J162" s="193"/>
      <c r="K162" s="194"/>
      <c r="L162" s="195"/>
      <c r="M162" s="483"/>
      <c r="N162" s="193"/>
      <c r="O162" s="410"/>
      <c r="P162" s="329"/>
    </row>
    <row r="163" spans="1:16" ht="19" hidden="1" customHeight="1">
      <c r="A163" s="891"/>
      <c r="B163" s="350">
        <f t="shared" ref="B163:C163" si="21">B43</f>
        <v>0</v>
      </c>
      <c r="C163" s="2">
        <f t="shared" si="21"/>
        <v>0</v>
      </c>
      <c r="D163" s="192"/>
      <c r="E163" s="193"/>
      <c r="F163" s="193"/>
      <c r="G163" s="193"/>
      <c r="H163" s="193"/>
      <c r="I163" s="193"/>
      <c r="J163" s="193"/>
      <c r="K163" s="194"/>
      <c r="L163" s="195"/>
      <c r="M163" s="483"/>
      <c r="N163" s="193"/>
      <c r="O163" s="410"/>
      <c r="P163" s="329"/>
    </row>
    <row r="164" spans="1:16" ht="19" hidden="1" customHeight="1">
      <c r="A164" s="891"/>
      <c r="B164" s="350">
        <f t="shared" ref="B164:C164" si="22">B44</f>
        <v>0</v>
      </c>
      <c r="C164" s="2">
        <f t="shared" si="22"/>
        <v>0</v>
      </c>
      <c r="D164" s="192"/>
      <c r="E164" s="193"/>
      <c r="F164" s="193"/>
      <c r="G164" s="193"/>
      <c r="H164" s="193"/>
      <c r="I164" s="193"/>
      <c r="J164" s="193"/>
      <c r="K164" s="194"/>
      <c r="L164" s="195"/>
      <c r="M164" s="483"/>
      <c r="N164" s="193"/>
      <c r="O164" s="410"/>
      <c r="P164" s="329"/>
    </row>
    <row r="165" spans="1:16" ht="19" hidden="1" customHeight="1">
      <c r="A165" s="891"/>
      <c r="B165" s="350">
        <f t="shared" ref="B165:C165" si="23">B45</f>
        <v>0</v>
      </c>
      <c r="C165" s="2">
        <f t="shared" si="23"/>
        <v>0</v>
      </c>
      <c r="D165" s="192"/>
      <c r="E165" s="193"/>
      <c r="F165" s="193"/>
      <c r="G165" s="193"/>
      <c r="H165" s="193"/>
      <c r="I165" s="193"/>
      <c r="J165" s="193"/>
      <c r="K165" s="194"/>
      <c r="L165" s="195"/>
      <c r="M165" s="483"/>
      <c r="N165" s="193"/>
      <c r="O165" s="410"/>
      <c r="P165" s="329"/>
    </row>
    <row r="166" spans="1:16" ht="19" hidden="1" customHeight="1">
      <c r="A166" s="891"/>
      <c r="B166" s="350">
        <f t="shared" ref="B166:C166" si="24">B46</f>
        <v>0</v>
      </c>
      <c r="C166" s="2">
        <f t="shared" si="24"/>
        <v>0</v>
      </c>
      <c r="D166" s="192"/>
      <c r="E166" s="193"/>
      <c r="F166" s="193"/>
      <c r="G166" s="193"/>
      <c r="H166" s="193"/>
      <c r="I166" s="193"/>
      <c r="J166" s="193"/>
      <c r="K166" s="194"/>
      <c r="L166" s="195"/>
      <c r="M166" s="483"/>
      <c r="N166" s="193"/>
      <c r="O166" s="410"/>
      <c r="P166" s="329"/>
    </row>
    <row r="167" spans="1:16" ht="19" hidden="1" customHeight="1">
      <c r="A167" s="891"/>
      <c r="B167" s="350">
        <f t="shared" ref="B167:C167" si="25">B47</f>
        <v>0</v>
      </c>
      <c r="C167" s="2">
        <f t="shared" si="25"/>
        <v>0</v>
      </c>
      <c r="D167" s="192"/>
      <c r="E167" s="193"/>
      <c r="F167" s="193"/>
      <c r="G167" s="193"/>
      <c r="H167" s="193"/>
      <c r="I167" s="193"/>
      <c r="J167" s="193"/>
      <c r="K167" s="194"/>
      <c r="L167" s="195"/>
      <c r="M167" s="483"/>
      <c r="N167" s="193"/>
      <c r="O167" s="410"/>
      <c r="P167" s="329"/>
    </row>
    <row r="168" spans="1:16" ht="19" hidden="1" customHeight="1">
      <c r="A168" s="891"/>
      <c r="B168" s="350">
        <f t="shared" ref="B168:C168" si="26">B48</f>
        <v>0</v>
      </c>
      <c r="C168" s="2">
        <f t="shared" si="26"/>
        <v>0</v>
      </c>
      <c r="D168" s="192"/>
      <c r="E168" s="193"/>
      <c r="F168" s="193"/>
      <c r="G168" s="193"/>
      <c r="H168" s="193"/>
      <c r="I168" s="193"/>
      <c r="J168" s="193"/>
      <c r="K168" s="194"/>
      <c r="L168" s="195"/>
      <c r="M168" s="483"/>
      <c r="N168" s="193"/>
      <c r="O168" s="410"/>
      <c r="P168" s="329"/>
    </row>
    <row r="169" spans="1:16" ht="19" hidden="1" customHeight="1">
      <c r="A169" s="891"/>
      <c r="B169" s="350">
        <f t="shared" ref="B169:C169" si="27">B49</f>
        <v>0</v>
      </c>
      <c r="C169" s="2">
        <f t="shared" si="27"/>
        <v>0</v>
      </c>
      <c r="D169" s="192"/>
      <c r="E169" s="193"/>
      <c r="F169" s="193"/>
      <c r="G169" s="193"/>
      <c r="H169" s="193"/>
      <c r="I169" s="193"/>
      <c r="J169" s="193"/>
      <c r="K169" s="194"/>
      <c r="L169" s="195"/>
      <c r="M169" s="483"/>
      <c r="N169" s="193"/>
      <c r="O169" s="410"/>
      <c r="P169" s="329"/>
    </row>
    <row r="170" spans="1:16" ht="19" hidden="1" customHeight="1">
      <c r="A170" s="891"/>
      <c r="B170" s="350">
        <f t="shared" ref="B170:C170" si="28">B50</f>
        <v>0</v>
      </c>
      <c r="C170" s="2">
        <f t="shared" si="28"/>
        <v>0</v>
      </c>
      <c r="D170" s="192"/>
      <c r="E170" s="193"/>
      <c r="F170" s="193"/>
      <c r="G170" s="193"/>
      <c r="H170" s="193"/>
      <c r="I170" s="193"/>
      <c r="J170" s="193"/>
      <c r="K170" s="194"/>
      <c r="L170" s="195"/>
      <c r="M170" s="483"/>
      <c r="N170" s="193"/>
      <c r="O170" s="410"/>
      <c r="P170" s="329"/>
    </row>
    <row r="171" spans="1:16" ht="19" hidden="1" customHeight="1">
      <c r="A171" s="891"/>
      <c r="B171" s="350">
        <f t="shared" ref="B171:C171" si="29">B51</f>
        <v>0</v>
      </c>
      <c r="C171" s="2">
        <f t="shared" si="29"/>
        <v>0</v>
      </c>
      <c r="D171" s="192"/>
      <c r="E171" s="193"/>
      <c r="F171" s="193"/>
      <c r="G171" s="193"/>
      <c r="H171" s="193"/>
      <c r="I171" s="193"/>
      <c r="J171" s="193"/>
      <c r="K171" s="194"/>
      <c r="L171" s="195"/>
      <c r="M171" s="483"/>
      <c r="N171" s="193"/>
      <c r="O171" s="410"/>
      <c r="P171" s="329"/>
    </row>
    <row r="172" spans="1:16" ht="19" hidden="1" customHeight="1">
      <c r="A172" s="891"/>
      <c r="B172" s="350">
        <f t="shared" ref="B172:C172" si="30">B52</f>
        <v>0</v>
      </c>
      <c r="C172" s="2">
        <f t="shared" si="30"/>
        <v>0</v>
      </c>
      <c r="D172" s="192"/>
      <c r="E172" s="193"/>
      <c r="F172" s="193"/>
      <c r="G172" s="193"/>
      <c r="H172" s="193"/>
      <c r="I172" s="193"/>
      <c r="J172" s="193"/>
      <c r="K172" s="194"/>
      <c r="L172" s="195"/>
      <c r="M172" s="483"/>
      <c r="N172" s="193"/>
      <c r="O172" s="410"/>
      <c r="P172" s="329"/>
    </row>
    <row r="173" spans="1:16" ht="19" hidden="1" customHeight="1">
      <c r="A173" s="891"/>
      <c r="B173" s="350">
        <f t="shared" ref="B173:C173" si="31">B53</f>
        <v>0</v>
      </c>
      <c r="C173" s="2">
        <f t="shared" si="31"/>
        <v>0</v>
      </c>
      <c r="D173" s="192"/>
      <c r="E173" s="193"/>
      <c r="F173" s="193"/>
      <c r="G173" s="193"/>
      <c r="H173" s="193"/>
      <c r="I173" s="193"/>
      <c r="J173" s="193"/>
      <c r="K173" s="194"/>
      <c r="L173" s="195"/>
      <c r="M173" s="483"/>
      <c r="N173" s="193"/>
      <c r="O173" s="410"/>
      <c r="P173" s="329"/>
    </row>
    <row r="174" spans="1:16" ht="19" hidden="1" customHeight="1">
      <c r="A174" s="891"/>
      <c r="B174" s="350">
        <f t="shared" ref="B174:C174" si="32">B54</f>
        <v>0</v>
      </c>
      <c r="C174" s="2">
        <f t="shared" si="32"/>
        <v>0</v>
      </c>
      <c r="D174" s="192"/>
      <c r="E174" s="193"/>
      <c r="F174" s="193"/>
      <c r="G174" s="193"/>
      <c r="H174" s="193"/>
      <c r="I174" s="193"/>
      <c r="J174" s="193"/>
      <c r="K174" s="194"/>
      <c r="L174" s="195"/>
      <c r="M174" s="483"/>
      <c r="N174" s="193"/>
      <c r="O174" s="410"/>
      <c r="P174" s="329"/>
    </row>
    <row r="175" spans="1:16" ht="19" hidden="1" customHeight="1">
      <c r="A175" s="891"/>
      <c r="B175" s="350">
        <f t="shared" ref="B175:C175" si="33">B55</f>
        <v>0</v>
      </c>
      <c r="C175" s="2">
        <f t="shared" si="33"/>
        <v>0</v>
      </c>
      <c r="D175" s="192"/>
      <c r="E175" s="193"/>
      <c r="F175" s="193"/>
      <c r="G175" s="193"/>
      <c r="H175" s="193"/>
      <c r="I175" s="193"/>
      <c r="J175" s="193"/>
      <c r="K175" s="194"/>
      <c r="L175" s="195"/>
      <c r="M175" s="483"/>
      <c r="N175" s="193"/>
      <c r="O175" s="410"/>
      <c r="P175" s="329"/>
    </row>
    <row r="176" spans="1:16" ht="19" hidden="1" customHeight="1">
      <c r="A176" s="891"/>
      <c r="B176" s="350">
        <f t="shared" ref="B176:C176" si="34">B56</f>
        <v>0</v>
      </c>
      <c r="C176" s="2">
        <f t="shared" si="34"/>
        <v>0</v>
      </c>
      <c r="D176" s="192"/>
      <c r="E176" s="193"/>
      <c r="F176" s="193"/>
      <c r="G176" s="193"/>
      <c r="H176" s="193"/>
      <c r="I176" s="193"/>
      <c r="J176" s="193"/>
      <c r="K176" s="194"/>
      <c r="L176" s="195"/>
      <c r="M176" s="483"/>
      <c r="N176" s="193"/>
      <c r="O176" s="410"/>
      <c r="P176" s="329"/>
    </row>
    <row r="177" spans="1:16" ht="19" hidden="1" customHeight="1">
      <c r="A177" s="891"/>
      <c r="B177" s="350">
        <f t="shared" ref="B177:C177" si="35">B57</f>
        <v>0</v>
      </c>
      <c r="C177" s="2">
        <f t="shared" si="35"/>
        <v>0</v>
      </c>
      <c r="D177" s="192"/>
      <c r="E177" s="193"/>
      <c r="F177" s="193"/>
      <c r="G177" s="193"/>
      <c r="H177" s="193"/>
      <c r="I177" s="193"/>
      <c r="J177" s="193"/>
      <c r="K177" s="194"/>
      <c r="L177" s="195"/>
      <c r="M177" s="483"/>
      <c r="N177" s="193"/>
      <c r="O177" s="410"/>
      <c r="P177" s="329"/>
    </row>
    <row r="178" spans="1:16" ht="19" hidden="1" customHeight="1">
      <c r="A178" s="891"/>
      <c r="B178" s="350">
        <f t="shared" ref="B178:C178" si="36">B58</f>
        <v>0</v>
      </c>
      <c r="C178" s="2">
        <f t="shared" si="36"/>
        <v>0</v>
      </c>
      <c r="D178" s="192"/>
      <c r="E178" s="193"/>
      <c r="F178" s="193"/>
      <c r="G178" s="193"/>
      <c r="H178" s="193"/>
      <c r="I178" s="193"/>
      <c r="J178" s="193"/>
      <c r="K178" s="194"/>
      <c r="L178" s="195"/>
      <c r="M178" s="483"/>
      <c r="N178" s="193"/>
      <c r="O178" s="410"/>
      <c r="P178" s="329"/>
    </row>
    <row r="179" spans="1:16" ht="19" hidden="1" customHeight="1">
      <c r="A179" s="891"/>
      <c r="B179" s="350">
        <f t="shared" ref="B179:C179" si="37">B59</f>
        <v>0</v>
      </c>
      <c r="C179" s="2">
        <f t="shared" si="37"/>
        <v>0</v>
      </c>
      <c r="D179" s="192"/>
      <c r="E179" s="193"/>
      <c r="F179" s="193"/>
      <c r="G179" s="193"/>
      <c r="H179" s="193"/>
      <c r="I179" s="193"/>
      <c r="J179" s="193"/>
      <c r="K179" s="194"/>
      <c r="L179" s="195"/>
      <c r="M179" s="483"/>
      <c r="N179" s="193"/>
      <c r="O179" s="410"/>
      <c r="P179" s="329"/>
    </row>
    <row r="180" spans="1:16" ht="19" hidden="1" customHeight="1">
      <c r="A180" s="891"/>
      <c r="B180" s="350">
        <f t="shared" ref="B180:C180" si="38">B60</f>
        <v>0</v>
      </c>
      <c r="C180" s="2">
        <f t="shared" si="38"/>
        <v>0</v>
      </c>
      <c r="D180" s="192"/>
      <c r="E180" s="193"/>
      <c r="F180" s="193"/>
      <c r="G180" s="193"/>
      <c r="H180" s="193"/>
      <c r="I180" s="193"/>
      <c r="J180" s="193"/>
      <c r="K180" s="194"/>
      <c r="L180" s="195"/>
      <c r="M180" s="483"/>
      <c r="N180" s="193"/>
      <c r="O180" s="410"/>
      <c r="P180" s="329"/>
    </row>
    <row r="181" spans="1:16" ht="19" hidden="1" customHeight="1">
      <c r="A181" s="891"/>
      <c r="B181" s="350">
        <f t="shared" ref="B181:C181" si="39">B61</f>
        <v>0</v>
      </c>
      <c r="C181" s="2">
        <f t="shared" si="39"/>
        <v>0</v>
      </c>
      <c r="D181" s="192"/>
      <c r="E181" s="193"/>
      <c r="F181" s="193"/>
      <c r="G181" s="193"/>
      <c r="H181" s="193"/>
      <c r="I181" s="193"/>
      <c r="J181" s="193"/>
      <c r="K181" s="194"/>
      <c r="L181" s="195"/>
      <c r="M181" s="483"/>
      <c r="N181" s="193"/>
      <c r="O181" s="410"/>
      <c r="P181" s="329"/>
    </row>
    <row r="182" spans="1:16" ht="19" hidden="1" customHeight="1">
      <c r="A182" s="891"/>
      <c r="B182" s="350">
        <f t="shared" ref="B182:C182" si="40">B62</f>
        <v>0</v>
      </c>
      <c r="C182" s="2">
        <f t="shared" si="40"/>
        <v>0</v>
      </c>
      <c r="D182" s="192"/>
      <c r="E182" s="193"/>
      <c r="F182" s="193"/>
      <c r="G182" s="193"/>
      <c r="H182" s="193"/>
      <c r="I182" s="193"/>
      <c r="J182" s="193"/>
      <c r="K182" s="194"/>
      <c r="L182" s="195"/>
      <c r="M182" s="483"/>
      <c r="N182" s="193"/>
      <c r="O182" s="410"/>
      <c r="P182" s="329"/>
    </row>
    <row r="183" spans="1:16" ht="19" hidden="1" customHeight="1">
      <c r="A183" s="891"/>
      <c r="B183" s="350">
        <f t="shared" ref="B183:C183" si="41">B63</f>
        <v>0</v>
      </c>
      <c r="C183" s="2">
        <f t="shared" si="41"/>
        <v>0</v>
      </c>
      <c r="D183" s="192"/>
      <c r="E183" s="193"/>
      <c r="F183" s="193"/>
      <c r="G183" s="193"/>
      <c r="H183" s="193"/>
      <c r="I183" s="193"/>
      <c r="J183" s="193"/>
      <c r="K183" s="194"/>
      <c r="L183" s="195"/>
      <c r="M183" s="483"/>
      <c r="N183" s="193"/>
      <c r="O183" s="410"/>
      <c r="P183" s="329"/>
    </row>
    <row r="184" spans="1:16" ht="19" hidden="1" customHeight="1">
      <c r="A184" s="891"/>
      <c r="B184" s="350">
        <f t="shared" ref="B184:C184" si="42">B64</f>
        <v>0</v>
      </c>
      <c r="C184" s="2">
        <f t="shared" si="42"/>
        <v>0</v>
      </c>
      <c r="D184" s="192"/>
      <c r="E184" s="193"/>
      <c r="F184" s="193"/>
      <c r="G184" s="193"/>
      <c r="H184" s="193"/>
      <c r="I184" s="193"/>
      <c r="J184" s="193"/>
      <c r="K184" s="194"/>
      <c r="L184" s="195"/>
      <c r="M184" s="483"/>
      <c r="N184" s="193"/>
      <c r="O184" s="410"/>
      <c r="P184" s="329"/>
    </row>
    <row r="185" spans="1:16" ht="19" hidden="1" customHeight="1">
      <c r="A185" s="891"/>
      <c r="B185" s="350">
        <f t="shared" ref="B185:C185" si="43">B65</f>
        <v>0</v>
      </c>
      <c r="C185" s="2">
        <f t="shared" si="43"/>
        <v>0</v>
      </c>
      <c r="D185" s="192"/>
      <c r="E185" s="193"/>
      <c r="F185" s="193"/>
      <c r="G185" s="193"/>
      <c r="H185" s="193"/>
      <c r="I185" s="193"/>
      <c r="J185" s="193"/>
      <c r="K185" s="194"/>
      <c r="L185" s="195"/>
      <c r="M185" s="483"/>
      <c r="N185" s="193"/>
      <c r="O185" s="410"/>
      <c r="P185" s="329"/>
    </row>
    <row r="186" spans="1:16" ht="19" hidden="1" customHeight="1">
      <c r="A186" s="891"/>
      <c r="B186" s="350">
        <f t="shared" ref="B186:C186" si="44">B66</f>
        <v>0</v>
      </c>
      <c r="C186" s="2">
        <f t="shared" si="44"/>
        <v>0</v>
      </c>
      <c r="D186" s="192"/>
      <c r="E186" s="193"/>
      <c r="F186" s="193"/>
      <c r="G186" s="193"/>
      <c r="H186" s="193"/>
      <c r="I186" s="193"/>
      <c r="J186" s="193"/>
      <c r="K186" s="194"/>
      <c r="L186" s="195"/>
      <c r="M186" s="483"/>
      <c r="N186" s="193"/>
      <c r="O186" s="410"/>
      <c r="P186" s="329"/>
    </row>
    <row r="187" spans="1:16" ht="19" hidden="1" customHeight="1">
      <c r="A187" s="891"/>
      <c r="B187" s="350">
        <f t="shared" ref="B187:C187" si="45">B67</f>
        <v>0</v>
      </c>
      <c r="C187" s="2">
        <f t="shared" si="45"/>
        <v>0</v>
      </c>
      <c r="D187" s="192"/>
      <c r="E187" s="193"/>
      <c r="F187" s="193"/>
      <c r="G187" s="193"/>
      <c r="H187" s="193"/>
      <c r="I187" s="193"/>
      <c r="J187" s="193"/>
      <c r="K187" s="194"/>
      <c r="L187" s="195"/>
      <c r="M187" s="483"/>
      <c r="N187" s="193"/>
      <c r="O187" s="410"/>
      <c r="P187" s="329"/>
    </row>
    <row r="188" spans="1:16" ht="19" hidden="1" customHeight="1">
      <c r="A188" s="891"/>
      <c r="B188" s="350">
        <f t="shared" ref="B188:C188" si="46">B68</f>
        <v>0</v>
      </c>
      <c r="C188" s="2">
        <f t="shared" si="46"/>
        <v>0</v>
      </c>
      <c r="D188" s="192"/>
      <c r="E188" s="193"/>
      <c r="F188" s="193"/>
      <c r="G188" s="193"/>
      <c r="H188" s="193"/>
      <c r="I188" s="193"/>
      <c r="J188" s="193"/>
      <c r="K188" s="194"/>
      <c r="L188" s="195"/>
      <c r="M188" s="483"/>
      <c r="N188" s="193"/>
      <c r="O188" s="410"/>
      <c r="P188" s="329"/>
    </row>
    <row r="189" spans="1:16" ht="19" hidden="1" customHeight="1">
      <c r="A189" s="891"/>
      <c r="B189" s="350">
        <f t="shared" ref="B189:C189" si="47">B69</f>
        <v>0</v>
      </c>
      <c r="C189" s="2">
        <f t="shared" si="47"/>
        <v>0</v>
      </c>
      <c r="D189" s="192"/>
      <c r="E189" s="193"/>
      <c r="F189" s="193"/>
      <c r="G189" s="193"/>
      <c r="H189" s="193"/>
      <c r="I189" s="193"/>
      <c r="J189" s="193"/>
      <c r="K189" s="194"/>
      <c r="L189" s="195"/>
      <c r="M189" s="483"/>
      <c r="N189" s="193"/>
      <c r="O189" s="410"/>
      <c r="P189" s="329"/>
    </row>
    <row r="190" spans="1:16" ht="19" hidden="1" customHeight="1">
      <c r="A190" s="891"/>
      <c r="B190" s="350">
        <f t="shared" ref="B190:C190" si="48">B70</f>
        <v>0</v>
      </c>
      <c r="C190" s="2">
        <f t="shared" si="48"/>
        <v>0</v>
      </c>
      <c r="D190" s="192"/>
      <c r="E190" s="193"/>
      <c r="F190" s="193"/>
      <c r="G190" s="193"/>
      <c r="H190" s="193"/>
      <c r="I190" s="193"/>
      <c r="J190" s="193"/>
      <c r="K190" s="194"/>
      <c r="L190" s="195"/>
      <c r="M190" s="483"/>
      <c r="N190" s="193"/>
      <c r="O190" s="410"/>
      <c r="P190" s="329"/>
    </row>
    <row r="191" spans="1:16" ht="19" hidden="1" customHeight="1">
      <c r="A191" s="891"/>
      <c r="B191" s="350">
        <f t="shared" ref="B191:C191" si="49">B71</f>
        <v>0</v>
      </c>
      <c r="C191" s="2">
        <f t="shared" si="49"/>
        <v>0</v>
      </c>
      <c r="D191" s="192"/>
      <c r="E191" s="193"/>
      <c r="F191" s="193"/>
      <c r="G191" s="193"/>
      <c r="H191" s="193"/>
      <c r="I191" s="193"/>
      <c r="J191" s="193"/>
      <c r="K191" s="194"/>
      <c r="L191" s="195"/>
      <c r="M191" s="483"/>
      <c r="N191" s="193"/>
      <c r="O191" s="410"/>
      <c r="P191" s="329"/>
    </row>
    <row r="192" spans="1:16" ht="19" hidden="1" customHeight="1">
      <c r="A192" s="891"/>
      <c r="B192" s="350">
        <f t="shared" ref="B192:C192" si="50">B72</f>
        <v>0</v>
      </c>
      <c r="C192" s="2">
        <f t="shared" si="50"/>
        <v>0</v>
      </c>
      <c r="D192" s="192"/>
      <c r="E192" s="193"/>
      <c r="F192" s="193"/>
      <c r="G192" s="193"/>
      <c r="H192" s="193"/>
      <c r="I192" s="193"/>
      <c r="J192" s="193"/>
      <c r="K192" s="194"/>
      <c r="L192" s="195"/>
      <c r="M192" s="483"/>
      <c r="N192" s="193"/>
      <c r="O192" s="410"/>
      <c r="P192" s="329"/>
    </row>
    <row r="193" spans="1:16" ht="19" hidden="1" customHeight="1">
      <c r="A193" s="891"/>
      <c r="B193" s="350">
        <f t="shared" ref="B193:C193" si="51">B73</f>
        <v>0</v>
      </c>
      <c r="C193" s="2">
        <f t="shared" si="51"/>
        <v>0</v>
      </c>
      <c r="D193" s="192"/>
      <c r="E193" s="193"/>
      <c r="F193" s="193"/>
      <c r="G193" s="193"/>
      <c r="H193" s="193"/>
      <c r="I193" s="193"/>
      <c r="J193" s="193"/>
      <c r="K193" s="194"/>
      <c r="L193" s="195"/>
      <c r="M193" s="483"/>
      <c r="N193" s="193"/>
      <c r="O193" s="410"/>
      <c r="P193" s="329"/>
    </row>
    <row r="194" spans="1:16" ht="19" hidden="1" customHeight="1">
      <c r="A194" s="891"/>
      <c r="B194" s="350">
        <f t="shared" ref="B194:C194" si="52">B74</f>
        <v>0</v>
      </c>
      <c r="C194" s="2">
        <f t="shared" si="52"/>
        <v>0</v>
      </c>
      <c r="D194" s="192"/>
      <c r="E194" s="193"/>
      <c r="F194" s="193"/>
      <c r="G194" s="193"/>
      <c r="H194" s="193"/>
      <c r="I194" s="193"/>
      <c r="J194" s="193"/>
      <c r="K194" s="194"/>
      <c r="L194" s="195"/>
      <c r="M194" s="483"/>
      <c r="N194" s="193"/>
      <c r="O194" s="410"/>
      <c r="P194" s="329"/>
    </row>
    <row r="195" spans="1:16" ht="19" hidden="1" customHeight="1">
      <c r="A195" s="891"/>
      <c r="B195" s="350">
        <f t="shared" ref="B195:C195" si="53">B75</f>
        <v>0</v>
      </c>
      <c r="C195" s="2">
        <f t="shared" si="53"/>
        <v>0</v>
      </c>
      <c r="D195" s="192"/>
      <c r="E195" s="193"/>
      <c r="F195" s="193"/>
      <c r="G195" s="193"/>
      <c r="H195" s="193"/>
      <c r="I195" s="193"/>
      <c r="J195" s="193"/>
      <c r="K195" s="194"/>
      <c r="L195" s="195"/>
      <c r="M195" s="483"/>
      <c r="N195" s="193"/>
      <c r="O195" s="410"/>
      <c r="P195" s="329"/>
    </row>
    <row r="196" spans="1:16" ht="19" hidden="1" customHeight="1">
      <c r="A196" s="891"/>
      <c r="B196" s="350">
        <f t="shared" ref="B196:C196" si="54">B76</f>
        <v>0</v>
      </c>
      <c r="C196" s="2">
        <f t="shared" si="54"/>
        <v>0</v>
      </c>
      <c r="D196" s="192"/>
      <c r="E196" s="193"/>
      <c r="F196" s="193"/>
      <c r="G196" s="193"/>
      <c r="H196" s="193"/>
      <c r="I196" s="193"/>
      <c r="J196" s="193"/>
      <c r="K196" s="194"/>
      <c r="L196" s="195"/>
      <c r="M196" s="483"/>
      <c r="N196" s="193"/>
      <c r="O196" s="410"/>
      <c r="P196" s="329"/>
    </row>
    <row r="197" spans="1:16" ht="19" hidden="1" customHeight="1">
      <c r="A197" s="891"/>
      <c r="B197" s="350">
        <f t="shared" ref="B197:C197" si="55">B77</f>
        <v>0</v>
      </c>
      <c r="C197" s="2">
        <f t="shared" si="55"/>
        <v>0</v>
      </c>
      <c r="D197" s="192"/>
      <c r="E197" s="193"/>
      <c r="F197" s="193"/>
      <c r="G197" s="193"/>
      <c r="H197" s="193"/>
      <c r="I197" s="193"/>
      <c r="J197" s="193"/>
      <c r="K197" s="194"/>
      <c r="L197" s="195"/>
      <c r="M197" s="483"/>
      <c r="N197" s="193"/>
      <c r="O197" s="410"/>
      <c r="P197" s="329"/>
    </row>
    <row r="198" spans="1:16" ht="19" hidden="1" customHeight="1">
      <c r="A198" s="891"/>
      <c r="B198" s="350">
        <f t="shared" ref="B198:C198" si="56">B78</f>
        <v>0</v>
      </c>
      <c r="C198" s="2">
        <f t="shared" si="56"/>
        <v>0</v>
      </c>
      <c r="D198" s="192"/>
      <c r="E198" s="193"/>
      <c r="F198" s="193"/>
      <c r="G198" s="193"/>
      <c r="H198" s="193"/>
      <c r="I198" s="193"/>
      <c r="J198" s="193"/>
      <c r="K198" s="194"/>
      <c r="L198" s="195"/>
      <c r="M198" s="483"/>
      <c r="N198" s="193"/>
      <c r="O198" s="410"/>
      <c r="P198" s="329"/>
    </row>
    <row r="199" spans="1:16" ht="19" hidden="1" customHeight="1">
      <c r="A199" s="891"/>
      <c r="B199" s="350">
        <f t="shared" ref="B199:C199" si="57">B79</f>
        <v>0</v>
      </c>
      <c r="C199" s="2">
        <f t="shared" si="57"/>
        <v>0</v>
      </c>
      <c r="D199" s="192"/>
      <c r="E199" s="193"/>
      <c r="F199" s="193"/>
      <c r="G199" s="193"/>
      <c r="H199" s="193"/>
      <c r="I199" s="193"/>
      <c r="J199" s="193"/>
      <c r="K199" s="194"/>
      <c r="L199" s="195"/>
      <c r="M199" s="483"/>
      <c r="N199" s="193"/>
      <c r="O199" s="410"/>
      <c r="P199" s="329"/>
    </row>
    <row r="200" spans="1:16" ht="19" hidden="1" customHeight="1">
      <c r="A200" s="891"/>
      <c r="B200" s="350">
        <f t="shared" ref="B200:C200" si="58">B80</f>
        <v>0</v>
      </c>
      <c r="C200" s="2">
        <f t="shared" si="58"/>
        <v>0</v>
      </c>
      <c r="D200" s="192"/>
      <c r="E200" s="193"/>
      <c r="F200" s="193"/>
      <c r="G200" s="193"/>
      <c r="H200" s="193"/>
      <c r="I200" s="193"/>
      <c r="J200" s="193"/>
      <c r="K200" s="194"/>
      <c r="L200" s="195"/>
      <c r="M200" s="483"/>
      <c r="N200" s="193"/>
      <c r="O200" s="410"/>
      <c r="P200" s="329"/>
    </row>
    <row r="201" spans="1:16" ht="19" hidden="1" customHeight="1">
      <c r="A201" s="891"/>
      <c r="B201" s="350">
        <f t="shared" ref="B201:C201" si="59">B81</f>
        <v>0</v>
      </c>
      <c r="C201" s="2">
        <f t="shared" si="59"/>
        <v>0</v>
      </c>
      <c r="D201" s="192"/>
      <c r="E201" s="193"/>
      <c r="F201" s="193"/>
      <c r="G201" s="193"/>
      <c r="H201" s="193"/>
      <c r="I201" s="193"/>
      <c r="J201" s="193"/>
      <c r="K201" s="194"/>
      <c r="L201" s="195"/>
      <c r="M201" s="483"/>
      <c r="N201" s="193"/>
      <c r="O201" s="410"/>
      <c r="P201" s="329"/>
    </row>
    <row r="202" spans="1:16" ht="19" hidden="1" customHeight="1">
      <c r="A202" s="891"/>
      <c r="B202" s="350">
        <f t="shared" ref="B202:C202" si="60">B82</f>
        <v>0</v>
      </c>
      <c r="C202" s="2">
        <f t="shared" si="60"/>
        <v>0</v>
      </c>
      <c r="D202" s="192"/>
      <c r="E202" s="193"/>
      <c r="F202" s="193"/>
      <c r="G202" s="193"/>
      <c r="H202" s="193"/>
      <c r="I202" s="193"/>
      <c r="J202" s="193"/>
      <c r="K202" s="194"/>
      <c r="L202" s="195"/>
      <c r="M202" s="483"/>
      <c r="N202" s="193"/>
      <c r="O202" s="410"/>
      <c r="P202" s="329"/>
    </row>
    <row r="203" spans="1:16" ht="19" hidden="1" customHeight="1">
      <c r="A203" s="891"/>
      <c r="B203" s="350">
        <f t="shared" ref="B203:C203" si="61">B83</f>
        <v>0</v>
      </c>
      <c r="C203" s="2">
        <f t="shared" si="61"/>
        <v>0</v>
      </c>
      <c r="D203" s="192"/>
      <c r="E203" s="193"/>
      <c r="F203" s="193"/>
      <c r="G203" s="193"/>
      <c r="H203" s="193"/>
      <c r="I203" s="193"/>
      <c r="J203" s="193"/>
      <c r="K203" s="194"/>
      <c r="L203" s="195"/>
      <c r="M203" s="483"/>
      <c r="N203" s="193"/>
      <c r="O203" s="410"/>
      <c r="P203" s="329"/>
    </row>
    <row r="204" spans="1:16" ht="19" hidden="1" customHeight="1">
      <c r="A204" s="891"/>
      <c r="B204" s="350">
        <f t="shared" ref="B204:C204" si="62">B84</f>
        <v>0</v>
      </c>
      <c r="C204" s="2">
        <f t="shared" si="62"/>
        <v>0</v>
      </c>
      <c r="D204" s="192"/>
      <c r="E204" s="193"/>
      <c r="F204" s="193"/>
      <c r="G204" s="193"/>
      <c r="H204" s="193"/>
      <c r="I204" s="193"/>
      <c r="J204" s="193"/>
      <c r="K204" s="194"/>
      <c r="L204" s="195"/>
      <c r="M204" s="483"/>
      <c r="N204" s="193"/>
      <c r="O204" s="410"/>
      <c r="P204" s="329"/>
    </row>
    <row r="205" spans="1:16" ht="19" hidden="1" customHeight="1">
      <c r="A205" s="891"/>
      <c r="B205" s="350">
        <f t="shared" ref="B205:C205" si="63">B85</f>
        <v>0</v>
      </c>
      <c r="C205" s="2">
        <f t="shared" si="63"/>
        <v>0</v>
      </c>
      <c r="D205" s="192"/>
      <c r="E205" s="193"/>
      <c r="F205" s="193"/>
      <c r="G205" s="193"/>
      <c r="H205" s="193"/>
      <c r="I205" s="193"/>
      <c r="J205" s="193"/>
      <c r="K205" s="194"/>
      <c r="L205" s="195"/>
      <c r="M205" s="483"/>
      <c r="N205" s="193"/>
      <c r="O205" s="410"/>
      <c r="P205" s="329"/>
    </row>
    <row r="206" spans="1:16" ht="19" hidden="1" customHeight="1">
      <c r="A206" s="891"/>
      <c r="B206" s="350">
        <f t="shared" ref="B206:C206" si="64">B86</f>
        <v>0</v>
      </c>
      <c r="C206" s="2">
        <f t="shared" si="64"/>
        <v>0</v>
      </c>
      <c r="D206" s="192"/>
      <c r="E206" s="193"/>
      <c r="F206" s="193"/>
      <c r="G206" s="193"/>
      <c r="H206" s="193"/>
      <c r="I206" s="193"/>
      <c r="J206" s="193"/>
      <c r="K206" s="194"/>
      <c r="L206" s="195"/>
      <c r="M206" s="483"/>
      <c r="N206" s="193"/>
      <c r="O206" s="410"/>
      <c r="P206" s="329"/>
    </row>
    <row r="207" spans="1:16" ht="19" hidden="1" customHeight="1">
      <c r="A207" s="891"/>
      <c r="B207" s="350">
        <f t="shared" ref="B207:C207" si="65">B87</f>
        <v>0</v>
      </c>
      <c r="C207" s="2">
        <f t="shared" si="65"/>
        <v>0</v>
      </c>
      <c r="D207" s="192"/>
      <c r="E207" s="193"/>
      <c r="F207" s="193"/>
      <c r="G207" s="193"/>
      <c r="H207" s="193"/>
      <c r="I207" s="193"/>
      <c r="J207" s="193"/>
      <c r="K207" s="194"/>
      <c r="L207" s="195"/>
      <c r="M207" s="483"/>
      <c r="N207" s="193"/>
      <c r="O207" s="410"/>
      <c r="P207" s="329"/>
    </row>
    <row r="208" spans="1:16" ht="19" hidden="1" customHeight="1">
      <c r="A208" s="891"/>
      <c r="B208" s="350">
        <f t="shared" ref="B208:C208" si="66">B88</f>
        <v>0</v>
      </c>
      <c r="C208" s="2">
        <f t="shared" si="66"/>
        <v>0</v>
      </c>
      <c r="D208" s="192"/>
      <c r="E208" s="193"/>
      <c r="F208" s="193"/>
      <c r="G208" s="193"/>
      <c r="H208" s="193"/>
      <c r="I208" s="193"/>
      <c r="J208" s="193"/>
      <c r="K208" s="194"/>
      <c r="L208" s="195"/>
      <c r="M208" s="483"/>
      <c r="N208" s="193"/>
      <c r="O208" s="410"/>
      <c r="P208" s="329"/>
    </row>
    <row r="209" spans="1:16" ht="19" hidden="1" customHeight="1">
      <c r="A209" s="891"/>
      <c r="B209" s="350">
        <f t="shared" ref="B209:C209" si="67">B89</f>
        <v>0</v>
      </c>
      <c r="C209" s="2">
        <f t="shared" si="67"/>
        <v>0</v>
      </c>
      <c r="D209" s="192"/>
      <c r="E209" s="193"/>
      <c r="F209" s="193"/>
      <c r="G209" s="193"/>
      <c r="H209" s="193"/>
      <c r="I209" s="193"/>
      <c r="J209" s="193"/>
      <c r="K209" s="194"/>
      <c r="L209" s="195"/>
      <c r="M209" s="483"/>
      <c r="N209" s="193"/>
      <c r="O209" s="410"/>
      <c r="P209" s="329"/>
    </row>
    <row r="210" spans="1:16" ht="19" hidden="1" customHeight="1">
      <c r="A210" s="891"/>
      <c r="B210" s="350">
        <f t="shared" ref="B210:C210" si="68">B90</f>
        <v>0</v>
      </c>
      <c r="C210" s="2">
        <f t="shared" si="68"/>
        <v>0</v>
      </c>
      <c r="D210" s="192"/>
      <c r="E210" s="193"/>
      <c r="F210" s="193"/>
      <c r="G210" s="193"/>
      <c r="H210" s="193"/>
      <c r="I210" s="193"/>
      <c r="J210" s="193"/>
      <c r="K210" s="194"/>
      <c r="L210" s="195"/>
      <c r="M210" s="483"/>
      <c r="N210" s="193"/>
      <c r="O210" s="410"/>
      <c r="P210" s="329"/>
    </row>
    <row r="211" spans="1:16" ht="19" hidden="1" customHeight="1">
      <c r="A211" s="891"/>
      <c r="B211" s="350">
        <f t="shared" ref="B211:C211" si="69">B91</f>
        <v>0</v>
      </c>
      <c r="C211" s="2">
        <f t="shared" si="69"/>
        <v>0</v>
      </c>
      <c r="D211" s="192"/>
      <c r="E211" s="193"/>
      <c r="F211" s="193"/>
      <c r="G211" s="193"/>
      <c r="H211" s="193"/>
      <c r="I211" s="193"/>
      <c r="J211" s="193"/>
      <c r="K211" s="194"/>
      <c r="L211" s="195"/>
      <c r="M211" s="483"/>
      <c r="N211" s="193"/>
      <c r="O211" s="410"/>
      <c r="P211" s="329"/>
    </row>
    <row r="212" spans="1:16" ht="19" hidden="1" customHeight="1">
      <c r="A212" s="891"/>
      <c r="B212" s="350">
        <f t="shared" ref="B212:C212" si="70">B92</f>
        <v>0</v>
      </c>
      <c r="C212" s="2">
        <f t="shared" si="70"/>
        <v>0</v>
      </c>
      <c r="D212" s="192"/>
      <c r="E212" s="193"/>
      <c r="F212" s="193"/>
      <c r="G212" s="193"/>
      <c r="H212" s="193"/>
      <c r="I212" s="193"/>
      <c r="J212" s="193"/>
      <c r="K212" s="194"/>
      <c r="L212" s="195"/>
      <c r="M212" s="483"/>
      <c r="N212" s="193"/>
      <c r="O212" s="410"/>
      <c r="P212" s="329"/>
    </row>
    <row r="213" spans="1:16" ht="19" hidden="1" customHeight="1">
      <c r="A213" s="891"/>
      <c r="B213" s="350">
        <f t="shared" ref="B213:C213" si="71">B93</f>
        <v>0</v>
      </c>
      <c r="C213" s="2">
        <f t="shared" si="71"/>
        <v>0</v>
      </c>
      <c r="D213" s="192"/>
      <c r="E213" s="193"/>
      <c r="F213" s="193"/>
      <c r="G213" s="193"/>
      <c r="H213" s="193"/>
      <c r="I213" s="193"/>
      <c r="J213" s="193"/>
      <c r="K213" s="194"/>
      <c r="L213" s="195"/>
      <c r="M213" s="483"/>
      <c r="N213" s="193"/>
      <c r="O213" s="410"/>
      <c r="P213" s="329"/>
    </row>
    <row r="214" spans="1:16" ht="19" hidden="1" customHeight="1">
      <c r="A214" s="891"/>
      <c r="B214" s="350">
        <f t="shared" ref="B214:C214" si="72">B94</f>
        <v>0</v>
      </c>
      <c r="C214" s="2">
        <f t="shared" si="72"/>
        <v>0</v>
      </c>
      <c r="D214" s="192"/>
      <c r="E214" s="193"/>
      <c r="F214" s="193"/>
      <c r="G214" s="193"/>
      <c r="H214" s="193"/>
      <c r="I214" s="193"/>
      <c r="J214" s="193"/>
      <c r="K214" s="194"/>
      <c r="L214" s="195"/>
      <c r="M214" s="483"/>
      <c r="N214" s="193"/>
      <c r="O214" s="410"/>
      <c r="P214" s="329"/>
    </row>
    <row r="215" spans="1:16" ht="19" hidden="1" customHeight="1">
      <c r="A215" s="891"/>
      <c r="B215" s="350">
        <f t="shared" ref="B215:C215" si="73">B95</f>
        <v>0</v>
      </c>
      <c r="C215" s="2">
        <f t="shared" si="73"/>
        <v>0</v>
      </c>
      <c r="D215" s="192"/>
      <c r="E215" s="193"/>
      <c r="F215" s="193"/>
      <c r="G215" s="193"/>
      <c r="H215" s="193"/>
      <c r="I215" s="193"/>
      <c r="J215" s="193"/>
      <c r="K215" s="194"/>
      <c r="L215" s="195"/>
      <c r="M215" s="483"/>
      <c r="N215" s="193"/>
      <c r="O215" s="410"/>
      <c r="P215" s="329"/>
    </row>
    <row r="216" spans="1:16" ht="19" hidden="1" customHeight="1">
      <c r="A216" s="891"/>
      <c r="B216" s="350">
        <f t="shared" ref="B216:C216" si="74">B96</f>
        <v>0</v>
      </c>
      <c r="C216" s="2">
        <f t="shared" si="74"/>
        <v>0</v>
      </c>
      <c r="D216" s="192"/>
      <c r="E216" s="193"/>
      <c r="F216" s="193"/>
      <c r="G216" s="193"/>
      <c r="H216" s="193"/>
      <c r="I216" s="193"/>
      <c r="J216" s="193"/>
      <c r="K216" s="194"/>
      <c r="L216" s="195"/>
      <c r="M216" s="483"/>
      <c r="N216" s="193"/>
      <c r="O216" s="410"/>
      <c r="P216" s="329"/>
    </row>
    <row r="217" spans="1:16" ht="19" hidden="1" customHeight="1">
      <c r="A217" s="891"/>
      <c r="B217" s="350">
        <f t="shared" ref="B217:C217" si="75">B97</f>
        <v>0</v>
      </c>
      <c r="C217" s="2">
        <f t="shared" si="75"/>
        <v>0</v>
      </c>
      <c r="D217" s="192"/>
      <c r="E217" s="193"/>
      <c r="F217" s="193"/>
      <c r="G217" s="193"/>
      <c r="H217" s="193"/>
      <c r="I217" s="193"/>
      <c r="J217" s="193"/>
      <c r="K217" s="194"/>
      <c r="L217" s="195"/>
      <c r="M217" s="483"/>
      <c r="N217" s="193"/>
      <c r="O217" s="410"/>
      <c r="P217" s="329"/>
    </row>
    <row r="218" spans="1:16" ht="19" hidden="1" customHeight="1">
      <c r="A218" s="891"/>
      <c r="B218" s="350">
        <f t="shared" ref="B218:C218" si="76">B98</f>
        <v>0</v>
      </c>
      <c r="C218" s="2">
        <f t="shared" si="76"/>
        <v>0</v>
      </c>
      <c r="D218" s="192"/>
      <c r="E218" s="193"/>
      <c r="F218" s="193"/>
      <c r="G218" s="193"/>
      <c r="H218" s="193"/>
      <c r="I218" s="193"/>
      <c r="J218" s="193"/>
      <c r="K218" s="194"/>
      <c r="L218" s="195"/>
      <c r="M218" s="483"/>
      <c r="N218" s="193"/>
      <c r="O218" s="410"/>
      <c r="P218" s="329"/>
    </row>
    <row r="219" spans="1:16" ht="19" hidden="1" customHeight="1">
      <c r="A219" s="891"/>
      <c r="B219" s="350">
        <f t="shared" ref="B219:C219" si="77">B99</f>
        <v>0</v>
      </c>
      <c r="C219" s="2">
        <f t="shared" si="77"/>
        <v>0</v>
      </c>
      <c r="D219" s="192"/>
      <c r="E219" s="193"/>
      <c r="F219" s="193"/>
      <c r="G219" s="193"/>
      <c r="H219" s="193"/>
      <c r="I219" s="193"/>
      <c r="J219" s="193"/>
      <c r="K219" s="194"/>
      <c r="L219" s="195"/>
      <c r="M219" s="483"/>
      <c r="N219" s="193"/>
      <c r="O219" s="410"/>
      <c r="P219" s="329"/>
    </row>
    <row r="220" spans="1:16" ht="19" hidden="1" customHeight="1">
      <c r="A220" s="891"/>
      <c r="B220" s="350">
        <f t="shared" ref="B220:C220" si="78">B100</f>
        <v>0</v>
      </c>
      <c r="C220" s="2">
        <f t="shared" si="78"/>
        <v>0</v>
      </c>
      <c r="D220" s="192"/>
      <c r="E220" s="193"/>
      <c r="F220" s="193"/>
      <c r="G220" s="193"/>
      <c r="H220" s="193"/>
      <c r="I220" s="193"/>
      <c r="J220" s="193"/>
      <c r="K220" s="194"/>
      <c r="L220" s="195"/>
      <c r="M220" s="483"/>
      <c r="N220" s="193"/>
      <c r="O220" s="410"/>
      <c r="P220" s="329"/>
    </row>
    <row r="221" spans="1:16" ht="19" hidden="1" customHeight="1">
      <c r="A221" s="891"/>
      <c r="B221" s="350">
        <f t="shared" ref="B221:C221" si="79">B101</f>
        <v>0</v>
      </c>
      <c r="C221" s="2">
        <f t="shared" si="79"/>
        <v>0</v>
      </c>
      <c r="D221" s="192"/>
      <c r="E221" s="193"/>
      <c r="F221" s="193"/>
      <c r="G221" s="193"/>
      <c r="H221" s="193"/>
      <c r="I221" s="193"/>
      <c r="J221" s="193"/>
      <c r="K221" s="194"/>
      <c r="L221" s="195"/>
      <c r="M221" s="483"/>
      <c r="N221" s="193"/>
      <c r="O221" s="410"/>
      <c r="P221" s="329"/>
    </row>
    <row r="222" spans="1:16" ht="19" hidden="1" customHeight="1">
      <c r="A222" s="891"/>
      <c r="B222" s="350">
        <f t="shared" ref="B222:C222" si="80">B102</f>
        <v>0</v>
      </c>
      <c r="C222" s="2">
        <f t="shared" si="80"/>
        <v>0</v>
      </c>
      <c r="D222" s="192"/>
      <c r="E222" s="193"/>
      <c r="F222" s="193"/>
      <c r="G222" s="193"/>
      <c r="H222" s="193"/>
      <c r="I222" s="193"/>
      <c r="J222" s="193"/>
      <c r="K222" s="194"/>
      <c r="L222" s="195"/>
      <c r="M222" s="483"/>
      <c r="N222" s="193"/>
      <c r="O222" s="410"/>
      <c r="P222" s="329"/>
    </row>
    <row r="223" spans="1:16" ht="19" hidden="1" customHeight="1">
      <c r="A223" s="891"/>
      <c r="B223" s="350">
        <f t="shared" ref="B223:C223" si="81">B103</f>
        <v>0</v>
      </c>
      <c r="C223" s="2">
        <f t="shared" si="81"/>
        <v>0</v>
      </c>
      <c r="D223" s="192"/>
      <c r="E223" s="193"/>
      <c r="F223" s="193"/>
      <c r="G223" s="193"/>
      <c r="H223" s="193"/>
      <c r="I223" s="193"/>
      <c r="J223" s="193"/>
      <c r="K223" s="194"/>
      <c r="L223" s="195"/>
      <c r="M223" s="483"/>
      <c r="N223" s="193"/>
      <c r="O223" s="410"/>
      <c r="P223" s="329"/>
    </row>
    <row r="224" spans="1:16" ht="19" hidden="1" customHeight="1">
      <c r="A224" s="891"/>
      <c r="B224" s="350">
        <f t="shared" ref="B224:C224" si="82">B104</f>
        <v>0</v>
      </c>
      <c r="C224" s="2">
        <f t="shared" si="82"/>
        <v>0</v>
      </c>
      <c r="D224" s="192"/>
      <c r="E224" s="193"/>
      <c r="F224" s="193"/>
      <c r="G224" s="193"/>
      <c r="H224" s="193"/>
      <c r="I224" s="193"/>
      <c r="J224" s="193"/>
      <c r="K224" s="194"/>
      <c r="L224" s="195"/>
      <c r="M224" s="483"/>
      <c r="N224" s="193"/>
      <c r="O224" s="410"/>
      <c r="P224" s="329"/>
    </row>
    <row r="225" spans="1:16" ht="19" hidden="1" customHeight="1">
      <c r="A225" s="891"/>
      <c r="B225" s="350">
        <f t="shared" ref="B225:C225" si="83">B105</f>
        <v>0</v>
      </c>
      <c r="C225" s="2">
        <f t="shared" si="83"/>
        <v>0</v>
      </c>
      <c r="D225" s="192"/>
      <c r="E225" s="193"/>
      <c r="F225" s="193"/>
      <c r="G225" s="193"/>
      <c r="H225" s="193"/>
      <c r="I225" s="193"/>
      <c r="J225" s="193"/>
      <c r="K225" s="194"/>
      <c r="L225" s="195"/>
      <c r="M225" s="483"/>
      <c r="N225" s="193"/>
      <c r="O225" s="410"/>
      <c r="P225" s="329"/>
    </row>
    <row r="226" spans="1:16" ht="19" hidden="1" customHeight="1">
      <c r="A226" s="891"/>
      <c r="B226" s="350">
        <f t="shared" ref="B226:C226" si="84">B106</f>
        <v>0</v>
      </c>
      <c r="C226" s="2">
        <f t="shared" si="84"/>
        <v>0</v>
      </c>
      <c r="D226" s="192"/>
      <c r="E226" s="193"/>
      <c r="F226" s="193"/>
      <c r="G226" s="193"/>
      <c r="H226" s="193"/>
      <c r="I226" s="193"/>
      <c r="J226" s="193"/>
      <c r="K226" s="194"/>
      <c r="L226" s="195"/>
      <c r="M226" s="483"/>
      <c r="N226" s="193"/>
      <c r="O226" s="410"/>
      <c r="P226" s="329"/>
    </row>
    <row r="227" spans="1:16" ht="19" hidden="1" customHeight="1">
      <c r="A227" s="891"/>
      <c r="B227" s="350">
        <f t="shared" ref="B227:C227" si="85">B107</f>
        <v>0</v>
      </c>
      <c r="C227" s="2">
        <f t="shared" si="85"/>
        <v>0</v>
      </c>
      <c r="D227" s="192"/>
      <c r="E227" s="193"/>
      <c r="F227" s="193"/>
      <c r="G227" s="193"/>
      <c r="H227" s="193"/>
      <c r="I227" s="193"/>
      <c r="J227" s="193"/>
      <c r="K227" s="194"/>
      <c r="L227" s="195"/>
      <c r="M227" s="483"/>
      <c r="N227" s="193"/>
      <c r="O227" s="410"/>
      <c r="P227" s="329"/>
    </row>
    <row r="228" spans="1:16" ht="19" hidden="1" customHeight="1">
      <c r="A228" s="891"/>
      <c r="B228" s="350">
        <f t="shared" ref="B228:C228" si="86">B108</f>
        <v>0</v>
      </c>
      <c r="C228" s="2">
        <f t="shared" si="86"/>
        <v>0</v>
      </c>
      <c r="D228" s="192"/>
      <c r="E228" s="193"/>
      <c r="F228" s="193"/>
      <c r="G228" s="193"/>
      <c r="H228" s="193"/>
      <c r="I228" s="193"/>
      <c r="J228" s="193"/>
      <c r="K228" s="194"/>
      <c r="L228" s="195"/>
      <c r="M228" s="483"/>
      <c r="N228" s="193"/>
      <c r="O228" s="410"/>
      <c r="P228" s="329"/>
    </row>
    <row r="229" spans="1:16" ht="19" hidden="1" customHeight="1">
      <c r="A229" s="891"/>
      <c r="B229" s="350">
        <f t="shared" ref="B229:C229" si="87">B109</f>
        <v>0</v>
      </c>
      <c r="C229" s="2">
        <f t="shared" si="87"/>
        <v>0</v>
      </c>
      <c r="D229" s="192"/>
      <c r="E229" s="193"/>
      <c r="F229" s="193"/>
      <c r="G229" s="193"/>
      <c r="H229" s="193"/>
      <c r="I229" s="193"/>
      <c r="J229" s="193"/>
      <c r="K229" s="194"/>
      <c r="L229" s="195"/>
      <c r="M229" s="483"/>
      <c r="N229" s="193"/>
      <c r="O229" s="410"/>
      <c r="P229" s="329"/>
    </row>
    <row r="230" spans="1:16" ht="19" hidden="1" customHeight="1">
      <c r="A230" s="891"/>
      <c r="B230" s="350">
        <f t="shared" ref="B230:C230" si="88">B110</f>
        <v>0</v>
      </c>
      <c r="C230" s="2">
        <f t="shared" si="88"/>
        <v>0</v>
      </c>
      <c r="D230" s="192"/>
      <c r="E230" s="193"/>
      <c r="F230" s="193"/>
      <c r="G230" s="193"/>
      <c r="H230" s="193"/>
      <c r="I230" s="193"/>
      <c r="J230" s="193"/>
      <c r="K230" s="194"/>
      <c r="L230" s="195"/>
      <c r="M230" s="483"/>
      <c r="N230" s="193"/>
      <c r="O230" s="410"/>
      <c r="P230" s="329"/>
    </row>
    <row r="231" spans="1:16" ht="19" hidden="1" customHeight="1">
      <c r="A231" s="891"/>
      <c r="B231" s="350">
        <f t="shared" ref="B231:C231" si="89">B111</f>
        <v>0</v>
      </c>
      <c r="C231" s="2">
        <f t="shared" si="89"/>
        <v>0</v>
      </c>
      <c r="D231" s="192"/>
      <c r="E231" s="193"/>
      <c r="F231" s="193"/>
      <c r="G231" s="193"/>
      <c r="H231" s="193"/>
      <c r="I231" s="193"/>
      <c r="J231" s="193"/>
      <c r="K231" s="194"/>
      <c r="L231" s="195"/>
      <c r="M231" s="483"/>
      <c r="N231" s="193"/>
      <c r="O231" s="410"/>
      <c r="P231" s="329"/>
    </row>
    <row r="232" spans="1:16" ht="19" hidden="1" customHeight="1">
      <c r="A232" s="891"/>
      <c r="B232" s="350">
        <f t="shared" ref="B232:C232" si="90">B112</f>
        <v>0</v>
      </c>
      <c r="C232" s="2">
        <f t="shared" si="90"/>
        <v>0</v>
      </c>
      <c r="D232" s="192"/>
      <c r="E232" s="193"/>
      <c r="F232" s="193"/>
      <c r="G232" s="193"/>
      <c r="H232" s="193"/>
      <c r="I232" s="193"/>
      <c r="J232" s="193"/>
      <c r="K232" s="194"/>
      <c r="L232" s="195"/>
      <c r="M232" s="483"/>
      <c r="N232" s="193"/>
      <c r="O232" s="410"/>
      <c r="P232" s="329"/>
    </row>
    <row r="233" spans="1:16" ht="19" hidden="1" customHeight="1">
      <c r="A233" s="891"/>
      <c r="B233" s="350">
        <f t="shared" ref="B233:C233" si="91">B113</f>
        <v>0</v>
      </c>
      <c r="C233" s="2">
        <f t="shared" si="91"/>
        <v>0</v>
      </c>
      <c r="D233" s="192"/>
      <c r="E233" s="193"/>
      <c r="F233" s="193"/>
      <c r="G233" s="193"/>
      <c r="H233" s="193"/>
      <c r="I233" s="193"/>
      <c r="J233" s="193"/>
      <c r="K233" s="194"/>
      <c r="L233" s="195"/>
      <c r="M233" s="483"/>
      <c r="N233" s="193"/>
      <c r="O233" s="410"/>
      <c r="P233" s="329"/>
    </row>
    <row r="234" spans="1:16" ht="19" hidden="1" customHeight="1">
      <c r="A234" s="891"/>
      <c r="B234" s="350">
        <f t="shared" ref="B234:C234" si="92">B114</f>
        <v>0</v>
      </c>
      <c r="C234" s="2">
        <f t="shared" si="92"/>
        <v>0</v>
      </c>
      <c r="D234" s="192"/>
      <c r="E234" s="193"/>
      <c r="F234" s="193"/>
      <c r="G234" s="193"/>
      <c r="H234" s="193"/>
      <c r="I234" s="193"/>
      <c r="J234" s="193"/>
      <c r="K234" s="194"/>
      <c r="L234" s="195"/>
      <c r="M234" s="483"/>
      <c r="N234" s="193"/>
      <c r="O234" s="410"/>
      <c r="P234" s="329"/>
    </row>
    <row r="235" spans="1:16" ht="19" hidden="1" customHeight="1">
      <c r="A235" s="891"/>
      <c r="B235" s="350">
        <f t="shared" ref="B235:C235" si="93">B115</f>
        <v>0</v>
      </c>
      <c r="C235" s="2">
        <f t="shared" si="93"/>
        <v>0</v>
      </c>
      <c r="D235" s="192"/>
      <c r="E235" s="193"/>
      <c r="F235" s="193"/>
      <c r="G235" s="193"/>
      <c r="H235" s="193"/>
      <c r="I235" s="193"/>
      <c r="J235" s="193"/>
      <c r="K235" s="194"/>
      <c r="L235" s="195"/>
      <c r="M235" s="483"/>
      <c r="N235" s="193"/>
      <c r="O235" s="410"/>
      <c r="P235" s="329"/>
    </row>
    <row r="236" spans="1:16" ht="19" hidden="1" customHeight="1">
      <c r="A236" s="891"/>
      <c r="B236" s="350">
        <f t="shared" ref="B236:C236" si="94">B116</f>
        <v>0</v>
      </c>
      <c r="C236" s="2">
        <f t="shared" si="94"/>
        <v>0</v>
      </c>
      <c r="D236" s="192"/>
      <c r="E236" s="193"/>
      <c r="F236" s="193"/>
      <c r="G236" s="193"/>
      <c r="H236" s="193"/>
      <c r="I236" s="193"/>
      <c r="J236" s="193"/>
      <c r="K236" s="194"/>
      <c r="L236" s="195"/>
      <c r="M236" s="483"/>
      <c r="N236" s="193"/>
      <c r="O236" s="410"/>
      <c r="P236" s="329"/>
    </row>
    <row r="237" spans="1:16" ht="19" hidden="1" customHeight="1">
      <c r="A237" s="891"/>
      <c r="B237" s="350">
        <f t="shared" ref="B237:C237" si="95">B117</f>
        <v>0</v>
      </c>
      <c r="C237" s="2">
        <f t="shared" si="95"/>
        <v>0</v>
      </c>
      <c r="D237" s="192"/>
      <c r="E237" s="193"/>
      <c r="F237" s="193"/>
      <c r="G237" s="193"/>
      <c r="H237" s="193"/>
      <c r="I237" s="193"/>
      <c r="J237" s="193"/>
      <c r="K237" s="194"/>
      <c r="L237" s="195"/>
      <c r="M237" s="483"/>
      <c r="N237" s="193"/>
      <c r="O237" s="410"/>
      <c r="P237" s="329"/>
    </row>
    <row r="238" spans="1:16" ht="19" hidden="1" customHeight="1">
      <c r="A238" s="891"/>
      <c r="B238" s="350">
        <f t="shared" ref="B238:C238" si="96">B118</f>
        <v>0</v>
      </c>
      <c r="C238" s="2">
        <f t="shared" si="96"/>
        <v>0</v>
      </c>
      <c r="D238" s="192"/>
      <c r="E238" s="193"/>
      <c r="F238" s="193"/>
      <c r="G238" s="193"/>
      <c r="H238" s="193"/>
      <c r="I238" s="193"/>
      <c r="J238" s="193"/>
      <c r="K238" s="194"/>
      <c r="L238" s="195"/>
      <c r="M238" s="483"/>
      <c r="N238" s="193"/>
      <c r="O238" s="410"/>
      <c r="P238" s="329"/>
    </row>
    <row r="239" spans="1:16" ht="19" hidden="1" customHeight="1">
      <c r="A239" s="891"/>
      <c r="B239" s="350">
        <f t="shared" ref="B239:C239" si="97">B119</f>
        <v>0</v>
      </c>
      <c r="C239" s="2">
        <f t="shared" si="97"/>
        <v>0</v>
      </c>
      <c r="D239" s="192"/>
      <c r="E239" s="193"/>
      <c r="F239" s="193"/>
      <c r="G239" s="193"/>
      <c r="H239" s="193"/>
      <c r="I239" s="193"/>
      <c r="J239" s="193"/>
      <c r="K239" s="194"/>
      <c r="L239" s="195"/>
      <c r="M239" s="483"/>
      <c r="N239" s="193"/>
      <c r="O239" s="410"/>
      <c r="P239" s="329"/>
    </row>
    <row r="240" spans="1:16" ht="19" hidden="1" customHeight="1">
      <c r="A240" s="891"/>
      <c r="B240" s="350">
        <f t="shared" ref="B240:C240" si="98">B120</f>
        <v>0</v>
      </c>
      <c r="C240" s="2">
        <f t="shared" si="98"/>
        <v>0</v>
      </c>
      <c r="D240" s="192"/>
      <c r="E240" s="193"/>
      <c r="F240" s="193"/>
      <c r="G240" s="193"/>
      <c r="H240" s="193"/>
      <c r="I240" s="193"/>
      <c r="J240" s="193"/>
      <c r="K240" s="194"/>
      <c r="L240" s="195"/>
      <c r="M240" s="483"/>
      <c r="N240" s="193"/>
      <c r="O240" s="410"/>
      <c r="P240" s="329"/>
    </row>
    <row r="241" spans="1:20" ht="19" hidden="1" customHeight="1">
      <c r="A241" s="891"/>
      <c r="B241" s="350">
        <f t="shared" ref="B241:C241" si="99">B121</f>
        <v>0</v>
      </c>
      <c r="C241" s="2">
        <f t="shared" si="99"/>
        <v>0</v>
      </c>
      <c r="D241" s="192"/>
      <c r="E241" s="193"/>
      <c r="F241" s="193"/>
      <c r="G241" s="193"/>
      <c r="H241" s="193"/>
      <c r="I241" s="193"/>
      <c r="J241" s="193"/>
      <c r="K241" s="194"/>
      <c r="L241" s="195"/>
      <c r="M241" s="483"/>
      <c r="N241" s="193"/>
      <c r="O241" s="410"/>
      <c r="P241" s="329"/>
    </row>
    <row r="242" spans="1:20" ht="19" hidden="1" customHeight="1">
      <c r="A242" s="891"/>
      <c r="B242" s="350">
        <f t="shared" ref="B242:C242" si="100">B122</f>
        <v>0</v>
      </c>
      <c r="C242" s="2">
        <f t="shared" si="100"/>
        <v>0</v>
      </c>
      <c r="D242" s="192"/>
      <c r="E242" s="193"/>
      <c r="F242" s="193"/>
      <c r="G242" s="193"/>
      <c r="H242" s="193"/>
      <c r="I242" s="193"/>
      <c r="J242" s="193"/>
      <c r="K242" s="194"/>
      <c r="L242" s="195"/>
      <c r="M242" s="483"/>
      <c r="N242" s="193"/>
      <c r="O242" s="410"/>
      <c r="P242" s="329"/>
    </row>
    <row r="243" spans="1:20" ht="19" hidden="1" customHeight="1">
      <c r="A243" s="891"/>
      <c r="B243" s="350">
        <f t="shared" ref="B243:C243" si="101">B123</f>
        <v>0</v>
      </c>
      <c r="C243" s="2">
        <f t="shared" si="101"/>
        <v>0</v>
      </c>
      <c r="D243" s="192"/>
      <c r="E243" s="193"/>
      <c r="F243" s="193"/>
      <c r="G243" s="193"/>
      <c r="H243" s="193"/>
      <c r="I243" s="193"/>
      <c r="J243" s="193"/>
      <c r="K243" s="194"/>
      <c r="L243" s="195"/>
      <c r="M243" s="483"/>
      <c r="N243" s="193"/>
      <c r="O243" s="410"/>
      <c r="P243" s="329"/>
    </row>
    <row r="244" spans="1:20" ht="19" hidden="1" customHeight="1">
      <c r="A244" s="891"/>
      <c r="B244" s="350">
        <f t="shared" ref="B244:C244" si="102">B124</f>
        <v>0</v>
      </c>
      <c r="C244" s="2">
        <f t="shared" si="102"/>
        <v>0</v>
      </c>
      <c r="D244" s="192"/>
      <c r="E244" s="193"/>
      <c r="F244" s="193"/>
      <c r="G244" s="193"/>
      <c r="H244" s="193"/>
      <c r="I244" s="193"/>
      <c r="J244" s="193"/>
      <c r="K244" s="194"/>
      <c r="L244" s="195"/>
      <c r="M244" s="483"/>
      <c r="N244" s="193"/>
      <c r="O244" s="410"/>
      <c r="P244" s="329"/>
    </row>
    <row r="245" spans="1:20" ht="19" customHeight="1">
      <c r="A245" s="891"/>
      <c r="B245" s="350"/>
      <c r="C245" s="2"/>
      <c r="D245" s="192"/>
      <c r="E245" s="193"/>
      <c r="F245" s="193"/>
      <c r="G245" s="193"/>
      <c r="H245" s="193"/>
      <c r="I245" s="193"/>
      <c r="J245" s="193"/>
      <c r="K245" s="194"/>
      <c r="L245" s="195"/>
      <c r="M245" s="483"/>
      <c r="N245" s="193"/>
      <c r="O245" s="410"/>
      <c r="P245" s="329"/>
    </row>
    <row r="246" spans="1:20" ht="16">
      <c r="A246" s="461"/>
      <c r="B246" s="2"/>
      <c r="C246" s="2"/>
      <c r="E246" s="173"/>
      <c r="F246" s="173"/>
      <c r="I246" s="176" t="s">
        <v>153</v>
      </c>
      <c r="J246" s="177">
        <f>SUM(J130:J244)</f>
        <v>0</v>
      </c>
      <c r="K246" s="177">
        <f>SUM(K130:K244)</f>
        <v>0</v>
      </c>
      <c r="L246" s="178"/>
      <c r="M246" s="177">
        <f>SUM(M130:M244)</f>
        <v>0</v>
      </c>
      <c r="N246" s="177">
        <f>SUM(N130:N244)</f>
        <v>0</v>
      </c>
      <c r="O246" s="405"/>
      <c r="P246" s="406"/>
      <c r="R246" s="172"/>
    </row>
    <row r="247" spans="1:20">
      <c r="A247" s="391"/>
      <c r="B247" s="2"/>
      <c r="C247" s="2"/>
      <c r="E247" s="173"/>
      <c r="F247" s="173"/>
      <c r="N247" s="196"/>
      <c r="O247" s="174"/>
      <c r="R247" s="172"/>
    </row>
    <row r="248" spans="1:20" ht="14" thickBot="1">
      <c r="A248" s="390"/>
      <c r="E248" s="173"/>
      <c r="F248" s="173"/>
      <c r="N248" s="196"/>
      <c r="O248" s="174"/>
      <c r="R248" s="172"/>
    </row>
    <row r="249" spans="1:20" s="599" customFormat="1" ht="42" customHeight="1" thickBot="1">
      <c r="A249" s="598"/>
      <c r="B249" s="597" t="s">
        <v>463</v>
      </c>
      <c r="C249" s="595"/>
      <c r="D249" s="595" t="s">
        <v>993</v>
      </c>
      <c r="E249" s="593" t="s">
        <v>994</v>
      </c>
      <c r="F249" s="593" t="s">
        <v>995</v>
      </c>
      <c r="G249" s="593" t="s">
        <v>996</v>
      </c>
      <c r="H249" s="593" t="s">
        <v>997</v>
      </c>
      <c r="I249" s="593" t="s">
        <v>998</v>
      </c>
      <c r="J249" s="593"/>
      <c r="K249" s="593" t="s">
        <v>999</v>
      </c>
      <c r="L249" s="593" t="s">
        <v>1000</v>
      </c>
      <c r="M249" s="593" t="s">
        <v>1001</v>
      </c>
      <c r="N249" s="596" t="s">
        <v>1002</v>
      </c>
      <c r="O249" s="325"/>
      <c r="P249" s="325"/>
      <c r="Q249" s="325"/>
      <c r="R249" s="325"/>
      <c r="S249" s="325"/>
      <c r="T249" s="325"/>
    </row>
    <row r="250" spans="1:20">
      <c r="A250" s="390"/>
      <c r="B250" s="336"/>
      <c r="E250" s="173"/>
      <c r="F250" s="173"/>
      <c r="R250" s="172"/>
    </row>
    <row r="251" spans="1:20">
      <c r="A251" s="390"/>
      <c r="B251" s="182">
        <v>1</v>
      </c>
      <c r="C251" s="328"/>
      <c r="D251" s="192">
        <f ca="1">SUMIF($A$131:$N$136,$B251,$D$131:$D$136)</f>
        <v>0</v>
      </c>
      <c r="E251" s="192">
        <f ca="1">SUMIF($A$131:$N$244,$B251,$E$131:$E$244)</f>
        <v>0</v>
      </c>
      <c r="F251" s="192">
        <f ca="1">SUMIF($A$131:$N$244,$B251,$F$131:$F$244)</f>
        <v>0</v>
      </c>
      <c r="G251" s="192">
        <f ca="1">SUMIF($A$131:$N$244,$B251,$H$131:$H$244)</f>
        <v>0</v>
      </c>
      <c r="H251" s="192">
        <f ca="1">SUMIF($A$131:$N$244,$B251,$I$131:$I$244)</f>
        <v>0</v>
      </c>
      <c r="I251" s="192">
        <f ca="1">SUMIF($A$131:$N$244,$B251,$J$131:$J$244)</f>
        <v>0</v>
      </c>
      <c r="J251" s="192"/>
      <c r="K251" s="192">
        <f ca="1">SUMIF($A$131:$N$244,$B251,$K$131:$K$244)</f>
        <v>0</v>
      </c>
      <c r="L251" s="192"/>
      <c r="M251" s="192">
        <f ca="1">SUMIF($A$131:$N$244,$B251,$M$131:$M$244)</f>
        <v>0</v>
      </c>
      <c r="N251" s="192">
        <f ca="1">SUMIF($A$131:$N$244,$B251,$N$131:$N$244)</f>
        <v>0</v>
      </c>
      <c r="P251" s="325"/>
      <c r="R251" s="172"/>
    </row>
    <row r="252" spans="1:20">
      <c r="A252" s="390"/>
      <c r="B252" s="182">
        <v>2</v>
      </c>
      <c r="C252" s="328"/>
      <c r="D252" s="192">
        <f ca="1">SUMIF($A$131:$N$136,$B252,$D$131:$D$136)</f>
        <v>0</v>
      </c>
      <c r="E252" s="192">
        <f ca="1">SUMIF($A$131:$N$244,$B252,$E$131:$E$244)</f>
        <v>0</v>
      </c>
      <c r="F252" s="192">
        <f ca="1">SUMIF($A$131:$N$244,$B252,$F$131:$F$244)</f>
        <v>0</v>
      </c>
      <c r="G252" s="192">
        <f t="shared" ref="G252:G254" ca="1" si="103">SUMIF($A$131:$N$244,$B252,$H$131:$H$244)</f>
        <v>0</v>
      </c>
      <c r="H252" s="192">
        <f t="shared" ref="H252:H254" ca="1" si="104">SUMIF($A$131:$N$244,$B252,$I$131:$I$244)</f>
        <v>0</v>
      </c>
      <c r="I252" s="192">
        <f t="shared" ref="I252:I254" ca="1" si="105">SUMIF($A$131:$N$244,$B252,$J$131:$J$244)</f>
        <v>0</v>
      </c>
      <c r="J252" s="192"/>
      <c r="K252" s="192">
        <f t="shared" ref="K252:K254" ca="1" si="106">SUMIF($A$131:$N$244,$B252,$K$131:$K$244)</f>
        <v>0</v>
      </c>
      <c r="L252" s="192"/>
      <c r="M252" s="192">
        <f t="shared" ref="M252:M254" ca="1" si="107">SUMIF($A$131:$N$244,$B252,$M$131:$M$244)</f>
        <v>0</v>
      </c>
      <c r="N252" s="192">
        <f t="shared" ref="N252:N254" ca="1" si="108">SUMIF($A$131:$N$244,$B252,$N$131:$N$244)</f>
        <v>0</v>
      </c>
      <c r="P252" s="325"/>
      <c r="R252" s="172"/>
    </row>
    <row r="253" spans="1:20">
      <c r="A253" s="390"/>
      <c r="B253" s="182">
        <v>3</v>
      </c>
      <c r="C253" s="328"/>
      <c r="D253" s="192">
        <f ca="1">SUMIF($A$131:$N$136,$B253,$D$131:$D$136)</f>
        <v>0</v>
      </c>
      <c r="E253" s="192">
        <f ca="1">SUMIF($A$131:$N$244,$B253,$E$131:$E$244)</f>
        <v>0</v>
      </c>
      <c r="F253" s="192">
        <f ca="1">SUMIF($A$131:$N$244,$B253,$F$131:$F$244)</f>
        <v>0</v>
      </c>
      <c r="G253" s="192">
        <f t="shared" ca="1" si="103"/>
        <v>0</v>
      </c>
      <c r="H253" s="192">
        <f t="shared" ca="1" si="104"/>
        <v>0</v>
      </c>
      <c r="I253" s="192">
        <f t="shared" ca="1" si="105"/>
        <v>0</v>
      </c>
      <c r="J253" s="192"/>
      <c r="K253" s="192">
        <f t="shared" ca="1" si="106"/>
        <v>0</v>
      </c>
      <c r="L253" s="192"/>
      <c r="M253" s="192">
        <f t="shared" ca="1" si="107"/>
        <v>0</v>
      </c>
      <c r="N253" s="192">
        <f t="shared" ca="1" si="108"/>
        <v>0</v>
      </c>
      <c r="P253" s="325"/>
      <c r="R253" s="172"/>
    </row>
    <row r="254" spans="1:20">
      <c r="A254" s="390"/>
      <c r="B254" s="182">
        <v>4</v>
      </c>
      <c r="C254" s="328"/>
      <c r="D254" s="192">
        <f ca="1">SUMIF($A$131:$N$136,$B254,$D$131:$D$136)</f>
        <v>0</v>
      </c>
      <c r="E254" s="192">
        <f ca="1">SUMIF($A$131:$N$244,$B254,$E$131:$E$244)</f>
        <v>0</v>
      </c>
      <c r="F254" s="192">
        <f ca="1">SUMIF($A$131:$N$244,$B254,$F$131:$F$244)</f>
        <v>0</v>
      </c>
      <c r="G254" s="192">
        <f t="shared" ca="1" si="103"/>
        <v>0</v>
      </c>
      <c r="H254" s="192">
        <f t="shared" ca="1" si="104"/>
        <v>0</v>
      </c>
      <c r="I254" s="192">
        <f t="shared" ca="1" si="105"/>
        <v>0</v>
      </c>
      <c r="J254" s="192"/>
      <c r="K254" s="192">
        <f t="shared" ca="1" si="106"/>
        <v>0</v>
      </c>
      <c r="L254" s="192"/>
      <c r="M254" s="192">
        <f t="shared" ca="1" si="107"/>
        <v>0</v>
      </c>
      <c r="N254" s="192">
        <f t="shared" ca="1" si="108"/>
        <v>0</v>
      </c>
      <c r="P254" s="325"/>
      <c r="R254" s="172"/>
    </row>
    <row r="255" spans="1:20">
      <c r="A255" s="390"/>
      <c r="B255" s="182"/>
      <c r="C255" s="328"/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P255" s="325"/>
      <c r="R255" s="172"/>
    </row>
    <row r="256" spans="1:20">
      <c r="A256" s="390"/>
      <c r="B256" s="337"/>
      <c r="C256" s="2"/>
      <c r="D256" s="2"/>
      <c r="E256" s="186"/>
      <c r="F256" s="186"/>
      <c r="G256" s="2"/>
      <c r="H256" s="2"/>
      <c r="I256" s="2"/>
      <c r="J256" s="2"/>
      <c r="K256" s="2"/>
      <c r="L256" s="2"/>
      <c r="M256" s="2"/>
      <c r="N256" s="2"/>
      <c r="P256" s="406"/>
      <c r="R256" s="172"/>
    </row>
    <row r="257" spans="1:20" ht="23" customHeight="1" thickBot="1">
      <c r="A257" s="390"/>
      <c r="B257" s="2"/>
      <c r="C257" s="2"/>
      <c r="D257" s="2"/>
      <c r="E257" s="186"/>
      <c r="F257" s="187"/>
      <c r="G257" s="187"/>
      <c r="H257" s="188" t="s">
        <v>153</v>
      </c>
      <c r="I257" s="189">
        <f ca="1">SUM(I251:I256)</f>
        <v>0</v>
      </c>
      <c r="J257" s="189"/>
      <c r="K257" s="189">
        <f ca="1">SUM(K251:K256)</f>
        <v>0</v>
      </c>
      <c r="L257" s="188" t="s">
        <v>153</v>
      </c>
      <c r="M257" s="189">
        <f ca="1">SUM(M251:M256)</f>
        <v>0</v>
      </c>
      <c r="N257" s="189">
        <f ca="1">SUM(N251:N256)</f>
        <v>0</v>
      </c>
      <c r="R257" s="172"/>
    </row>
    <row r="258" spans="1:20" s="175" customFormat="1" ht="35" customHeight="1" thickBot="1">
      <c r="B258" s="597" t="s">
        <v>463</v>
      </c>
      <c r="C258" s="595" t="s">
        <v>1003</v>
      </c>
      <c r="D258" s="595" t="s">
        <v>1006</v>
      </c>
      <c r="E258" s="593" t="s">
        <v>1004</v>
      </c>
      <c r="F258" s="593" t="s">
        <v>1005</v>
      </c>
      <c r="G258" s="596" t="s">
        <v>1007</v>
      </c>
      <c r="H258" s="171"/>
      <c r="I258" s="196"/>
      <c r="J258" s="196"/>
      <c r="K258" s="171"/>
      <c r="L258" s="171"/>
      <c r="M258" s="171"/>
      <c r="N258" s="196" t="s">
        <v>118</v>
      </c>
      <c r="O258" s="174"/>
      <c r="P258" s="410"/>
      <c r="Q258" s="174"/>
      <c r="R258" s="174"/>
      <c r="S258" s="174"/>
      <c r="T258" s="174"/>
    </row>
    <row r="259" spans="1:20">
      <c r="B259" s="296"/>
      <c r="E259" s="173"/>
      <c r="F259" s="173"/>
      <c r="I259" s="196"/>
      <c r="J259" s="196"/>
      <c r="R259" s="172"/>
    </row>
    <row r="260" spans="1:20">
      <c r="B260" s="182">
        <v>1</v>
      </c>
      <c r="C260" s="190">
        <f ca="1">SUMIF($A$11:$E$124,$B260,$E$11:$E$124)+SUMIF($A$11:$E$124,$B260,$F$11:$F$124)</f>
        <v>0</v>
      </c>
      <c r="D260" s="191">
        <f>SUMIF($A$11:$A$124,$B260,$H$11:$H$124)+SUMIF($A$11:$A$124,$B260,$J$11:$J$124)</f>
        <v>0</v>
      </c>
      <c r="E260" s="191">
        <f>SUMIF($A$11:$A$124,$B260,$I$11:$I$124)</f>
        <v>0</v>
      </c>
      <c r="F260" s="191">
        <f>SUMIF($A$11:$A$124,$B260,$L$11:$L$124)</f>
        <v>0</v>
      </c>
      <c r="G260" s="191">
        <f>SUMIF($A$11:$A$124,$B260,$M$11:$M$124)</f>
        <v>0</v>
      </c>
      <c r="H260" s="173"/>
      <c r="I260" s="196"/>
      <c r="J260" s="196"/>
      <c r="R260" s="172"/>
    </row>
    <row r="261" spans="1:20">
      <c r="B261" s="182">
        <v>2</v>
      </c>
      <c r="C261" s="190">
        <f ca="1">SUMIF($A$11:$E$124,$B261,$E$11:$E$124)+SUMIF($A$11:$E$124,$B261,$F$11:$F$124)</f>
        <v>8393.1999999999989</v>
      </c>
      <c r="D261" s="191">
        <f>SUMIF($A$11:$A$124,$B261,$H$11:$H$124)+SUMIF($A$11:$A$124,$B261,$J$11:$J$124)</f>
        <v>0</v>
      </c>
      <c r="E261" s="191">
        <f>SUMIF($A$11:$A$124,$B261,$I$11:$I$124)</f>
        <v>0</v>
      </c>
      <c r="F261" s="191">
        <f>SUMIF($A$11:$A$124,$B261,$L$11:$L$124)</f>
        <v>0</v>
      </c>
      <c r="G261" s="191">
        <f>SUMIF($A$11:$A$124,$B261,$M$11:$M$124)</f>
        <v>3611.2500000000005</v>
      </c>
      <c r="H261" s="173"/>
      <c r="I261" s="196"/>
      <c r="J261" s="196"/>
      <c r="R261" s="172"/>
    </row>
    <row r="262" spans="1:20">
      <c r="B262" s="182">
        <v>3</v>
      </c>
      <c r="C262" s="190">
        <f ca="1">SUMIF($A$11:$E$124,$B262,$E$11:$E$124)+SUMIF($A$11:$E$124,$B262,$F$11:$F$124)</f>
        <v>0</v>
      </c>
      <c r="D262" s="191">
        <f>SUMIF($A$11:$A$124,$B262,$H$11:$H$124)+SUMIF($A$11:$A$124,$B262,$J$11:$J$124)</f>
        <v>0</v>
      </c>
      <c r="E262" s="191">
        <f>SUMIF($A$11:$A$124,$B262,$I$11:$I$124)</f>
        <v>0</v>
      </c>
      <c r="F262" s="191">
        <f>SUMIF($A$11:$A$124,$B262,$L$11:$L$124)</f>
        <v>0</v>
      </c>
      <c r="G262" s="191">
        <f>SUMIF($A$11:$A$124,$B262,$M$11:$M$124)</f>
        <v>0</v>
      </c>
      <c r="H262" s="173"/>
      <c r="I262" s="196"/>
      <c r="J262" s="196"/>
      <c r="R262" s="172"/>
    </row>
    <row r="263" spans="1:20">
      <c r="B263" s="182">
        <v>4</v>
      </c>
      <c r="C263" s="190">
        <f ca="1">SUMIF($A$11:$E$124,$B263,$E$11:$E$124)+SUMIF($A$11:$E$124,$B263,$F$11:$F$124)</f>
        <v>0</v>
      </c>
      <c r="D263" s="191">
        <f>SUMIF($A$11:$A$124,$B263,$H$11:$H$124)+SUMIF($A$11:$A$124,$B263,$J$11:$J$124)</f>
        <v>0</v>
      </c>
      <c r="E263" s="191">
        <f>SUMIF($A$11:$A$124,$B263,$I$11:$I$124)</f>
        <v>0</v>
      </c>
      <c r="F263" s="191">
        <f>SUMIF($A$11:$A$124,$B263,$L$11:$L$124)</f>
        <v>0</v>
      </c>
      <c r="G263" s="191">
        <f>SUMIF($A$11:$A$124,$B263,$M$11:$M$124)</f>
        <v>0</v>
      </c>
      <c r="H263" s="173"/>
      <c r="I263" s="196"/>
      <c r="J263" s="196"/>
      <c r="R263" s="172"/>
    </row>
    <row r="264" spans="1:20">
      <c r="B264" s="296"/>
      <c r="C264" s="190"/>
      <c r="D264" s="191"/>
      <c r="E264" s="191"/>
      <c r="F264" s="191"/>
      <c r="G264" s="191"/>
      <c r="I264" s="196"/>
      <c r="J264" s="196"/>
      <c r="R264" s="172"/>
    </row>
    <row r="265" spans="1:20">
      <c r="B265" s="338"/>
      <c r="C265" s="339"/>
      <c r="D265" s="339"/>
      <c r="E265" s="339"/>
      <c r="F265" s="339"/>
      <c r="G265" s="339"/>
      <c r="H265" s="339"/>
      <c r="M265" s="179"/>
      <c r="R265" s="172"/>
    </row>
    <row r="266" spans="1:20">
      <c r="B266" s="340"/>
      <c r="C266" s="346" t="s">
        <v>146</v>
      </c>
      <c r="D266" s="346" t="s">
        <v>146</v>
      </c>
      <c r="E266" s="346" t="s">
        <v>146</v>
      </c>
      <c r="F266" s="346" t="s">
        <v>146</v>
      </c>
      <c r="G266" s="346" t="s">
        <v>146</v>
      </c>
      <c r="H266" s="181"/>
      <c r="R266" s="172"/>
    </row>
    <row r="267" spans="1:20" ht="14">
      <c r="B267" s="340"/>
      <c r="C267" s="346">
        <v>2021</v>
      </c>
      <c r="D267" s="346">
        <f>C267+1</f>
        <v>2022</v>
      </c>
      <c r="E267" s="346">
        <f>D267+1</f>
        <v>2023</v>
      </c>
      <c r="F267" s="346">
        <f>E267+1</f>
        <v>2024</v>
      </c>
      <c r="G267" s="346">
        <f>F267+1</f>
        <v>2025</v>
      </c>
      <c r="H267" s="181"/>
      <c r="M267" s="409"/>
      <c r="R267" s="172"/>
    </row>
    <row r="268" spans="1:20" ht="18" customHeight="1">
      <c r="B268" s="180" t="s">
        <v>147</v>
      </c>
      <c r="C268" s="347"/>
      <c r="D268" s="347"/>
      <c r="E268" s="347"/>
      <c r="F268" s="347"/>
      <c r="G268" s="348"/>
      <c r="H268" s="181"/>
      <c r="R268" s="172"/>
    </row>
    <row r="269" spans="1:20" ht="19" customHeight="1">
      <c r="B269" s="180" t="s">
        <v>148</v>
      </c>
      <c r="C269" s="349"/>
      <c r="D269" s="349"/>
      <c r="E269" s="349"/>
      <c r="F269" s="349"/>
      <c r="G269" s="349"/>
      <c r="H269" s="181"/>
      <c r="R269" s="172"/>
    </row>
    <row r="270" spans="1:20" ht="1" hidden="1" customHeight="1">
      <c r="B270" s="341">
        <v>1</v>
      </c>
      <c r="C270" s="345">
        <f>B270*C269+B270</f>
        <v>1</v>
      </c>
      <c r="D270" s="345">
        <f>C270*D269+C270</f>
        <v>1</v>
      </c>
      <c r="E270" s="345">
        <f>D270*E269+D270</f>
        <v>1</v>
      </c>
      <c r="F270" s="345">
        <f>E270*F269+E270</f>
        <v>1</v>
      </c>
      <c r="G270" s="345">
        <f>F270*G269+F270</f>
        <v>1</v>
      </c>
      <c r="H270" s="181"/>
      <c r="R270" s="172"/>
    </row>
    <row r="271" spans="1:20" ht="1" hidden="1" customHeight="1">
      <c r="B271" s="340"/>
      <c r="C271" s="342">
        <f>MAX(B270:G270)-1</f>
        <v>0</v>
      </c>
      <c r="D271" s="343"/>
      <c r="E271" s="343"/>
      <c r="F271" s="343"/>
      <c r="G271" s="343"/>
      <c r="H271" s="181"/>
      <c r="R271" s="172"/>
    </row>
    <row r="272" spans="1:20" ht="1" hidden="1" customHeight="1">
      <c r="B272" s="296"/>
      <c r="E272" s="173"/>
      <c r="F272" s="173"/>
      <c r="H272" s="344"/>
      <c r="R272" s="172"/>
    </row>
    <row r="273" spans="2:18">
      <c r="B273" s="296"/>
      <c r="E273" s="173"/>
      <c r="F273" s="173"/>
      <c r="R273" s="172"/>
    </row>
    <row r="274" spans="2:18" hidden="1">
      <c r="E274" s="173"/>
      <c r="F274" s="173"/>
      <c r="R274" s="172"/>
    </row>
    <row r="275" spans="2:18" hidden="1">
      <c r="E275" s="173"/>
      <c r="F275" s="173"/>
      <c r="R275" s="172"/>
    </row>
    <row r="276" spans="2:18" hidden="1">
      <c r="E276" s="173"/>
      <c r="F276" s="173"/>
      <c r="R276" s="172"/>
    </row>
    <row r="277" spans="2:18" hidden="1">
      <c r="E277" s="173"/>
      <c r="F277" s="173"/>
      <c r="R277" s="172"/>
    </row>
    <row r="278" spans="2:18" hidden="1">
      <c r="E278" s="173"/>
      <c r="F278" s="173"/>
      <c r="R278" s="172"/>
    </row>
    <row r="279" spans="2:18" hidden="1">
      <c r="E279" s="173"/>
      <c r="F279" s="173"/>
      <c r="R279" s="172"/>
    </row>
    <row r="280" spans="2:18" hidden="1">
      <c r="E280" s="173"/>
      <c r="F280" s="173"/>
      <c r="R280" s="172"/>
    </row>
    <row r="281" spans="2:18" hidden="1">
      <c r="E281" s="173"/>
      <c r="F281" s="173"/>
      <c r="R281" s="172"/>
    </row>
    <row r="282" spans="2:18" hidden="1">
      <c r="E282" s="173"/>
      <c r="F282" s="173"/>
      <c r="R282" s="172"/>
    </row>
    <row r="283" spans="2:18" hidden="1">
      <c r="E283" s="173"/>
      <c r="F283" s="173"/>
      <c r="R283" s="172"/>
    </row>
    <row r="284" spans="2:18" hidden="1">
      <c r="E284" s="173"/>
      <c r="F284" s="173"/>
      <c r="R284" s="172"/>
    </row>
    <row r="285" spans="2:18" hidden="1">
      <c r="E285" s="173"/>
      <c r="F285" s="173"/>
      <c r="R285" s="172"/>
    </row>
    <row r="286" spans="2:18" hidden="1">
      <c r="E286" s="173"/>
      <c r="F286" s="173"/>
      <c r="R286" s="172"/>
    </row>
    <row r="287" spans="2:18" hidden="1">
      <c r="E287" s="173"/>
      <c r="F287" s="173"/>
      <c r="R287" s="172"/>
    </row>
    <row r="288" spans="2:18" hidden="1">
      <c r="E288" s="173"/>
      <c r="F288" s="173"/>
      <c r="R288" s="172"/>
    </row>
    <row r="289" spans="5:18" hidden="1">
      <c r="E289" s="173"/>
      <c r="F289" s="173"/>
      <c r="R289" s="172"/>
    </row>
    <row r="290" spans="5:18" hidden="1">
      <c r="E290" s="173"/>
      <c r="F290" s="173"/>
      <c r="R290" s="172"/>
    </row>
    <row r="291" spans="5:18" hidden="1">
      <c r="E291" s="173"/>
      <c r="F291" s="173"/>
      <c r="R291" s="172"/>
    </row>
    <row r="292" spans="5:18" hidden="1">
      <c r="E292" s="173"/>
      <c r="F292" s="173"/>
      <c r="R292" s="172"/>
    </row>
    <row r="293" spans="5:18" hidden="1">
      <c r="E293" s="173"/>
      <c r="F293" s="173"/>
      <c r="R293" s="172"/>
    </row>
    <row r="294" spans="5:18" hidden="1">
      <c r="E294" s="173"/>
      <c r="F294" s="173"/>
      <c r="R294" s="172"/>
    </row>
    <row r="295" spans="5:18" hidden="1">
      <c r="E295" s="173"/>
      <c r="F295" s="173"/>
      <c r="R295" s="172"/>
    </row>
    <row r="296" spans="5:18" hidden="1">
      <c r="E296" s="173"/>
      <c r="F296" s="173"/>
      <c r="R296" s="172"/>
    </row>
    <row r="297" spans="5:18" hidden="1">
      <c r="E297" s="173"/>
      <c r="F297" s="173"/>
      <c r="R297" s="172"/>
    </row>
    <row r="298" spans="5:18" hidden="1">
      <c r="E298" s="173"/>
      <c r="F298" s="173"/>
      <c r="R298" s="172"/>
    </row>
    <row r="299" spans="5:18" hidden="1">
      <c r="E299" s="173"/>
      <c r="F299" s="173"/>
      <c r="R299" s="172"/>
    </row>
    <row r="300" spans="5:18" hidden="1">
      <c r="E300" s="173"/>
      <c r="F300" s="173"/>
      <c r="R300" s="172"/>
    </row>
    <row r="301" spans="5:18" hidden="1">
      <c r="E301" s="173"/>
      <c r="F301" s="173"/>
      <c r="R301" s="172"/>
    </row>
    <row r="302" spans="5:18" hidden="1">
      <c r="E302" s="173"/>
      <c r="F302" s="173"/>
      <c r="R302" s="172"/>
    </row>
    <row r="303" spans="5:18" hidden="1">
      <c r="E303" s="173"/>
      <c r="F303" s="173"/>
      <c r="R303" s="172"/>
    </row>
    <row r="304" spans="5:18" hidden="1">
      <c r="E304" s="173"/>
      <c r="F304" s="173"/>
      <c r="R304" s="172"/>
    </row>
    <row r="305" spans="5:18" hidden="1">
      <c r="E305" s="173"/>
      <c r="F305" s="173"/>
      <c r="R305" s="172"/>
    </row>
    <row r="306" spans="5:18" hidden="1">
      <c r="E306" s="173"/>
      <c r="F306" s="173"/>
      <c r="R306" s="172"/>
    </row>
    <row r="307" spans="5:18" hidden="1">
      <c r="E307" s="173"/>
      <c r="F307" s="173"/>
      <c r="R307" s="172"/>
    </row>
    <row r="308" spans="5:18" hidden="1">
      <c r="E308" s="173"/>
      <c r="F308" s="173"/>
      <c r="R308" s="172"/>
    </row>
    <row r="309" spans="5:18" hidden="1">
      <c r="E309" s="173"/>
      <c r="F309" s="173"/>
      <c r="R309" s="172"/>
    </row>
    <row r="310" spans="5:18" hidden="1">
      <c r="E310" s="173"/>
      <c r="F310" s="173"/>
      <c r="R310" s="172"/>
    </row>
    <row r="311" spans="5:18" hidden="1">
      <c r="E311" s="173"/>
      <c r="F311" s="173"/>
      <c r="R311" s="172"/>
    </row>
    <row r="312" spans="5:18" hidden="1">
      <c r="E312" s="173"/>
      <c r="F312" s="173"/>
      <c r="R312" s="172"/>
    </row>
    <row r="313" spans="5:18" hidden="1">
      <c r="E313" s="173"/>
      <c r="F313" s="173"/>
      <c r="R313" s="172"/>
    </row>
    <row r="314" spans="5:18" hidden="1">
      <c r="E314" s="173"/>
      <c r="F314" s="173"/>
      <c r="R314" s="172"/>
    </row>
    <row r="315" spans="5:18" hidden="1">
      <c r="E315" s="173"/>
      <c r="F315" s="173"/>
      <c r="R315" s="172"/>
    </row>
    <row r="316" spans="5:18" hidden="1">
      <c r="E316" s="173"/>
      <c r="F316" s="173"/>
      <c r="R316" s="172"/>
    </row>
    <row r="317" spans="5:18" hidden="1">
      <c r="E317" s="173"/>
      <c r="F317" s="173"/>
      <c r="R317" s="172"/>
    </row>
    <row r="318" spans="5:18" hidden="1">
      <c r="E318" s="173"/>
      <c r="F318" s="173"/>
      <c r="R318" s="172"/>
    </row>
    <row r="319" spans="5:18" hidden="1">
      <c r="E319" s="173"/>
      <c r="F319" s="173"/>
      <c r="R319" s="172"/>
    </row>
    <row r="320" spans="5:18" hidden="1">
      <c r="E320" s="173"/>
      <c r="F320" s="173"/>
      <c r="R320" s="172"/>
    </row>
    <row r="321" spans="5:18" hidden="1">
      <c r="E321" s="173"/>
      <c r="F321" s="173"/>
      <c r="R321" s="172"/>
    </row>
    <row r="322" spans="5:18" hidden="1">
      <c r="E322" s="173"/>
      <c r="F322" s="173"/>
      <c r="R322" s="172"/>
    </row>
    <row r="323" spans="5:18" hidden="1">
      <c r="E323" s="173"/>
      <c r="F323" s="173"/>
      <c r="R323" s="172"/>
    </row>
    <row r="324" spans="5:18" hidden="1">
      <c r="E324" s="173"/>
      <c r="F324" s="173"/>
      <c r="R324" s="172"/>
    </row>
    <row r="325" spans="5:18" hidden="1">
      <c r="E325" s="173"/>
      <c r="F325" s="173"/>
      <c r="R325" s="172"/>
    </row>
    <row r="326" spans="5:18" hidden="1">
      <c r="E326" s="173"/>
      <c r="F326" s="173"/>
      <c r="R326" s="172"/>
    </row>
    <row r="327" spans="5:18" hidden="1">
      <c r="E327" s="173"/>
      <c r="F327" s="173"/>
      <c r="R327" s="172"/>
    </row>
    <row r="328" spans="5:18" hidden="1">
      <c r="E328" s="173"/>
      <c r="F328" s="173"/>
      <c r="R328" s="172"/>
    </row>
    <row r="329" spans="5:18" hidden="1">
      <c r="E329" s="173"/>
      <c r="F329" s="173"/>
      <c r="R329" s="172"/>
    </row>
    <row r="330" spans="5:18" hidden="1">
      <c r="E330" s="173"/>
      <c r="F330" s="173"/>
      <c r="R330" s="172"/>
    </row>
    <row r="331" spans="5:18" hidden="1">
      <c r="E331" s="173"/>
      <c r="F331" s="173"/>
      <c r="R331" s="172"/>
    </row>
    <row r="332" spans="5:18" hidden="1">
      <c r="E332" s="173"/>
      <c r="F332" s="173"/>
      <c r="R332" s="172"/>
    </row>
    <row r="333" spans="5:18" hidden="1">
      <c r="E333" s="173"/>
      <c r="F333" s="173"/>
      <c r="R333" s="172"/>
    </row>
    <row r="334" spans="5:18" hidden="1">
      <c r="E334" s="173"/>
      <c r="F334" s="173"/>
      <c r="R334" s="172"/>
    </row>
    <row r="335" spans="5:18" hidden="1">
      <c r="E335" s="173"/>
      <c r="F335" s="173"/>
      <c r="R335" s="172"/>
    </row>
    <row r="336" spans="5:18" hidden="1">
      <c r="E336" s="173"/>
      <c r="F336" s="173"/>
      <c r="R336" s="172"/>
    </row>
    <row r="337" spans="5:18" hidden="1">
      <c r="E337" s="173"/>
      <c r="F337" s="173"/>
      <c r="R337" s="172"/>
    </row>
    <row r="338" spans="5:18" hidden="1">
      <c r="E338" s="173"/>
      <c r="F338" s="173"/>
      <c r="R338" s="172"/>
    </row>
    <row r="339" spans="5:18" hidden="1">
      <c r="E339" s="173"/>
      <c r="F339" s="173"/>
      <c r="R339" s="172"/>
    </row>
    <row r="340" spans="5:18" hidden="1">
      <c r="E340" s="173"/>
      <c r="F340" s="173"/>
      <c r="R340" s="172"/>
    </row>
    <row r="341" spans="5:18" hidden="1">
      <c r="E341" s="173"/>
      <c r="F341" s="173"/>
      <c r="R341" s="172"/>
    </row>
    <row r="342" spans="5:18" hidden="1">
      <c r="E342" s="173"/>
      <c r="F342" s="173"/>
      <c r="R342" s="172"/>
    </row>
    <row r="343" spans="5:18" hidden="1">
      <c r="E343" s="173"/>
      <c r="F343" s="173"/>
      <c r="R343" s="172"/>
    </row>
    <row r="344" spans="5:18" hidden="1">
      <c r="E344" s="173"/>
      <c r="F344" s="173"/>
      <c r="R344" s="172"/>
    </row>
    <row r="345" spans="5:18" hidden="1">
      <c r="E345" s="173"/>
      <c r="F345" s="173"/>
      <c r="R345" s="172"/>
    </row>
    <row r="346" spans="5:18" hidden="1">
      <c r="E346" s="173"/>
      <c r="F346" s="173"/>
      <c r="R346" s="172"/>
    </row>
    <row r="347" spans="5:18" hidden="1">
      <c r="E347" s="173"/>
      <c r="F347" s="173"/>
      <c r="R347" s="172"/>
    </row>
    <row r="348" spans="5:18" hidden="1">
      <c r="E348" s="173"/>
      <c r="F348" s="173"/>
      <c r="R348" s="172"/>
    </row>
    <row r="349" spans="5:18" hidden="1">
      <c r="E349" s="173"/>
      <c r="F349" s="173"/>
      <c r="R349" s="172"/>
    </row>
    <row r="350" spans="5:18" hidden="1">
      <c r="E350" s="173"/>
      <c r="F350" s="173"/>
      <c r="R350" s="172"/>
    </row>
    <row r="351" spans="5:18" hidden="1">
      <c r="E351" s="173"/>
      <c r="F351" s="173"/>
      <c r="R351" s="172"/>
    </row>
    <row r="352" spans="5:18" hidden="1">
      <c r="E352" s="173"/>
      <c r="F352" s="173"/>
      <c r="R352" s="172"/>
    </row>
    <row r="353" spans="5:18" hidden="1">
      <c r="E353" s="173"/>
      <c r="F353" s="173"/>
      <c r="R353" s="172"/>
    </row>
    <row r="354" spans="5:18" hidden="1">
      <c r="E354" s="173"/>
      <c r="F354" s="173"/>
      <c r="R354" s="172"/>
    </row>
    <row r="355" spans="5:18" hidden="1">
      <c r="E355" s="173"/>
      <c r="F355" s="173"/>
      <c r="R355" s="172"/>
    </row>
    <row r="356" spans="5:18" hidden="1">
      <c r="E356" s="173"/>
      <c r="F356" s="173"/>
      <c r="R356" s="172"/>
    </row>
    <row r="357" spans="5:18" hidden="1">
      <c r="E357" s="173"/>
      <c r="F357" s="173"/>
      <c r="R357" s="172"/>
    </row>
    <row r="358" spans="5:18" hidden="1">
      <c r="E358" s="173"/>
      <c r="F358" s="173"/>
      <c r="R358" s="172"/>
    </row>
    <row r="359" spans="5:18" hidden="1">
      <c r="E359" s="173"/>
      <c r="F359" s="173"/>
      <c r="R359" s="172"/>
    </row>
    <row r="360" spans="5:18" hidden="1">
      <c r="E360" s="173"/>
      <c r="F360" s="173"/>
      <c r="R360" s="172"/>
    </row>
    <row r="361" spans="5:18" hidden="1">
      <c r="E361" s="173"/>
      <c r="F361" s="173"/>
      <c r="R361" s="172"/>
    </row>
    <row r="362" spans="5:18" hidden="1">
      <c r="E362" s="173"/>
      <c r="F362" s="173"/>
      <c r="R362" s="172"/>
    </row>
    <row r="363" spans="5:18" hidden="1">
      <c r="E363" s="173"/>
      <c r="F363" s="173"/>
      <c r="R363" s="172"/>
    </row>
    <row r="364" spans="5:18" hidden="1">
      <c r="E364" s="173"/>
      <c r="F364" s="173"/>
      <c r="R364" s="172"/>
    </row>
    <row r="365" spans="5:18" hidden="1">
      <c r="E365" s="173"/>
      <c r="F365" s="173"/>
      <c r="R365" s="172"/>
    </row>
    <row r="366" spans="5:18" hidden="1">
      <c r="E366" s="173"/>
      <c r="F366" s="173"/>
      <c r="R366" s="172"/>
    </row>
    <row r="367" spans="5:18" hidden="1">
      <c r="E367" s="173"/>
      <c r="F367" s="173"/>
      <c r="R367" s="172"/>
    </row>
    <row r="368" spans="5:18" hidden="1">
      <c r="E368" s="173"/>
      <c r="F368" s="173"/>
      <c r="R368" s="172"/>
    </row>
    <row r="369" spans="5:18" hidden="1">
      <c r="E369" s="173"/>
      <c r="F369" s="173"/>
      <c r="R369" s="172"/>
    </row>
    <row r="370" spans="5:18" hidden="1">
      <c r="E370" s="173"/>
      <c r="F370" s="173"/>
      <c r="R370" s="172"/>
    </row>
    <row r="371" spans="5:18" hidden="1">
      <c r="E371" s="173"/>
      <c r="F371" s="173"/>
      <c r="R371" s="172"/>
    </row>
    <row r="372" spans="5:18" hidden="1">
      <c r="E372" s="173"/>
      <c r="F372" s="173"/>
      <c r="R372" s="172"/>
    </row>
    <row r="373" spans="5:18" hidden="1">
      <c r="E373" s="173"/>
      <c r="F373" s="173"/>
      <c r="R373" s="172"/>
    </row>
    <row r="374" spans="5:18" hidden="1">
      <c r="E374" s="173"/>
      <c r="F374" s="173"/>
      <c r="R374" s="172"/>
    </row>
    <row r="375" spans="5:18" hidden="1">
      <c r="E375" s="173"/>
      <c r="F375" s="173"/>
      <c r="R375" s="172"/>
    </row>
    <row r="376" spans="5:18" hidden="1">
      <c r="E376" s="173"/>
      <c r="F376" s="173"/>
      <c r="R376" s="172"/>
    </row>
    <row r="377" spans="5:18" hidden="1">
      <c r="E377" s="173"/>
      <c r="F377" s="173"/>
      <c r="R377" s="172"/>
    </row>
    <row r="378" spans="5:18" hidden="1">
      <c r="E378" s="173"/>
      <c r="F378" s="173"/>
      <c r="R378" s="172"/>
    </row>
    <row r="379" spans="5:18" hidden="1">
      <c r="E379" s="173"/>
      <c r="F379" s="173"/>
      <c r="R379" s="172"/>
    </row>
    <row r="380" spans="5:18" hidden="1">
      <c r="E380" s="173"/>
      <c r="F380" s="173"/>
      <c r="R380" s="172"/>
    </row>
    <row r="381" spans="5:18" hidden="1">
      <c r="E381" s="173"/>
      <c r="F381" s="173"/>
      <c r="R381" s="172"/>
    </row>
    <row r="382" spans="5:18" hidden="1">
      <c r="E382" s="173"/>
      <c r="F382" s="173"/>
      <c r="R382" s="172"/>
    </row>
    <row r="383" spans="5:18" hidden="1">
      <c r="E383" s="173"/>
      <c r="F383" s="173"/>
      <c r="R383" s="172"/>
    </row>
    <row r="384" spans="5:18" hidden="1">
      <c r="E384" s="173"/>
      <c r="F384" s="173"/>
      <c r="R384" s="172"/>
    </row>
    <row r="385" spans="5:18" hidden="1">
      <c r="E385" s="173"/>
      <c r="F385" s="173"/>
      <c r="R385" s="172"/>
    </row>
    <row r="386" spans="5:18" hidden="1">
      <c r="E386" s="173"/>
      <c r="F386" s="173"/>
    </row>
    <row r="387" spans="5:18" hidden="1">
      <c r="E387" s="173"/>
      <c r="F387" s="173"/>
    </row>
    <row r="388" spans="5:18" hidden="1">
      <c r="E388" s="173"/>
      <c r="F388" s="173"/>
    </row>
    <row r="389" spans="5:18" hidden="1">
      <c r="E389" s="173"/>
      <c r="F389" s="173"/>
    </row>
    <row r="390" spans="5:18" hidden="1">
      <c r="E390" s="173"/>
      <c r="F390" s="173"/>
    </row>
    <row r="391" spans="5:18" hidden="1">
      <c r="E391" s="173"/>
      <c r="F391" s="173"/>
    </row>
    <row r="392" spans="5:18" hidden="1">
      <c r="E392" s="173"/>
      <c r="F392" s="173"/>
    </row>
    <row r="393" spans="5:18" hidden="1">
      <c r="E393" s="173"/>
      <c r="F393" s="173"/>
    </row>
    <row r="394" spans="5:18" hidden="1">
      <c r="E394" s="173"/>
      <c r="F394" s="173"/>
    </row>
    <row r="395" spans="5:18" hidden="1">
      <c r="E395" s="173"/>
      <c r="F395" s="173"/>
    </row>
    <row r="396" spans="5:18" hidden="1">
      <c r="E396" s="173"/>
      <c r="F396" s="173"/>
    </row>
    <row r="397" spans="5:18" hidden="1">
      <c r="E397" s="173"/>
      <c r="F397" s="173"/>
    </row>
    <row r="398" spans="5:18" hidden="1">
      <c r="E398" s="173"/>
      <c r="F398" s="173"/>
    </row>
    <row r="399" spans="5:18" hidden="1">
      <c r="E399" s="173"/>
      <c r="F399" s="173"/>
    </row>
    <row r="400" spans="5:18" hidden="1">
      <c r="E400" s="173"/>
      <c r="F400" s="173"/>
    </row>
    <row r="401" spans="5:6" hidden="1">
      <c r="E401" s="173"/>
      <c r="F401" s="173"/>
    </row>
    <row r="402" spans="5:6" hidden="1">
      <c r="E402" s="173"/>
      <c r="F402" s="173"/>
    </row>
    <row r="403" spans="5:6" hidden="1">
      <c r="E403" s="173"/>
      <c r="F403" s="173"/>
    </row>
    <row r="404" spans="5:6" hidden="1">
      <c r="E404" s="173"/>
      <c r="F404" s="173"/>
    </row>
    <row r="405" spans="5:6" hidden="1">
      <c r="E405" s="173"/>
      <c r="F405" s="173"/>
    </row>
    <row r="406" spans="5:6" hidden="1">
      <c r="E406" s="173"/>
      <c r="F406" s="173"/>
    </row>
    <row r="407" spans="5:6" hidden="1">
      <c r="E407" s="173"/>
      <c r="F407" s="173"/>
    </row>
    <row r="408" spans="5:6" hidden="1">
      <c r="E408" s="173"/>
      <c r="F408" s="173"/>
    </row>
    <row r="409" spans="5:6" hidden="1">
      <c r="E409" s="173"/>
      <c r="F409" s="173"/>
    </row>
    <row r="410" spans="5:6" hidden="1">
      <c r="E410" s="173"/>
      <c r="F410" s="173"/>
    </row>
    <row r="411" spans="5:6" hidden="1">
      <c r="E411" s="173"/>
      <c r="F411" s="173"/>
    </row>
    <row r="412" spans="5:6" hidden="1">
      <c r="E412" s="173"/>
      <c r="F412" s="173"/>
    </row>
    <row r="413" spans="5:6" hidden="1">
      <c r="E413" s="173"/>
      <c r="F413" s="173"/>
    </row>
    <row r="414" spans="5:6" hidden="1">
      <c r="E414" s="173"/>
      <c r="F414" s="173"/>
    </row>
    <row r="415" spans="5:6" hidden="1">
      <c r="E415" s="173"/>
      <c r="F415" s="173"/>
    </row>
    <row r="416" spans="5:6" hidden="1">
      <c r="E416" s="173"/>
      <c r="F416" s="173"/>
    </row>
    <row r="417" spans="5:6" hidden="1">
      <c r="E417" s="173"/>
      <c r="F417" s="173"/>
    </row>
    <row r="418" spans="5:6" hidden="1">
      <c r="E418" s="173"/>
      <c r="F418" s="173"/>
    </row>
    <row r="419" spans="5:6" hidden="1">
      <c r="E419" s="173"/>
      <c r="F419" s="173"/>
    </row>
    <row r="420" spans="5:6" hidden="1">
      <c r="E420" s="173"/>
      <c r="F420" s="173"/>
    </row>
    <row r="421" spans="5:6" hidden="1">
      <c r="E421" s="173"/>
      <c r="F421" s="173"/>
    </row>
    <row r="422" spans="5:6" hidden="1">
      <c r="E422" s="173"/>
      <c r="F422" s="173"/>
    </row>
    <row r="423" spans="5:6" hidden="1">
      <c r="E423" s="173"/>
      <c r="F423" s="173"/>
    </row>
    <row r="424" spans="5:6" hidden="1">
      <c r="E424" s="173"/>
      <c r="F424" s="173"/>
    </row>
    <row r="425" spans="5:6" hidden="1">
      <c r="E425" s="173"/>
      <c r="F425" s="173"/>
    </row>
    <row r="426" spans="5:6" hidden="1">
      <c r="E426" s="173"/>
      <c r="F426" s="173"/>
    </row>
    <row r="427" spans="5:6" hidden="1">
      <c r="E427" s="173"/>
      <c r="F427" s="173"/>
    </row>
    <row r="428" spans="5:6" hidden="1">
      <c r="E428" s="173"/>
      <c r="F428" s="173"/>
    </row>
    <row r="429" spans="5:6" hidden="1">
      <c r="E429" s="173"/>
      <c r="F429" s="173"/>
    </row>
    <row r="430" spans="5:6" hidden="1">
      <c r="E430" s="173"/>
      <c r="F430" s="173"/>
    </row>
    <row r="431" spans="5:6" hidden="1">
      <c r="E431" s="173"/>
      <c r="F431" s="173"/>
    </row>
    <row r="432" spans="5:6" hidden="1">
      <c r="E432" s="173"/>
      <c r="F432" s="173"/>
    </row>
    <row r="433" spans="5:6" hidden="1">
      <c r="E433" s="173"/>
      <c r="F433" s="173"/>
    </row>
    <row r="434" spans="5:6" hidden="1">
      <c r="E434" s="173"/>
      <c r="F434" s="173"/>
    </row>
    <row r="435" spans="5:6" hidden="1">
      <c r="E435" s="173"/>
      <c r="F435" s="173"/>
    </row>
    <row r="436" spans="5:6" hidden="1">
      <c r="E436" s="173"/>
      <c r="F436" s="173"/>
    </row>
    <row r="437" spans="5:6" hidden="1">
      <c r="E437" s="173"/>
      <c r="F437" s="173"/>
    </row>
    <row r="438" spans="5:6" hidden="1">
      <c r="E438" s="173"/>
      <c r="F438" s="173"/>
    </row>
    <row r="439" spans="5:6" hidden="1">
      <c r="E439" s="173"/>
      <c r="F439" s="173"/>
    </row>
    <row r="440" spans="5:6" hidden="1">
      <c r="E440" s="173"/>
      <c r="F440" s="173"/>
    </row>
    <row r="441" spans="5:6" hidden="1">
      <c r="E441" s="173"/>
      <c r="F441" s="173"/>
    </row>
    <row r="442" spans="5:6" hidden="1">
      <c r="E442" s="173"/>
      <c r="F442" s="173"/>
    </row>
    <row r="443" spans="5:6"/>
    <row r="444" spans="5:6"/>
    <row r="445" spans="5:6"/>
    <row r="446" spans="5:6"/>
    <row r="447" spans="5:6"/>
    <row r="448" spans="5:6"/>
    <row r="449" spans="4:6"/>
    <row r="450" spans="4:6"/>
    <row r="451" spans="4:6"/>
    <row r="452" spans="4:6"/>
    <row r="453" spans="4:6"/>
    <row r="454" spans="4:6">
      <c r="D454" s="173"/>
      <c r="E454" s="173"/>
      <c r="F454" s="173"/>
    </row>
    <row r="455" spans="4:6"/>
    <row r="456" spans="4:6"/>
    <row r="457" spans="4:6"/>
    <row r="458" spans="4:6"/>
    <row r="459" spans="4:6"/>
    <row r="460" spans="4:6"/>
    <row r="461" spans="4:6"/>
    <row r="462" spans="4:6"/>
    <row r="463" spans="4:6"/>
    <row r="464" spans="4:6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</sheetData>
  <sortState xmlns:xlrd2="http://schemas.microsoft.com/office/spreadsheetml/2017/richdata2" ref="A68:U124">
    <sortCondition ref="D68"/>
  </sortState>
  <phoneticPr fontId="33"/>
  <conditionalFormatting sqref="I257:K257 M257:N257 J246 M246:N246 D251:N255 D260:G263 E11:M36 E131:N245 E39:M127">
    <cfRule type="cellIs" dxfId="505" priority="99" operator="greaterThan">
      <formula>0</formula>
    </cfRule>
  </conditionalFormatting>
  <conditionalFormatting sqref="E5">
    <cfRule type="cellIs" dxfId="504" priority="97" operator="greaterThan">
      <formula>0</formula>
    </cfRule>
  </conditionalFormatting>
  <conditionalFormatting sqref="D131:D245">
    <cfRule type="cellIs" dxfId="503" priority="96" operator="greaterThan">
      <formula>0</formula>
    </cfRule>
  </conditionalFormatting>
  <conditionalFormatting sqref="C262">
    <cfRule type="cellIs" dxfId="502" priority="14" operator="greaterThan">
      <formula>0</formula>
    </cfRule>
  </conditionalFormatting>
  <conditionalFormatting sqref="C264:G264">
    <cfRule type="cellIs" dxfId="501" priority="11" operator="greaterThan">
      <formula>0</formula>
    </cfRule>
  </conditionalFormatting>
  <conditionalFormatting sqref="C261">
    <cfRule type="cellIs" dxfId="500" priority="10" operator="greaterThan">
      <formula>0</formula>
    </cfRule>
  </conditionalFormatting>
  <conditionalFormatting sqref="C260">
    <cfRule type="cellIs" dxfId="499" priority="9" operator="greaterThan">
      <formula>0</formula>
    </cfRule>
  </conditionalFormatting>
  <conditionalFormatting sqref="C263">
    <cfRule type="cellIs" dxfId="498" priority="8" operator="greaterThan">
      <formula>0</formula>
    </cfRule>
  </conditionalFormatting>
  <conditionalFormatting sqref="K246">
    <cfRule type="cellIs" dxfId="497" priority="3" operator="greaterThan">
      <formula>0</formula>
    </cfRule>
  </conditionalFormatting>
  <dataValidations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E5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0" orientation="landscape" copies="2"/>
  <headerFooter>
    <oddHeader>&amp;L&amp;C&amp;R</oddHeader>
    <oddFooter>&amp;L&amp;"Verdana,Standaard"&amp;K000000&amp;F-&amp;A&amp;R&amp;"Verdana,Standaard"&amp;K000000printversie &amp;D</oddFooter>
  </headerFooter>
  <rowBreaks count="2" manualBreakCount="2">
    <brk id="66" max="16383" man="1"/>
    <brk id="247" max="16383" man="1"/>
  </rowBreaks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V122"/>
  <sheetViews>
    <sheetView showGridLines="0" showRowColHeaders="0" showZeros="0" showOutlineSymbols="0" topLeftCell="C1" zoomScaleNormal="100" zoomScaleSheetLayoutView="75" workbookViewId="0"/>
  </sheetViews>
  <sheetFormatPr baseColWidth="10" defaultColWidth="10.796875" defaultRowHeight="13"/>
  <cols>
    <col min="1" max="1" width="13.19921875" style="55" hidden="1" customWidth="1"/>
    <col min="2" max="2" width="14.19921875" style="55" hidden="1" customWidth="1"/>
    <col min="3" max="3" width="20.796875" style="46" customWidth="1"/>
    <col min="4" max="4" width="11.19921875" style="46" customWidth="1"/>
    <col min="5" max="5" width="12.19921875" style="51" customWidth="1"/>
    <col min="6" max="6" width="54.796875" style="52" bestFit="1" customWidth="1"/>
    <col min="7" max="7" width="23.3984375" style="53" customWidth="1"/>
    <col min="8" max="8" width="13" style="54" customWidth="1"/>
    <col min="9" max="9" width="8.59765625" style="54" hidden="1" customWidth="1"/>
    <col min="10" max="10" width="17.59765625" style="54" customWidth="1"/>
    <col min="11" max="11" width="13.19921875" style="54" hidden="1" customWidth="1"/>
    <col min="12" max="12" width="19" style="374" customWidth="1"/>
    <col min="13" max="13" width="12.796875" style="516" customWidth="1"/>
    <col min="14" max="14" width="13.796875" style="49" bestFit="1" customWidth="1"/>
    <col min="15" max="15" width="18.796875" style="53" customWidth="1"/>
    <col min="16" max="16" width="32.3984375" style="50" bestFit="1" customWidth="1"/>
    <col min="17" max="17" width="10.19921875" style="50" customWidth="1"/>
    <col min="18" max="18" width="2" style="50" customWidth="1"/>
    <col min="19" max="33" width="10.796875" style="55" customWidth="1"/>
    <col min="34" max="16384" width="10.796875" style="55"/>
  </cols>
  <sheetData>
    <row r="1" spans="3:18" s="39" customFormat="1">
      <c r="C1" s="32"/>
      <c r="D1" s="32"/>
      <c r="E1" s="32"/>
      <c r="F1" s="33"/>
      <c r="G1" s="37"/>
      <c r="H1" s="34"/>
      <c r="I1" s="34"/>
      <c r="J1" s="34"/>
      <c r="K1" s="34"/>
      <c r="L1" s="370"/>
      <c r="M1" s="514"/>
      <c r="N1" s="35"/>
      <c r="O1" s="37"/>
      <c r="P1" s="36"/>
      <c r="Q1" s="36"/>
      <c r="R1" s="36"/>
    </row>
    <row r="2" spans="3:18" s="39" customFormat="1" ht="16">
      <c r="C2" s="223" t="s">
        <v>29</v>
      </c>
      <c r="F2" s="40" t="s">
        <v>100</v>
      </c>
      <c r="G2" s="367"/>
      <c r="H2" s="34"/>
      <c r="I2" s="34"/>
      <c r="J2" s="34"/>
      <c r="K2" s="34"/>
      <c r="L2" s="370"/>
      <c r="M2" s="514"/>
      <c r="N2" s="35"/>
      <c r="O2" s="37"/>
      <c r="P2" s="36"/>
      <c r="Q2" s="36"/>
      <c r="R2" s="36"/>
    </row>
    <row r="3" spans="3:18" s="10" customFormat="1" ht="16">
      <c r="C3" s="223" t="s">
        <v>101</v>
      </c>
      <c r="F3" s="224" t="str">
        <f>Voorblad!$E$16</f>
        <v>Hoogheemraadschap Hollands Noorderkwartier Perceel 2</v>
      </c>
      <c r="G3" s="367"/>
      <c r="H3" s="34"/>
      <c r="I3" s="34"/>
      <c r="J3" s="34"/>
      <c r="K3" s="34"/>
      <c r="L3" s="370"/>
      <c r="M3" s="371"/>
      <c r="N3" s="42"/>
      <c r="O3" s="367"/>
      <c r="P3" s="43"/>
      <c r="Q3" s="43"/>
      <c r="R3" s="43"/>
    </row>
    <row r="4" spans="3:18" s="10" customFormat="1" ht="16">
      <c r="C4" s="223" t="s">
        <v>36</v>
      </c>
      <c r="F4" s="224" t="str">
        <f>'1.0-Contractblad'!$D$4</f>
        <v>Heerhugowaard</v>
      </c>
      <c r="G4" s="367"/>
      <c r="H4" s="34"/>
      <c r="I4" s="34"/>
      <c r="J4" s="34"/>
      <c r="K4" s="34"/>
      <c r="L4" s="370"/>
      <c r="M4" s="371"/>
      <c r="N4" s="42"/>
      <c r="O4" s="367"/>
      <c r="P4" s="43"/>
      <c r="Q4" s="43"/>
      <c r="R4" s="43"/>
    </row>
    <row r="5" spans="3:18" s="10" customFormat="1" ht="16">
      <c r="C5" s="223" t="s">
        <v>137</v>
      </c>
      <c r="F5" s="240" t="str">
        <f>Voorblad!$E$24</f>
        <v>1112-10-2019</v>
      </c>
      <c r="G5" s="367"/>
      <c r="H5" s="45"/>
      <c r="I5" s="45"/>
      <c r="J5" s="45"/>
      <c r="K5" s="45"/>
      <c r="L5" s="371"/>
      <c r="M5" s="371"/>
      <c r="N5" s="42"/>
      <c r="O5" s="367"/>
      <c r="P5" s="43"/>
      <c r="Q5" s="43"/>
      <c r="R5" s="43"/>
    </row>
    <row r="6" spans="3:18" s="10" customFormat="1" ht="16">
      <c r="C6" s="223" t="s">
        <v>222</v>
      </c>
      <c r="F6" s="407" t="str">
        <f>Voorblad!$E$26</f>
        <v>V1 12-mrt-2020</v>
      </c>
      <c r="G6" s="367"/>
      <c r="H6" s="554"/>
      <c r="I6" s="41"/>
      <c r="J6" s="41"/>
      <c r="K6" s="41"/>
      <c r="L6" s="371"/>
      <c r="M6" s="371"/>
      <c r="N6" s="42"/>
      <c r="O6" s="367"/>
      <c r="P6" s="43"/>
      <c r="Q6" s="43"/>
      <c r="R6" s="43"/>
    </row>
    <row r="7" spans="3:18" s="10" customFormat="1" ht="16">
      <c r="C7" s="223" t="s">
        <v>99</v>
      </c>
      <c r="F7" s="224" t="str">
        <f>Voorblad!$E$19</f>
        <v>[voer naam in]</v>
      </c>
      <c r="G7" s="367"/>
      <c r="H7" s="555"/>
      <c r="I7" s="41"/>
      <c r="J7" s="41"/>
      <c r="K7" s="41"/>
      <c r="L7" s="371"/>
      <c r="M7" s="371"/>
      <c r="N7" s="42"/>
      <c r="O7" s="367"/>
      <c r="P7" s="43"/>
      <c r="Q7" s="43"/>
      <c r="R7" s="43"/>
    </row>
    <row r="8" spans="3:18" s="10" customFormat="1" ht="16">
      <c r="C8" s="223" t="s">
        <v>6</v>
      </c>
      <c r="F8" s="225">
        <f>Voorblad!$E$22</f>
        <v>44013</v>
      </c>
      <c r="G8" s="367"/>
      <c r="H8" s="555"/>
      <c r="I8" s="41"/>
      <c r="J8" s="41"/>
      <c r="K8" s="41"/>
      <c r="L8" s="371"/>
      <c r="M8" s="371"/>
      <c r="N8" s="42"/>
      <c r="O8" s="367"/>
      <c r="P8" s="43"/>
      <c r="Q8" s="43"/>
      <c r="R8" s="43"/>
    </row>
    <row r="9" spans="3:18" s="10" customFormat="1" ht="16">
      <c r="C9" s="40"/>
      <c r="F9" s="40"/>
      <c r="G9" s="367"/>
      <c r="H9" s="555"/>
      <c r="I9" s="41"/>
      <c r="K9" s="41"/>
      <c r="L9" s="371"/>
      <c r="M9" s="371"/>
      <c r="N9" s="42"/>
      <c r="O9" s="367"/>
      <c r="P9" s="43"/>
      <c r="Q9" s="43"/>
      <c r="R9" s="43"/>
    </row>
    <row r="10" spans="3:18" s="10" customFormat="1" ht="19" customHeight="1">
      <c r="C10" s="40"/>
      <c r="E10" s="199" t="s">
        <v>243</v>
      </c>
      <c r="F10" s="122"/>
      <c r="G10" s="367"/>
      <c r="H10" s="41"/>
      <c r="I10" s="41"/>
      <c r="K10" s="41"/>
      <c r="L10" s="371"/>
      <c r="M10" s="371"/>
      <c r="N10" s="42"/>
      <c r="O10" s="367"/>
      <c r="P10" s="43"/>
      <c r="Q10" s="43"/>
      <c r="R10" s="43"/>
    </row>
    <row r="11" spans="3:18" s="10" customFormat="1" ht="16">
      <c r="C11" s="40"/>
      <c r="E11" s="199">
        <v>0</v>
      </c>
      <c r="F11" s="157" t="s">
        <v>235</v>
      </c>
      <c r="G11" s="367"/>
      <c r="H11" s="41"/>
      <c r="I11" s="41"/>
      <c r="K11" s="41"/>
      <c r="L11" s="371"/>
      <c r="M11" s="371"/>
      <c r="N11" s="42"/>
      <c r="O11" s="367"/>
      <c r="P11" s="43"/>
      <c r="Q11" s="43"/>
      <c r="R11" s="43"/>
    </row>
    <row r="12" spans="3:18" s="10" customFormat="1" ht="16">
      <c r="C12" s="40"/>
      <c r="D12" s="40"/>
      <c r="F12" s="7"/>
      <c r="G12" s="508"/>
      <c r="H12" s="41"/>
      <c r="I12" s="41"/>
      <c r="J12" s="41"/>
      <c r="K12" s="41"/>
      <c r="L12" s="371"/>
      <c r="M12" s="371"/>
      <c r="N12" s="42"/>
      <c r="O12" s="367"/>
      <c r="P12" s="43"/>
      <c r="Q12" s="43"/>
      <c r="R12" s="43"/>
    </row>
    <row r="13" spans="3:18" s="39" customFormat="1" ht="17" thickBot="1">
      <c r="C13" s="46"/>
      <c r="D13" s="46"/>
      <c r="E13" s="47"/>
      <c r="F13" s="48"/>
      <c r="G13" s="509"/>
      <c r="H13" s="34"/>
      <c r="I13" s="41"/>
      <c r="J13" s="48"/>
      <c r="K13" s="34"/>
      <c r="L13" s="48"/>
      <c r="M13" s="34"/>
      <c r="N13" s="48"/>
      <c r="O13" s="34"/>
      <c r="P13" s="48"/>
      <c r="Q13" s="34"/>
      <c r="R13" s="48"/>
    </row>
    <row r="14" spans="3:18" s="30" customFormat="1" ht="42" customHeight="1">
      <c r="C14" s="617" t="s">
        <v>405</v>
      </c>
      <c r="D14" s="618" t="s">
        <v>342</v>
      </c>
      <c r="E14" s="619" t="s">
        <v>25</v>
      </c>
      <c r="F14" s="620" t="s">
        <v>144</v>
      </c>
      <c r="G14" s="621" t="s">
        <v>83</v>
      </c>
      <c r="H14" s="622" t="s">
        <v>335</v>
      </c>
      <c r="I14" s="623"/>
      <c r="J14" s="622" t="s">
        <v>381</v>
      </c>
      <c r="K14" s="624"/>
      <c r="L14" s="625" t="s">
        <v>13</v>
      </c>
      <c r="M14" s="626" t="s">
        <v>91</v>
      </c>
      <c r="N14" s="626" t="s">
        <v>55</v>
      </c>
      <c r="O14" s="627" t="s">
        <v>109</v>
      </c>
      <c r="P14" s="627" t="s">
        <v>56</v>
      </c>
      <c r="Q14" s="628" t="s">
        <v>78</v>
      </c>
      <c r="R14" s="130"/>
    </row>
    <row r="15" spans="3:18" s="39" customFormat="1" ht="16">
      <c r="C15" s="629">
        <v>0</v>
      </c>
      <c r="D15" s="630"/>
      <c r="E15" s="631">
        <v>0</v>
      </c>
      <c r="F15" s="632">
        <v>0</v>
      </c>
      <c r="G15" s="630">
        <v>0</v>
      </c>
      <c r="H15" s="633"/>
      <c r="I15" s="634"/>
      <c r="J15" s="633"/>
      <c r="K15" s="635">
        <v>0</v>
      </c>
      <c r="L15" s="636">
        <v>0</v>
      </c>
      <c r="M15" s="637">
        <v>0</v>
      </c>
      <c r="N15" s="635"/>
      <c r="O15" s="638">
        <v>0</v>
      </c>
      <c r="P15" s="639"/>
      <c r="Q15" s="640"/>
    </row>
    <row r="16" spans="3:18" s="39" customFormat="1" ht="17" thickBot="1">
      <c r="C16" s="641">
        <v>0</v>
      </c>
      <c r="D16" s="642"/>
      <c r="E16" s="643"/>
      <c r="F16" s="644"/>
      <c r="G16" s="642"/>
      <c r="H16" s="645"/>
      <c r="I16" s="646"/>
      <c r="J16" s="645"/>
      <c r="K16" s="647"/>
      <c r="L16" s="648"/>
      <c r="M16" s="649"/>
      <c r="N16" s="647"/>
      <c r="O16" s="650"/>
      <c r="P16" s="651"/>
      <c r="Q16" s="652"/>
    </row>
    <row r="17" spans="1:17" s="39" customFormat="1" ht="16">
      <c r="A17" s="39" t="s">
        <v>344</v>
      </c>
      <c r="B17" s="398" t="e">
        <f>VLOOKUP(A17,#REF!,3,FALSE)</f>
        <v>#REF!</v>
      </c>
      <c r="C17" s="424">
        <v>1026</v>
      </c>
      <c r="D17" s="431"/>
      <c r="E17" s="306">
        <v>26</v>
      </c>
      <c r="F17" s="411" t="s">
        <v>375</v>
      </c>
      <c r="G17" s="510" t="str">
        <f t="shared" ref="G17" si="0">CONCATENATE(E17," keer per jaar")</f>
        <v>26 keer per jaar</v>
      </c>
      <c r="H17" s="506"/>
      <c r="I17" s="507"/>
      <c r="J17" s="506"/>
      <c r="K17" s="507">
        <f t="shared" ref="K17" si="1">IF(J17=0,0,(AVERAGE(J17:J17)))</f>
        <v>0</v>
      </c>
      <c r="L17" s="521">
        <f t="shared" ref="L17" si="2">IF(H17=0,0,E17/(SUM(I17+K17)))</f>
        <v>0</v>
      </c>
      <c r="M17" s="515">
        <f>SUMIF('1.3-Basis ruimtestaat'!M:M,C17,'1.3-Basis ruimtestaat'!K:K)</f>
        <v>42.25</v>
      </c>
      <c r="N17" s="415"/>
      <c r="O17" s="416">
        <f t="shared" ref="O17:O63" si="3">IF(M17=0,"",M17/$N$69)</f>
        <v>5.0783691523630953E-3</v>
      </c>
      <c r="P17" s="417"/>
      <c r="Q17" s="239"/>
    </row>
    <row r="18" spans="1:17" s="39" customFormat="1" ht="16">
      <c r="A18" s="39" t="s">
        <v>344</v>
      </c>
      <c r="B18" s="398" t="e">
        <f>VLOOKUP(A18,#REF!,3,FALSE)</f>
        <v>#REF!</v>
      </c>
      <c r="C18" s="424">
        <v>1051</v>
      </c>
      <c r="D18" s="431"/>
      <c r="E18" s="306">
        <v>51</v>
      </c>
      <c r="F18" s="411" t="s">
        <v>375</v>
      </c>
      <c r="G18" s="510" t="str">
        <f t="shared" ref="G18:G60" si="4">CONCATENATE(E18," keer per jaar")</f>
        <v>51 keer per jaar</v>
      </c>
      <c r="H18" s="506"/>
      <c r="I18" s="507"/>
      <c r="J18" s="506"/>
      <c r="K18" s="507">
        <f t="shared" ref="K18:K47" si="5">IF(J18=0,0,(AVERAGE(J18:J18)))</f>
        <v>0</v>
      </c>
      <c r="L18" s="521">
        <f t="shared" ref="L18:L47" si="6">IF(H18=0,0,E18/(SUM(I18+K18)))</f>
        <v>0</v>
      </c>
      <c r="M18" s="515">
        <f>SUMIF('1.3-Basis ruimtestaat'!M:M,C18,'1.3-Basis ruimtestaat'!K:K)</f>
        <v>332.33</v>
      </c>
      <c r="N18" s="415"/>
      <c r="O18" s="416">
        <f t="shared" si="3"/>
        <v>3.9945430068753313E-2</v>
      </c>
      <c r="P18" s="417"/>
      <c r="Q18" s="239" t="s">
        <v>1248</v>
      </c>
    </row>
    <row r="19" spans="1:17" s="39" customFormat="1" ht="16">
      <c r="A19" s="39" t="s">
        <v>344</v>
      </c>
      <c r="B19" s="398" t="e">
        <f>VLOOKUP(A19,#REF!,3,FALSE)</f>
        <v>#REF!</v>
      </c>
      <c r="C19" s="424">
        <v>1060</v>
      </c>
      <c r="D19" s="431"/>
      <c r="E19" s="306">
        <v>60</v>
      </c>
      <c r="F19" s="411" t="s">
        <v>375</v>
      </c>
      <c r="G19" s="510" t="str">
        <f t="shared" si="4"/>
        <v>60 keer per jaar</v>
      </c>
      <c r="H19" s="506"/>
      <c r="I19" s="507"/>
      <c r="J19" s="844"/>
      <c r="K19" s="507">
        <f t="shared" si="5"/>
        <v>0</v>
      </c>
      <c r="L19" s="521">
        <f t="shared" si="6"/>
        <v>0</v>
      </c>
      <c r="M19" s="515"/>
      <c r="N19" s="415"/>
      <c r="O19" s="416" t="str">
        <f t="shared" si="3"/>
        <v/>
      </c>
      <c r="P19" s="843" t="s">
        <v>1221</v>
      </c>
      <c r="Q19" s="239" t="s">
        <v>1248</v>
      </c>
    </row>
    <row r="20" spans="1:17" s="39" customFormat="1" ht="16">
      <c r="A20" s="39" t="s">
        <v>344</v>
      </c>
      <c r="B20" s="398" t="e">
        <f>VLOOKUP(A20,#REF!,3,FALSE)</f>
        <v>#REF!</v>
      </c>
      <c r="C20" s="424">
        <v>1104</v>
      </c>
      <c r="D20" s="431"/>
      <c r="E20" s="306">
        <v>104</v>
      </c>
      <c r="F20" s="411" t="s">
        <v>375</v>
      </c>
      <c r="G20" s="510" t="str">
        <f>CONCATENATE(E20," keer per jaar")</f>
        <v>104 keer per jaar</v>
      </c>
      <c r="H20" s="506"/>
      <c r="I20" s="507"/>
      <c r="J20" s="506"/>
      <c r="K20" s="507">
        <f t="shared" ref="K20" si="7">IF(J20=0,0,(AVERAGE(J20:J20)))</f>
        <v>0</v>
      </c>
      <c r="L20" s="521">
        <f t="shared" ref="L20" si="8">IF(H20=0,0,E20/(SUM(I20+K20)))</f>
        <v>0</v>
      </c>
      <c r="M20" s="515">
        <f>SUMIF('1.3-Basis ruimtestaat'!M:M,C20,'1.3-Basis ruimtestaat'!K:K)</f>
        <v>230.62</v>
      </c>
      <c r="N20" s="415"/>
      <c r="O20" s="416">
        <f t="shared" si="3"/>
        <v>2.7720082696283479E-2</v>
      </c>
      <c r="P20" s="843"/>
      <c r="Q20" s="239" t="s">
        <v>1248</v>
      </c>
    </row>
    <row r="21" spans="1:17" s="39" customFormat="1" ht="16">
      <c r="A21" s="39" t="s">
        <v>344</v>
      </c>
      <c r="B21" s="398" t="e">
        <f>VLOOKUP(A21,#REF!,3,FALSE)</f>
        <v>#REF!</v>
      </c>
      <c r="C21" s="424">
        <v>1122</v>
      </c>
      <c r="D21" s="431"/>
      <c r="E21" s="306">
        <v>122</v>
      </c>
      <c r="F21" s="411" t="s">
        <v>375</v>
      </c>
      <c r="G21" s="510" t="str">
        <f>CONCATENATE(E21," keer per jaar")</f>
        <v>122 keer per jaar</v>
      </c>
      <c r="H21" s="506"/>
      <c r="I21" s="507"/>
      <c r="J21" s="506"/>
      <c r="K21" s="507">
        <f t="shared" si="5"/>
        <v>0</v>
      </c>
      <c r="L21" s="521">
        <f t="shared" si="6"/>
        <v>0</v>
      </c>
      <c r="M21" s="515">
        <f>SUMIF('1.3-Basis ruimtestaat'!M:M,C21,'1.3-Basis ruimtestaat'!K:K)</f>
        <v>13.94</v>
      </c>
      <c r="N21" s="415"/>
      <c r="O21" s="416">
        <f t="shared" si="3"/>
        <v>1.6755613250637052E-3</v>
      </c>
      <c r="P21" s="843" t="s">
        <v>1254</v>
      </c>
      <c r="Q21" s="239" t="s">
        <v>1248</v>
      </c>
    </row>
    <row r="22" spans="1:17" s="39" customFormat="1" ht="16">
      <c r="A22" s="39" t="s">
        <v>344</v>
      </c>
      <c r="B22" s="398" t="e">
        <f>VLOOKUP(A22,#REF!,3,FALSE)</f>
        <v>#REF!</v>
      </c>
      <c r="C22" s="424">
        <v>1156</v>
      </c>
      <c r="D22" s="431"/>
      <c r="E22" s="306">
        <v>156</v>
      </c>
      <c r="F22" s="411" t="s">
        <v>375</v>
      </c>
      <c r="G22" s="510" t="str">
        <f t="shared" ref="G22" si="9">CONCATENATE(E22," keer per jaar")</f>
        <v>156 keer per jaar</v>
      </c>
      <c r="H22" s="506"/>
      <c r="I22" s="507"/>
      <c r="J22" s="506"/>
      <c r="K22" s="507">
        <f t="shared" si="5"/>
        <v>0</v>
      </c>
      <c r="L22" s="521">
        <f t="shared" si="6"/>
        <v>0</v>
      </c>
      <c r="M22" s="515">
        <f>SUMIF('1.3-Basis ruimtestaat'!M:M,C22,'1.3-Basis ruimtestaat'!K:K)</f>
        <v>411.79999999999995</v>
      </c>
      <c r="N22" s="415"/>
      <c r="O22" s="416">
        <f t="shared" si="3"/>
        <v>4.9497571998653782E-2</v>
      </c>
      <c r="P22" s="417"/>
      <c r="Q22" s="239" t="s">
        <v>1248</v>
      </c>
    </row>
    <row r="23" spans="1:17" s="39" customFormat="1" ht="16">
      <c r="A23" s="39" t="s">
        <v>344</v>
      </c>
      <c r="B23" s="398" t="e">
        <f>VLOOKUP(A23,#REF!,3,FALSE)</f>
        <v>#REF!</v>
      </c>
      <c r="C23" s="424">
        <v>1253</v>
      </c>
      <c r="D23" s="431"/>
      <c r="E23" s="306">
        <v>253</v>
      </c>
      <c r="F23" s="411" t="s">
        <v>375</v>
      </c>
      <c r="G23" s="510" t="str">
        <f t="shared" ref="G23:G25" si="10">CONCATENATE(E23," keer per jaar")</f>
        <v>253 keer per jaar</v>
      </c>
      <c r="H23" s="506"/>
      <c r="I23" s="507"/>
      <c r="J23" s="506"/>
      <c r="K23" s="507">
        <f t="shared" ref="K23:K25" si="11">IF(J23=0,0,(AVERAGE(J23:J23)))</f>
        <v>0</v>
      </c>
      <c r="L23" s="521">
        <f t="shared" ref="L23:L25" si="12">IF(H23=0,0,E23/(SUM(I23+K23)))</f>
        <v>0</v>
      </c>
      <c r="M23" s="515">
        <f>SUMIF('1.3-Basis ruimtestaat'!M:M,C23,'1.3-Basis ruimtestaat'!K:K)</f>
        <v>1209.3900000000001</v>
      </c>
      <c r="N23" s="415"/>
      <c r="O23" s="416">
        <f t="shared" si="3"/>
        <v>0.14536636376748885</v>
      </c>
      <c r="P23" s="417"/>
      <c r="Q23" s="239" t="s">
        <v>1248</v>
      </c>
    </row>
    <row r="24" spans="1:17" s="401" customFormat="1" ht="16">
      <c r="A24" s="401" t="s">
        <v>343</v>
      </c>
      <c r="B24" s="402" t="e">
        <f>VLOOKUP(A24,#REF!,3,FALSE)</f>
        <v>#REF!</v>
      </c>
      <c r="C24" s="424">
        <v>2060</v>
      </c>
      <c r="D24" s="431"/>
      <c r="E24" s="306">
        <v>60</v>
      </c>
      <c r="F24" s="579" t="s">
        <v>982</v>
      </c>
      <c r="G24" s="510" t="str">
        <f t="shared" ref="G24" si="13">CONCATENATE(E24," keer per jaar")</f>
        <v>60 keer per jaar</v>
      </c>
      <c r="H24" s="506"/>
      <c r="I24" s="507"/>
      <c r="J24" s="844"/>
      <c r="K24" s="507">
        <f t="shared" ref="K24" si="14">IF(J24=0,0,(AVERAGE(J24:J24)))</f>
        <v>0</v>
      </c>
      <c r="L24" s="521">
        <f t="shared" ref="L24" si="15">IF(H24=0,0,E24/(SUM(I24+K24)))</f>
        <v>0</v>
      </c>
      <c r="M24" s="515"/>
      <c r="N24" s="415"/>
      <c r="O24" s="416" t="str">
        <f t="shared" si="3"/>
        <v/>
      </c>
      <c r="P24" s="843" t="s">
        <v>1221</v>
      </c>
      <c r="Q24" s="239" t="s">
        <v>53</v>
      </c>
    </row>
    <row r="25" spans="1:17" s="401" customFormat="1" ht="16">
      <c r="A25" s="401" t="s">
        <v>343</v>
      </c>
      <c r="B25" s="402" t="e">
        <f>VLOOKUP(A25,#REF!,3,FALSE)</f>
        <v>#REF!</v>
      </c>
      <c r="C25" s="424">
        <v>2122</v>
      </c>
      <c r="D25" s="431"/>
      <c r="E25" s="306">
        <v>122</v>
      </c>
      <c r="F25" s="579" t="s">
        <v>982</v>
      </c>
      <c r="G25" s="510" t="str">
        <f t="shared" si="10"/>
        <v>122 keer per jaar</v>
      </c>
      <c r="H25" s="506"/>
      <c r="I25" s="507"/>
      <c r="J25" s="506"/>
      <c r="K25" s="507">
        <f t="shared" si="11"/>
        <v>0</v>
      </c>
      <c r="L25" s="521">
        <f t="shared" si="12"/>
        <v>0</v>
      </c>
      <c r="M25" s="515">
        <f>SUMIF('1.3-Basis ruimtestaat'!M:M,C25,'1.3-Basis ruimtestaat'!K:K)</f>
        <v>213.26</v>
      </c>
      <c r="N25" s="415"/>
      <c r="O25" s="416">
        <f t="shared" si="3"/>
        <v>2.5633443915572866E-2</v>
      </c>
      <c r="P25" s="843" t="s">
        <v>1254</v>
      </c>
      <c r="Q25" s="239" t="s">
        <v>53</v>
      </c>
    </row>
    <row r="26" spans="1:17" s="401" customFormat="1" ht="16">
      <c r="A26" s="401" t="s">
        <v>343</v>
      </c>
      <c r="B26" s="402" t="e">
        <f>VLOOKUP(A26,#REF!,3,FALSE)</f>
        <v>#REF!</v>
      </c>
      <c r="C26" s="424">
        <v>3026</v>
      </c>
      <c r="D26" s="431"/>
      <c r="E26" s="306">
        <v>26</v>
      </c>
      <c r="F26" s="411" t="s">
        <v>376</v>
      </c>
      <c r="G26" s="510" t="str">
        <f t="shared" si="4"/>
        <v>26 keer per jaar</v>
      </c>
      <c r="H26" s="506"/>
      <c r="I26" s="507"/>
      <c r="J26" s="506"/>
      <c r="K26" s="507">
        <f t="shared" si="5"/>
        <v>0</v>
      </c>
      <c r="L26" s="521">
        <f t="shared" si="6"/>
        <v>0</v>
      </c>
      <c r="M26" s="515">
        <f>SUMIF('1.3-Basis ruimtestaat'!M:M,C26,'1.3-Basis ruimtestaat'!K:K)</f>
        <v>8.6999999999999993</v>
      </c>
      <c r="N26" s="415"/>
      <c r="O26" s="416">
        <f t="shared" si="3"/>
        <v>1.045723352084235E-3</v>
      </c>
      <c r="P26" s="418"/>
      <c r="Q26" s="239" t="s">
        <v>53</v>
      </c>
    </row>
    <row r="27" spans="1:17" s="401" customFormat="1" ht="16">
      <c r="A27" s="401" t="s">
        <v>343</v>
      </c>
      <c r="B27" s="402" t="e">
        <f>VLOOKUP(A27,#REF!,3,FALSE)</f>
        <v>#REF!</v>
      </c>
      <c r="C27" s="424">
        <v>3051</v>
      </c>
      <c r="D27" s="431"/>
      <c r="E27" s="306">
        <v>51</v>
      </c>
      <c r="F27" s="411" t="s">
        <v>376</v>
      </c>
      <c r="G27" s="510" t="str">
        <f t="shared" ref="G27:G31" si="16">CONCATENATE(E27," keer per jaar")</f>
        <v>51 keer per jaar</v>
      </c>
      <c r="H27" s="506"/>
      <c r="I27" s="507"/>
      <c r="J27" s="506"/>
      <c r="K27" s="507">
        <f t="shared" ref="K27:K31" si="17">IF(J27=0,0,(AVERAGE(J27:J27)))</f>
        <v>0</v>
      </c>
      <c r="L27" s="521">
        <f t="shared" ref="L27:L31" si="18">IF(H27=0,0,E27/(SUM(I27+K27)))</f>
        <v>0</v>
      </c>
      <c r="M27" s="515">
        <f>SUMIF('1.3-Basis ruimtestaat'!M:M,C27,'1.3-Basis ruimtestaat'!K:K)</f>
        <v>144.43</v>
      </c>
      <c r="N27" s="415"/>
      <c r="O27" s="416">
        <f t="shared" si="3"/>
        <v>1.7360209625462766E-2</v>
      </c>
      <c r="P27" s="418"/>
      <c r="Q27" s="239" t="s">
        <v>53</v>
      </c>
    </row>
    <row r="28" spans="1:17" s="401" customFormat="1" ht="16">
      <c r="A28" s="401" t="s">
        <v>343</v>
      </c>
      <c r="B28" s="402" t="e">
        <f>VLOOKUP(A28,#REF!,3,FALSE)</f>
        <v>#REF!</v>
      </c>
      <c r="C28" s="424">
        <v>3060</v>
      </c>
      <c r="D28" s="431"/>
      <c r="E28" s="306">
        <v>60</v>
      </c>
      <c r="F28" s="411" t="s">
        <v>376</v>
      </c>
      <c r="G28" s="510" t="str">
        <f t="shared" ref="G28:G29" si="19">CONCATENATE(E28," keer per jaar")</f>
        <v>60 keer per jaar</v>
      </c>
      <c r="H28" s="506"/>
      <c r="I28" s="507"/>
      <c r="J28" s="844"/>
      <c r="K28" s="507">
        <f t="shared" ref="K28:K29" si="20">IF(J28=0,0,(AVERAGE(J28:J28)))</f>
        <v>0</v>
      </c>
      <c r="L28" s="521">
        <f t="shared" ref="L28:L29" si="21">IF(H28=0,0,E28/(SUM(I28+K28)))</f>
        <v>0</v>
      </c>
      <c r="M28" s="515"/>
      <c r="N28" s="415"/>
      <c r="O28" s="416" t="str">
        <f t="shared" si="3"/>
        <v/>
      </c>
      <c r="P28" s="843" t="s">
        <v>1221</v>
      </c>
      <c r="Q28" s="239" t="s">
        <v>53</v>
      </c>
    </row>
    <row r="29" spans="1:17" s="401" customFormat="1" ht="16">
      <c r="A29" s="401" t="s">
        <v>343</v>
      </c>
      <c r="B29" s="402" t="e">
        <f>VLOOKUP(A29,#REF!,3,FALSE)</f>
        <v>#REF!</v>
      </c>
      <c r="C29" s="424">
        <v>3104</v>
      </c>
      <c r="D29" s="431"/>
      <c r="E29" s="306">
        <v>104</v>
      </c>
      <c r="F29" s="411" t="s">
        <v>376</v>
      </c>
      <c r="G29" s="510" t="str">
        <f t="shared" si="19"/>
        <v>104 keer per jaar</v>
      </c>
      <c r="H29" s="506"/>
      <c r="I29" s="507"/>
      <c r="J29" s="506"/>
      <c r="K29" s="507">
        <f t="shared" si="20"/>
        <v>0</v>
      </c>
      <c r="L29" s="521">
        <f t="shared" si="21"/>
        <v>0</v>
      </c>
      <c r="M29" s="515">
        <f>SUMIF('1.3-Basis ruimtestaat'!M:M,C29,'1.3-Basis ruimtestaat'!K:K)</f>
        <v>102.32000000000001</v>
      </c>
      <c r="N29" s="415"/>
      <c r="O29" s="416">
        <f t="shared" si="3"/>
        <v>1.2298668205202177E-2</v>
      </c>
      <c r="P29" s="843"/>
      <c r="Q29" s="239" t="s">
        <v>53</v>
      </c>
    </row>
    <row r="30" spans="1:17" s="401" customFormat="1" ht="16">
      <c r="A30" s="401" t="s">
        <v>343</v>
      </c>
      <c r="B30" s="402" t="e">
        <f>VLOOKUP(A30,#REF!,3,FALSE)</f>
        <v>#REF!</v>
      </c>
      <c r="C30" s="424">
        <v>3122</v>
      </c>
      <c r="D30" s="431"/>
      <c r="E30" s="306">
        <v>122</v>
      </c>
      <c r="F30" s="411" t="s">
        <v>376</v>
      </c>
      <c r="G30" s="510" t="str">
        <f t="shared" si="16"/>
        <v>122 keer per jaar</v>
      </c>
      <c r="H30" s="506"/>
      <c r="I30" s="507"/>
      <c r="J30" s="506"/>
      <c r="K30" s="507">
        <f t="shared" si="17"/>
        <v>0</v>
      </c>
      <c r="L30" s="521">
        <f t="shared" si="18"/>
        <v>0</v>
      </c>
      <c r="M30" s="515">
        <f>SUMIF('1.3-Basis ruimtestaat'!M:M,C30,'1.3-Basis ruimtestaat'!K:K)</f>
        <v>42.05</v>
      </c>
      <c r="N30" s="415"/>
      <c r="O30" s="416">
        <f t="shared" si="3"/>
        <v>5.0543295350738019E-3</v>
      </c>
      <c r="P30" s="843" t="s">
        <v>1254</v>
      </c>
      <c r="Q30" s="239" t="s">
        <v>53</v>
      </c>
    </row>
    <row r="31" spans="1:17" s="401" customFormat="1" ht="16">
      <c r="A31" s="401" t="s">
        <v>343</v>
      </c>
      <c r="B31" s="402" t="e">
        <f>VLOOKUP(A31,#REF!,3,FALSE)</f>
        <v>#REF!</v>
      </c>
      <c r="C31" s="424">
        <v>3156</v>
      </c>
      <c r="D31" s="431"/>
      <c r="E31" s="306">
        <v>156</v>
      </c>
      <c r="F31" s="411" t="s">
        <v>376</v>
      </c>
      <c r="G31" s="510" t="str">
        <f t="shared" si="16"/>
        <v>156 keer per jaar</v>
      </c>
      <c r="H31" s="506"/>
      <c r="I31" s="507"/>
      <c r="J31" s="506"/>
      <c r="K31" s="507">
        <f t="shared" si="17"/>
        <v>0</v>
      </c>
      <c r="L31" s="521">
        <f t="shared" si="18"/>
        <v>0</v>
      </c>
      <c r="M31" s="515">
        <f>SUMIF('1.3-Basis ruimtestaat'!M:M,C31,'1.3-Basis ruimtestaat'!K:K)</f>
        <v>127.16</v>
      </c>
      <c r="N31" s="415"/>
      <c r="O31" s="416">
        <f t="shared" si="3"/>
        <v>1.5284388672532335E-2</v>
      </c>
      <c r="P31" s="418"/>
      <c r="Q31" s="239" t="s">
        <v>53</v>
      </c>
    </row>
    <row r="32" spans="1:17" s="401" customFormat="1" ht="16">
      <c r="A32" s="401" t="s">
        <v>343</v>
      </c>
      <c r="B32" s="402" t="e">
        <f>VLOOKUP(A32,#REF!,3,FALSE)</f>
        <v>#REF!</v>
      </c>
      <c r="C32" s="424">
        <v>3253</v>
      </c>
      <c r="D32" s="431"/>
      <c r="E32" s="306">
        <v>253</v>
      </c>
      <c r="F32" s="411" t="s">
        <v>376</v>
      </c>
      <c r="G32" s="510" t="str">
        <f t="shared" si="4"/>
        <v>253 keer per jaar</v>
      </c>
      <c r="H32" s="506"/>
      <c r="I32" s="507"/>
      <c r="J32" s="506"/>
      <c r="K32" s="507">
        <f t="shared" si="5"/>
        <v>0</v>
      </c>
      <c r="L32" s="521">
        <f t="shared" si="6"/>
        <v>0</v>
      </c>
      <c r="M32" s="515">
        <f>SUMIF('1.3-Basis ruimtestaat'!M:M,C32,'1.3-Basis ruimtestaat'!K:K)</f>
        <v>688.14</v>
      </c>
      <c r="N32" s="415"/>
      <c r="O32" s="416">
        <f t="shared" si="3"/>
        <v>8.2713111207269596E-2</v>
      </c>
      <c r="P32" s="418"/>
      <c r="Q32" s="239" t="s">
        <v>53</v>
      </c>
    </row>
    <row r="33" spans="1:17" s="401" customFormat="1" ht="16">
      <c r="A33" s="401" t="s">
        <v>343</v>
      </c>
      <c r="B33" s="402" t="e">
        <f>VLOOKUP(A33,#REF!,3,FALSE)</f>
        <v>#REF!</v>
      </c>
      <c r="C33" s="424">
        <v>4026</v>
      </c>
      <c r="D33" s="431"/>
      <c r="E33" s="306">
        <v>26</v>
      </c>
      <c r="F33" s="411" t="s">
        <v>172</v>
      </c>
      <c r="G33" s="510" t="str">
        <f t="shared" si="4"/>
        <v>26 keer per jaar</v>
      </c>
      <c r="H33" s="506"/>
      <c r="I33" s="507"/>
      <c r="J33" s="506"/>
      <c r="K33" s="507">
        <f t="shared" si="5"/>
        <v>0</v>
      </c>
      <c r="L33" s="521">
        <f t="shared" si="6"/>
        <v>0</v>
      </c>
      <c r="M33" s="515">
        <f>SUMIF('1.3-Basis ruimtestaat'!M:M,C33,'1.3-Basis ruimtestaat'!K:K)</f>
        <v>10.57</v>
      </c>
      <c r="N33" s="415"/>
      <c r="O33" s="416">
        <f t="shared" si="3"/>
        <v>1.2704937737391224E-3</v>
      </c>
      <c r="P33" s="418"/>
      <c r="Q33" s="239" t="s">
        <v>377</v>
      </c>
    </row>
    <row r="34" spans="1:17" s="401" customFormat="1" ht="16">
      <c r="A34" s="401" t="s">
        <v>343</v>
      </c>
      <c r="B34" s="402" t="e">
        <f>VLOOKUP(A34,#REF!,3,FALSE)</f>
        <v>#REF!</v>
      </c>
      <c r="C34" s="424">
        <v>4051</v>
      </c>
      <c r="D34" s="431"/>
      <c r="E34" s="306">
        <v>51</v>
      </c>
      <c r="F34" s="411" t="s">
        <v>172</v>
      </c>
      <c r="G34" s="510" t="str">
        <f t="shared" ref="G34:G38" si="22">CONCATENATE(E34," keer per jaar")</f>
        <v>51 keer per jaar</v>
      </c>
      <c r="H34" s="506"/>
      <c r="I34" s="507"/>
      <c r="J34" s="506"/>
      <c r="K34" s="507">
        <f t="shared" ref="K34:K38" si="23">IF(J34=0,0,(AVERAGE(J34:J34)))</f>
        <v>0</v>
      </c>
      <c r="L34" s="521">
        <f t="shared" ref="L34:L38" si="24">IF(H34=0,0,E34/(SUM(I34+K34)))</f>
        <v>0</v>
      </c>
      <c r="M34" s="515">
        <f>SUMIF('1.3-Basis ruimtestaat'!M:M,C34,'1.3-Basis ruimtestaat'!K:K)</f>
        <v>70.349999999999994</v>
      </c>
      <c r="N34" s="415"/>
      <c r="O34" s="416">
        <f t="shared" si="3"/>
        <v>8.4559353815087269E-3</v>
      </c>
      <c r="P34" s="418"/>
      <c r="Q34" s="239" t="s">
        <v>377</v>
      </c>
    </row>
    <row r="35" spans="1:17" s="401" customFormat="1" ht="16">
      <c r="A35" s="401" t="s">
        <v>343</v>
      </c>
      <c r="B35" s="402" t="e">
        <f>VLOOKUP(A35,#REF!,3,FALSE)</f>
        <v>#REF!</v>
      </c>
      <c r="C35" s="424">
        <v>4060</v>
      </c>
      <c r="D35" s="431"/>
      <c r="E35" s="306">
        <v>60</v>
      </c>
      <c r="F35" s="411" t="s">
        <v>172</v>
      </c>
      <c r="G35" s="510" t="str">
        <f t="shared" ref="G35:G36" si="25">CONCATENATE(E35," keer per jaar")</f>
        <v>60 keer per jaar</v>
      </c>
      <c r="H35" s="506"/>
      <c r="I35" s="507"/>
      <c r="J35" s="844"/>
      <c r="K35" s="507">
        <f t="shared" ref="K35:K36" si="26">IF(J35=0,0,(AVERAGE(J35:J35)))</f>
        <v>0</v>
      </c>
      <c r="L35" s="521">
        <f t="shared" ref="L35:L36" si="27">IF(H35=0,0,E35/(SUM(I35+K35)))</f>
        <v>0</v>
      </c>
      <c r="M35" s="515"/>
      <c r="N35" s="415"/>
      <c r="O35" s="416" t="str">
        <f t="shared" si="3"/>
        <v/>
      </c>
      <c r="P35" s="843" t="s">
        <v>1221</v>
      </c>
      <c r="Q35" s="239" t="s">
        <v>377</v>
      </c>
    </row>
    <row r="36" spans="1:17" s="401" customFormat="1" ht="16">
      <c r="A36" s="401" t="s">
        <v>343</v>
      </c>
      <c r="B36" s="402" t="e">
        <f>VLOOKUP(A36,#REF!,3,FALSE)</f>
        <v>#REF!</v>
      </c>
      <c r="C36" s="424">
        <v>4104</v>
      </c>
      <c r="D36" s="431"/>
      <c r="E36" s="306">
        <v>104</v>
      </c>
      <c r="F36" s="411" t="s">
        <v>172</v>
      </c>
      <c r="G36" s="510" t="str">
        <f t="shared" si="25"/>
        <v>104 keer per jaar</v>
      </c>
      <c r="H36" s="506"/>
      <c r="I36" s="507"/>
      <c r="J36" s="506"/>
      <c r="K36" s="507">
        <f t="shared" si="26"/>
        <v>0</v>
      </c>
      <c r="L36" s="521">
        <f t="shared" si="27"/>
        <v>0</v>
      </c>
      <c r="M36" s="515">
        <f>SUMIF('1.3-Basis ruimtestaat'!M:M,C36,'1.3-Basis ruimtestaat'!K:K)</f>
        <v>38.389999999999993</v>
      </c>
      <c r="N36" s="415"/>
      <c r="O36" s="416">
        <f t="shared" si="3"/>
        <v>4.6144045386797439E-3</v>
      </c>
      <c r="P36" s="843"/>
      <c r="Q36" s="239" t="s">
        <v>377</v>
      </c>
    </row>
    <row r="37" spans="1:17" s="401" customFormat="1" ht="16">
      <c r="A37" s="401" t="s">
        <v>343</v>
      </c>
      <c r="B37" s="402" t="e">
        <f>VLOOKUP(A37,#REF!,3,FALSE)</f>
        <v>#REF!</v>
      </c>
      <c r="C37" s="424">
        <v>4122</v>
      </c>
      <c r="D37" s="431"/>
      <c r="E37" s="306">
        <v>122</v>
      </c>
      <c r="F37" s="411" t="s">
        <v>172</v>
      </c>
      <c r="G37" s="510" t="str">
        <f t="shared" si="22"/>
        <v>122 keer per jaar</v>
      </c>
      <c r="H37" s="506"/>
      <c r="I37" s="507"/>
      <c r="J37" s="506"/>
      <c r="K37" s="507">
        <f t="shared" si="23"/>
        <v>0</v>
      </c>
      <c r="L37" s="521">
        <f t="shared" si="24"/>
        <v>0</v>
      </c>
      <c r="M37" s="515">
        <f>SUMIF('1.3-Basis ruimtestaat'!M:M,C37,'1.3-Basis ruimtestaat'!K:K)</f>
        <v>9.8099999999999987</v>
      </c>
      <c r="N37" s="415"/>
      <c r="O37" s="416">
        <f t="shared" si="3"/>
        <v>1.1791432280398096E-3</v>
      </c>
      <c r="P37" s="843" t="s">
        <v>1254</v>
      </c>
      <c r="Q37" s="239" t="s">
        <v>377</v>
      </c>
    </row>
    <row r="38" spans="1:17" s="401" customFormat="1" ht="16">
      <c r="A38" s="401" t="s">
        <v>343</v>
      </c>
      <c r="B38" s="402" t="e">
        <f>VLOOKUP(A38,#REF!,3,FALSE)</f>
        <v>#REF!</v>
      </c>
      <c r="C38" s="424">
        <v>4156</v>
      </c>
      <c r="D38" s="431"/>
      <c r="E38" s="306">
        <v>156</v>
      </c>
      <c r="F38" s="411" t="s">
        <v>172</v>
      </c>
      <c r="G38" s="510" t="str">
        <f t="shared" si="22"/>
        <v>156 keer per jaar</v>
      </c>
      <c r="H38" s="506"/>
      <c r="I38" s="507"/>
      <c r="J38" s="506"/>
      <c r="K38" s="507">
        <f t="shared" si="23"/>
        <v>0</v>
      </c>
      <c r="L38" s="521">
        <f t="shared" si="24"/>
        <v>0</v>
      </c>
      <c r="M38" s="515">
        <f>SUMIF('1.3-Basis ruimtestaat'!M:M,C38,'1.3-Basis ruimtestaat'!K:K)</f>
        <v>27.749999999999996</v>
      </c>
      <c r="N38" s="415"/>
      <c r="O38" s="416">
        <f t="shared" si="3"/>
        <v>3.3354968988893699E-3</v>
      </c>
      <c r="P38" s="418"/>
      <c r="Q38" s="239" t="s">
        <v>377</v>
      </c>
    </row>
    <row r="39" spans="1:17" s="401" customFormat="1" ht="16">
      <c r="A39" s="401" t="s">
        <v>343</v>
      </c>
      <c r="B39" s="402" t="e">
        <f>VLOOKUP(A39,#REF!,3,FALSE)</f>
        <v>#REF!</v>
      </c>
      <c r="C39" s="424">
        <v>4253</v>
      </c>
      <c r="D39" s="431"/>
      <c r="E39" s="306">
        <v>253</v>
      </c>
      <c r="F39" s="411" t="s">
        <v>172</v>
      </c>
      <c r="G39" s="510" t="str">
        <f t="shared" si="4"/>
        <v>253 keer per jaar</v>
      </c>
      <c r="H39" s="506"/>
      <c r="I39" s="507"/>
      <c r="J39" s="506"/>
      <c r="K39" s="507">
        <f t="shared" si="5"/>
        <v>0</v>
      </c>
      <c r="L39" s="521">
        <f t="shared" si="6"/>
        <v>0</v>
      </c>
      <c r="M39" s="515">
        <f>SUMIF('1.3-Basis ruimtestaat'!M:M,C39,'1.3-Basis ruimtestaat'!K:K)</f>
        <v>286.64</v>
      </c>
      <c r="N39" s="415"/>
      <c r="O39" s="416">
        <f t="shared" si="3"/>
        <v>3.4453579499014383E-2</v>
      </c>
      <c r="P39" s="418"/>
      <c r="Q39" s="239" t="s">
        <v>377</v>
      </c>
    </row>
    <row r="40" spans="1:17" s="39" customFormat="1" ht="16">
      <c r="A40" s="39" t="s">
        <v>343</v>
      </c>
      <c r="B40" s="398" t="e">
        <f>VLOOKUP(A40,#REF!,3,FALSE)</f>
        <v>#REF!</v>
      </c>
      <c r="C40" s="424">
        <v>5026</v>
      </c>
      <c r="D40" s="431"/>
      <c r="E40" s="306">
        <v>26</v>
      </c>
      <c r="F40" s="579" t="s">
        <v>983</v>
      </c>
      <c r="G40" s="510" t="str">
        <f t="shared" si="4"/>
        <v>26 keer per jaar</v>
      </c>
      <c r="H40" s="506"/>
      <c r="I40" s="507"/>
      <c r="J40" s="506"/>
      <c r="K40" s="507">
        <f t="shared" si="5"/>
        <v>0</v>
      </c>
      <c r="L40" s="521">
        <f t="shared" si="6"/>
        <v>0</v>
      </c>
      <c r="M40" s="515">
        <f>SUMIF('1.3-Basis ruimtestaat'!M:M,C40,'1.3-Basis ruimtestaat'!K:K)</f>
        <v>26.41</v>
      </c>
      <c r="N40" s="415"/>
      <c r="O40" s="416">
        <f t="shared" si="3"/>
        <v>3.1744314630511089E-3</v>
      </c>
      <c r="P40" s="418"/>
      <c r="Q40" s="239" t="s">
        <v>53</v>
      </c>
    </row>
    <row r="41" spans="1:17" s="39" customFormat="1" ht="16">
      <c r="A41" s="39" t="s">
        <v>343</v>
      </c>
      <c r="B41" s="398" t="e">
        <f>VLOOKUP(A41,#REF!,3,FALSE)</f>
        <v>#REF!</v>
      </c>
      <c r="C41" s="424">
        <v>5051</v>
      </c>
      <c r="D41" s="431"/>
      <c r="E41" s="306">
        <v>51</v>
      </c>
      <c r="F41" s="579" t="s">
        <v>983</v>
      </c>
      <c r="G41" s="510" t="str">
        <f t="shared" ref="G41:G43" si="28">CONCATENATE(E41," keer per jaar")</f>
        <v>51 keer per jaar</v>
      </c>
      <c r="H41" s="506"/>
      <c r="I41" s="507"/>
      <c r="J41" s="506"/>
      <c r="K41" s="507">
        <f t="shared" ref="K41:K43" si="29">IF(J41=0,0,(AVERAGE(J41:J41)))</f>
        <v>0</v>
      </c>
      <c r="L41" s="521">
        <f t="shared" ref="L41:L43" si="30">IF(H41=0,0,E41/(SUM(I41+K41)))</f>
        <v>0</v>
      </c>
      <c r="M41" s="515">
        <f>SUMIF('1.3-Basis ruimtestaat'!M:M,C41,'1.3-Basis ruimtestaat'!K:K)</f>
        <v>76.67</v>
      </c>
      <c r="N41" s="415"/>
      <c r="O41" s="416">
        <f t="shared" si="3"/>
        <v>9.2155872878503797E-3</v>
      </c>
      <c r="P41" s="418"/>
      <c r="Q41" s="239" t="s">
        <v>53</v>
      </c>
    </row>
    <row r="42" spans="1:17" s="39" customFormat="1" ht="16">
      <c r="A42" s="39" t="s">
        <v>343</v>
      </c>
      <c r="B42" s="398" t="e">
        <f>VLOOKUP(A42,#REF!,3,FALSE)</f>
        <v>#REF!</v>
      </c>
      <c r="C42" s="424">
        <v>5104</v>
      </c>
      <c r="D42" s="431"/>
      <c r="E42" s="306">
        <v>104</v>
      </c>
      <c r="F42" s="579" t="s">
        <v>983</v>
      </c>
      <c r="G42" s="510" t="str">
        <f t="shared" si="28"/>
        <v>104 keer per jaar</v>
      </c>
      <c r="H42" s="506"/>
      <c r="I42" s="507"/>
      <c r="J42" s="506"/>
      <c r="K42" s="507">
        <f t="shared" si="29"/>
        <v>0</v>
      </c>
      <c r="L42" s="521">
        <f t="shared" si="30"/>
        <v>0</v>
      </c>
      <c r="M42" s="515">
        <f>SUMIF('1.3-Basis ruimtestaat'!M:M,C42,'1.3-Basis ruimtestaat'!K:K)</f>
        <v>122</v>
      </c>
      <c r="N42" s="415"/>
      <c r="O42" s="416">
        <f t="shared" si="3"/>
        <v>1.4664166546468583E-2</v>
      </c>
      <c r="P42" s="418"/>
      <c r="Q42" s="239" t="s">
        <v>53</v>
      </c>
    </row>
    <row r="43" spans="1:17" s="39" customFormat="1" ht="16">
      <c r="A43" s="39" t="s">
        <v>343</v>
      </c>
      <c r="B43" s="398" t="e">
        <f>VLOOKUP(A43,#REF!,3,FALSE)</f>
        <v>#REF!</v>
      </c>
      <c r="C43" s="424">
        <v>5156</v>
      </c>
      <c r="D43" s="431"/>
      <c r="E43" s="306">
        <v>156</v>
      </c>
      <c r="F43" s="579" t="s">
        <v>983</v>
      </c>
      <c r="G43" s="510" t="str">
        <f t="shared" si="28"/>
        <v>156 keer per jaar</v>
      </c>
      <c r="H43" s="506"/>
      <c r="I43" s="507"/>
      <c r="J43" s="506"/>
      <c r="K43" s="507">
        <f t="shared" si="29"/>
        <v>0</v>
      </c>
      <c r="L43" s="521">
        <f t="shared" si="30"/>
        <v>0</v>
      </c>
      <c r="M43" s="515">
        <f>SUMIF('1.3-Basis ruimtestaat'!M:M,C43,'1.3-Basis ruimtestaat'!K:K)</f>
        <v>70.3</v>
      </c>
      <c r="N43" s="415"/>
      <c r="O43" s="416">
        <f t="shared" si="3"/>
        <v>8.4499254771864037E-3</v>
      </c>
      <c r="P43" s="418"/>
      <c r="Q43" s="239" t="s">
        <v>53</v>
      </c>
    </row>
    <row r="44" spans="1:17" s="39" customFormat="1" ht="16">
      <c r="A44" s="39" t="s">
        <v>343</v>
      </c>
      <c r="B44" s="398" t="e">
        <f>VLOOKUP(A44,#REF!,3,FALSE)</f>
        <v>#REF!</v>
      </c>
      <c r="C44" s="424">
        <v>5253</v>
      </c>
      <c r="D44" s="431"/>
      <c r="E44" s="306">
        <v>253</v>
      </c>
      <c r="F44" s="579" t="s">
        <v>983</v>
      </c>
      <c r="G44" s="510" t="str">
        <f t="shared" si="4"/>
        <v>253 keer per jaar</v>
      </c>
      <c r="H44" s="506"/>
      <c r="I44" s="507"/>
      <c r="J44" s="506"/>
      <c r="K44" s="507">
        <f t="shared" si="5"/>
        <v>0</v>
      </c>
      <c r="L44" s="521">
        <f t="shared" si="6"/>
        <v>0</v>
      </c>
      <c r="M44" s="515">
        <f>SUMIF('1.3-Basis ruimtestaat'!M:M,C44,'1.3-Basis ruimtestaat'!K:K)</f>
        <v>389.72999999999996</v>
      </c>
      <c r="N44" s="415"/>
      <c r="O44" s="416">
        <f t="shared" si="3"/>
        <v>4.6844800230780331E-2</v>
      </c>
      <c r="P44" s="418"/>
      <c r="Q44" s="239" t="s">
        <v>53</v>
      </c>
    </row>
    <row r="45" spans="1:17" s="39" customFormat="1" ht="16">
      <c r="A45" s="39" t="s">
        <v>345</v>
      </c>
      <c r="B45" s="398" t="e">
        <f>VLOOKUP(A45,#REF!,3,FALSE)</f>
        <v>#REF!</v>
      </c>
      <c r="C45" s="424">
        <v>8051</v>
      </c>
      <c r="D45" s="431"/>
      <c r="E45" s="306">
        <v>51</v>
      </c>
      <c r="F45" s="579" t="s">
        <v>981</v>
      </c>
      <c r="G45" s="510" t="str">
        <f t="shared" ref="G45:G47" si="31">CONCATENATE(E45," keer per jaar")</f>
        <v>51 keer per jaar</v>
      </c>
      <c r="H45" s="506"/>
      <c r="I45" s="507"/>
      <c r="J45" s="506"/>
      <c r="K45" s="507">
        <f t="shared" si="5"/>
        <v>0</v>
      </c>
      <c r="L45" s="521">
        <f t="shared" si="6"/>
        <v>0</v>
      </c>
      <c r="M45" s="515">
        <f>SUMIF('1.3-Basis ruimtestaat'!M:M,C45,'1.3-Basis ruimtestaat'!K:K)</f>
        <v>23.01</v>
      </c>
      <c r="N45" s="415"/>
      <c r="O45" s="416">
        <f t="shared" si="3"/>
        <v>2.765757969133132E-3</v>
      </c>
      <c r="P45" s="418"/>
      <c r="Q45" s="239" t="s">
        <v>53</v>
      </c>
    </row>
    <row r="46" spans="1:17" s="39" customFormat="1" ht="16">
      <c r="A46" s="39" t="s">
        <v>345</v>
      </c>
      <c r="B46" s="398" t="e">
        <f>VLOOKUP(A46,#REF!,3,FALSE)</f>
        <v>#REF!</v>
      </c>
      <c r="C46" s="424">
        <v>8104</v>
      </c>
      <c r="D46" s="431"/>
      <c r="E46" s="306">
        <v>104</v>
      </c>
      <c r="F46" s="579" t="s">
        <v>981</v>
      </c>
      <c r="G46" s="510" t="str">
        <f t="shared" si="31"/>
        <v>104 keer per jaar</v>
      </c>
      <c r="H46" s="506"/>
      <c r="I46" s="507"/>
      <c r="J46" s="506"/>
      <c r="K46" s="507">
        <f t="shared" si="5"/>
        <v>0</v>
      </c>
      <c r="L46" s="521">
        <f t="shared" si="6"/>
        <v>0</v>
      </c>
      <c r="M46" s="515">
        <f>SUMIF('1.3-Basis ruimtestaat'!M:M,C46,'1.3-Basis ruimtestaat'!K:K)</f>
        <v>71.39</v>
      </c>
      <c r="N46" s="415"/>
      <c r="O46" s="416">
        <f t="shared" si="3"/>
        <v>8.5809413914130495E-3</v>
      </c>
      <c r="P46" s="418"/>
      <c r="Q46" s="239" t="s">
        <v>53</v>
      </c>
    </row>
    <row r="47" spans="1:17" s="39" customFormat="1" ht="16">
      <c r="A47" s="39" t="s">
        <v>345</v>
      </c>
      <c r="B47" s="398" t="e">
        <f>VLOOKUP(A47,#REF!,3,FALSE)</f>
        <v>#REF!</v>
      </c>
      <c r="C47" s="424">
        <v>8156</v>
      </c>
      <c r="D47" s="431"/>
      <c r="E47" s="306">
        <v>156</v>
      </c>
      <c r="F47" s="579" t="s">
        <v>981</v>
      </c>
      <c r="G47" s="510" t="str">
        <f t="shared" si="31"/>
        <v>156 keer per jaar</v>
      </c>
      <c r="H47" s="506"/>
      <c r="I47" s="507"/>
      <c r="J47" s="506"/>
      <c r="K47" s="507">
        <f t="shared" si="5"/>
        <v>0</v>
      </c>
      <c r="L47" s="521">
        <f t="shared" si="6"/>
        <v>0</v>
      </c>
      <c r="M47" s="515">
        <f>SUMIF('1.3-Basis ruimtestaat'!M:M,C47,'1.3-Basis ruimtestaat'!K:K)</f>
        <v>51.56</v>
      </c>
      <c r="N47" s="415"/>
      <c r="O47" s="416">
        <f t="shared" si="3"/>
        <v>6.1974133371796736E-3</v>
      </c>
      <c r="P47" s="418"/>
      <c r="Q47" s="239" t="s">
        <v>53</v>
      </c>
    </row>
    <row r="48" spans="1:17" s="39" customFormat="1" ht="16">
      <c r="A48" s="39" t="s">
        <v>345</v>
      </c>
      <c r="B48" s="398" t="e">
        <f>VLOOKUP(A48,#REF!,3,FALSE)</f>
        <v>#REF!</v>
      </c>
      <c r="C48" s="424">
        <v>8253</v>
      </c>
      <c r="D48" s="431"/>
      <c r="E48" s="306">
        <v>253</v>
      </c>
      <c r="F48" s="579" t="s">
        <v>981</v>
      </c>
      <c r="G48" s="510" t="str">
        <f t="shared" si="4"/>
        <v>253 keer per jaar</v>
      </c>
      <c r="H48" s="506"/>
      <c r="I48" s="507"/>
      <c r="J48" s="506"/>
      <c r="K48" s="507">
        <f t="shared" ref="K48:K64" si="32">IF(J48=0,0,(AVERAGE(J48:J48)))</f>
        <v>0</v>
      </c>
      <c r="L48" s="521">
        <f t="shared" ref="L48:L60" si="33">IF(H48=0,0,E48/(SUM(I48+K48)))</f>
        <v>0</v>
      </c>
      <c r="M48" s="515">
        <f>SUMIF('1.3-Basis ruimtestaat'!M:M,C48,'1.3-Basis ruimtestaat'!K:K)</f>
        <v>78.650000000000006</v>
      </c>
      <c r="N48" s="415"/>
      <c r="O48" s="416">
        <f t="shared" si="3"/>
        <v>9.4535794990143786E-3</v>
      </c>
      <c r="P48" s="418"/>
      <c r="Q48" s="239" t="s">
        <v>53</v>
      </c>
    </row>
    <row r="49" spans="1:17" s="39" customFormat="1" ht="16">
      <c r="A49" s="39" t="s">
        <v>346</v>
      </c>
      <c r="B49" s="398" t="e">
        <f>VLOOKUP(A49,#REF!,3,FALSE)</f>
        <v>#REF!</v>
      </c>
      <c r="C49" s="424">
        <v>9051</v>
      </c>
      <c r="D49" s="431"/>
      <c r="E49" s="306">
        <v>51</v>
      </c>
      <c r="F49" s="411" t="s">
        <v>272</v>
      </c>
      <c r="G49" s="510" t="str">
        <f>CONCATENATE(E49," keer per jaar")</f>
        <v>51 keer per jaar</v>
      </c>
      <c r="H49" s="506"/>
      <c r="I49" s="507"/>
      <c r="J49" s="506"/>
      <c r="K49" s="507">
        <f t="shared" ref="K49:K51" si="34">IF(J49=0,0,(AVERAGE(J49:J49)))</f>
        <v>0</v>
      </c>
      <c r="L49" s="521">
        <f t="shared" ref="L49:L51" si="35">IF(H49=0,0,E49/(SUM(I49+K49)))</f>
        <v>0</v>
      </c>
      <c r="M49" s="515">
        <f>SUMIF('1.3-Basis ruimtestaat'!M:M,C49,'1.3-Basis ruimtestaat'!K:K)</f>
        <v>15.7</v>
      </c>
      <c r="N49" s="415"/>
      <c r="O49" s="416">
        <f t="shared" si="3"/>
        <v>1.8871099572094815E-3</v>
      </c>
      <c r="P49" s="418"/>
      <c r="Q49" s="239" t="s">
        <v>53</v>
      </c>
    </row>
    <row r="50" spans="1:17" s="39" customFormat="1" ht="16">
      <c r="A50" s="39" t="s">
        <v>346</v>
      </c>
      <c r="B50" s="398" t="e">
        <f>VLOOKUP(A50,#REF!,3,FALSE)</f>
        <v>#REF!</v>
      </c>
      <c r="C50" s="424">
        <v>9060</v>
      </c>
      <c r="D50" s="431"/>
      <c r="E50" s="306">
        <v>60</v>
      </c>
      <c r="F50" s="411" t="s">
        <v>272</v>
      </c>
      <c r="G50" s="510" t="str">
        <f>CONCATENATE(E50," keer per jaar")</f>
        <v>60 keer per jaar</v>
      </c>
      <c r="H50" s="506"/>
      <c r="I50" s="507"/>
      <c r="J50" s="844"/>
      <c r="K50" s="507">
        <f t="shared" ref="K50" si="36">IF(J50=0,0,(AVERAGE(J50:J50)))</f>
        <v>0</v>
      </c>
      <c r="L50" s="521">
        <f t="shared" ref="L50" si="37">IF(H50=0,0,E50/(SUM(I50+K50)))</f>
        <v>0</v>
      </c>
      <c r="M50" s="515">
        <f>SUMIF('1.3-Basis ruimtestaat'!M:M,C50,'1.3-Basis ruimtestaat'!K:K)</f>
        <v>0</v>
      </c>
      <c r="N50" s="415"/>
      <c r="O50" s="416" t="str">
        <f t="shared" si="3"/>
        <v/>
      </c>
      <c r="P50" s="843" t="s">
        <v>1221</v>
      </c>
      <c r="Q50" s="239" t="s">
        <v>53</v>
      </c>
    </row>
    <row r="51" spans="1:17" s="39" customFormat="1" ht="16">
      <c r="A51" s="39" t="s">
        <v>346</v>
      </c>
      <c r="B51" s="398" t="e">
        <f>VLOOKUP(A51,#REF!,3,FALSE)</f>
        <v>#REF!</v>
      </c>
      <c r="C51" s="424">
        <v>9122</v>
      </c>
      <c r="D51" s="431"/>
      <c r="E51" s="306">
        <v>122</v>
      </c>
      <c r="F51" s="411" t="s">
        <v>272</v>
      </c>
      <c r="G51" s="510" t="str">
        <f>CONCATENATE(E51," keer per jaar")</f>
        <v>122 keer per jaar</v>
      </c>
      <c r="H51" s="506"/>
      <c r="I51" s="507"/>
      <c r="J51" s="506"/>
      <c r="K51" s="507">
        <f t="shared" si="34"/>
        <v>0</v>
      </c>
      <c r="L51" s="521">
        <f t="shared" si="35"/>
        <v>0</v>
      </c>
      <c r="M51" s="515">
        <f>SUMIF('1.3-Basis ruimtestaat'!M:M,C51,'1.3-Basis ruimtestaat'!K:K)</f>
        <v>7.5</v>
      </c>
      <c r="N51" s="415"/>
      <c r="O51" s="416">
        <f t="shared" si="3"/>
        <v>9.0148564834847847E-4</v>
      </c>
      <c r="P51" s="843" t="s">
        <v>1254</v>
      </c>
      <c r="Q51" s="239" t="s">
        <v>53</v>
      </c>
    </row>
    <row r="52" spans="1:17" s="39" customFormat="1" ht="16">
      <c r="A52" s="39" t="s">
        <v>346</v>
      </c>
      <c r="B52" s="398" t="e">
        <f>VLOOKUP(A52,#REF!,3,FALSE)</f>
        <v>#REF!</v>
      </c>
      <c r="C52" s="424">
        <v>9253</v>
      </c>
      <c r="D52" s="431"/>
      <c r="E52" s="306">
        <v>253</v>
      </c>
      <c r="F52" s="411" t="s">
        <v>272</v>
      </c>
      <c r="G52" s="510" t="str">
        <f>CONCATENATE(E52," keer per jaar")</f>
        <v>253 keer per jaar</v>
      </c>
      <c r="H52" s="506"/>
      <c r="I52" s="507"/>
      <c r="J52" s="506"/>
      <c r="K52" s="507">
        <f t="shared" si="32"/>
        <v>0</v>
      </c>
      <c r="L52" s="521">
        <f t="shared" si="33"/>
        <v>0</v>
      </c>
      <c r="M52" s="515">
        <f>SUMIF('1.3-Basis ruimtestaat'!M:M,C52,'1.3-Basis ruimtestaat'!K:K)</f>
        <v>5</v>
      </c>
      <c r="N52" s="415"/>
      <c r="O52" s="416">
        <f t="shared" si="3"/>
        <v>6.0099043223231898E-4</v>
      </c>
      <c r="P52" s="418"/>
      <c r="Q52" s="239" t="s">
        <v>53</v>
      </c>
    </row>
    <row r="53" spans="1:17" s="39" customFormat="1" ht="16">
      <c r="A53" s="39" t="s">
        <v>346</v>
      </c>
      <c r="B53" s="398" t="e">
        <f>VLOOKUP(A53,#REF!,3,FALSE)</f>
        <v>#REF!</v>
      </c>
      <c r="C53" s="424">
        <v>10051</v>
      </c>
      <c r="D53" s="431"/>
      <c r="E53" s="306">
        <v>51</v>
      </c>
      <c r="F53" s="432" t="s">
        <v>393</v>
      </c>
      <c r="G53" s="510" t="str">
        <f t="shared" ref="G53" si="38">CONCATENATE(E53," keer per jaar")</f>
        <v>51 keer per jaar</v>
      </c>
      <c r="H53" s="506"/>
      <c r="I53" s="507"/>
      <c r="J53" s="506"/>
      <c r="K53" s="507">
        <f t="shared" si="32"/>
        <v>0</v>
      </c>
      <c r="L53" s="521">
        <f t="shared" si="33"/>
        <v>0</v>
      </c>
      <c r="M53" s="515">
        <f>SUMIF('1.3-Basis ruimtestaat'!M:M,C53,'1.3-Basis ruimtestaat'!K:K)</f>
        <v>28.8</v>
      </c>
      <c r="N53" s="415"/>
      <c r="O53" s="416">
        <f t="shared" si="3"/>
        <v>3.4617048896581574E-3</v>
      </c>
      <c r="P53" s="418"/>
      <c r="Q53" s="239" t="s">
        <v>53</v>
      </c>
    </row>
    <row r="54" spans="1:17" s="39" customFormat="1" ht="16">
      <c r="B54" s="398"/>
      <c r="C54" s="424">
        <v>10104</v>
      </c>
      <c r="D54" s="431"/>
      <c r="E54" s="306">
        <v>104</v>
      </c>
      <c r="F54" s="432" t="s">
        <v>393</v>
      </c>
      <c r="G54" s="510" t="str">
        <f t="shared" ref="G54:G55" si="39">CONCATENATE(E54," keer per jaar")</f>
        <v>104 keer per jaar</v>
      </c>
      <c r="H54" s="506"/>
      <c r="I54" s="507"/>
      <c r="J54" s="506"/>
      <c r="K54" s="507">
        <f t="shared" ref="K54:K55" si="40">IF(J54=0,0,(AVERAGE(J54:J54)))</f>
        <v>0</v>
      </c>
      <c r="L54" s="521">
        <f t="shared" ref="L54:L55" si="41">IF(H54=0,0,E54/(SUM(I54+K54)))</f>
        <v>0</v>
      </c>
      <c r="M54" s="515">
        <f>SUMIF('1.3-Basis ruimtestaat'!M:M,C54,'1.3-Basis ruimtestaat'!K:K)</f>
        <v>73.59</v>
      </c>
      <c r="N54" s="415"/>
      <c r="O54" s="416">
        <f t="shared" si="3"/>
        <v>8.8453771815952716E-3</v>
      </c>
      <c r="P54" s="418"/>
      <c r="Q54" s="239" t="s">
        <v>53</v>
      </c>
    </row>
    <row r="55" spans="1:17" s="39" customFormat="1" ht="16">
      <c r="B55" s="398"/>
      <c r="C55" s="424">
        <v>10156</v>
      </c>
      <c r="D55" s="431"/>
      <c r="E55" s="306">
        <v>156</v>
      </c>
      <c r="F55" s="432" t="s">
        <v>393</v>
      </c>
      <c r="G55" s="510" t="str">
        <f t="shared" si="39"/>
        <v>156 keer per jaar</v>
      </c>
      <c r="H55" s="506"/>
      <c r="I55" s="507"/>
      <c r="J55" s="506"/>
      <c r="K55" s="507">
        <f t="shared" si="40"/>
        <v>0</v>
      </c>
      <c r="L55" s="521">
        <f t="shared" si="41"/>
        <v>0</v>
      </c>
      <c r="M55" s="515">
        <f>SUMIF('1.3-Basis ruimtestaat'!M:M,C55,'1.3-Basis ruimtestaat'!K:K)</f>
        <v>79.789999999999992</v>
      </c>
      <c r="N55" s="415"/>
      <c r="O55" s="416">
        <f t="shared" si="3"/>
        <v>9.5906053175633457E-3</v>
      </c>
      <c r="P55" s="418"/>
      <c r="Q55" s="239" t="s">
        <v>53</v>
      </c>
    </row>
    <row r="56" spans="1:17" s="39" customFormat="1" ht="16">
      <c r="B56" s="398"/>
      <c r="C56" s="424">
        <v>10253</v>
      </c>
      <c r="D56" s="431"/>
      <c r="E56" s="306">
        <v>253</v>
      </c>
      <c r="F56" s="432" t="s">
        <v>393</v>
      </c>
      <c r="G56" s="510" t="str">
        <f t="shared" si="4"/>
        <v>253 keer per jaar</v>
      </c>
      <c r="H56" s="506"/>
      <c r="I56" s="507"/>
      <c r="J56" s="506"/>
      <c r="K56" s="507">
        <f t="shared" si="32"/>
        <v>0</v>
      </c>
      <c r="L56" s="521">
        <f t="shared" si="33"/>
        <v>0</v>
      </c>
      <c r="M56" s="515">
        <f>SUMIF('1.3-Basis ruimtestaat'!M:M,C56,'1.3-Basis ruimtestaat'!K:K)</f>
        <v>199.19000000000003</v>
      </c>
      <c r="N56" s="415"/>
      <c r="O56" s="416">
        <f t="shared" si="3"/>
        <v>2.3942256839271127E-2</v>
      </c>
      <c r="P56" s="418"/>
      <c r="Q56" s="239" t="s">
        <v>53</v>
      </c>
    </row>
    <row r="57" spans="1:17" s="39" customFormat="1" ht="16">
      <c r="B57" s="398"/>
      <c r="C57" s="424">
        <v>15051</v>
      </c>
      <c r="D57" s="431"/>
      <c r="E57" s="306">
        <v>51</v>
      </c>
      <c r="F57" s="447" t="s">
        <v>400</v>
      </c>
      <c r="G57" s="510" t="str">
        <f t="shared" si="4"/>
        <v>51 keer per jaar</v>
      </c>
      <c r="H57" s="506"/>
      <c r="I57" s="507"/>
      <c r="J57" s="506"/>
      <c r="K57" s="507">
        <f t="shared" si="32"/>
        <v>0</v>
      </c>
      <c r="L57" s="521">
        <f t="shared" si="33"/>
        <v>0</v>
      </c>
      <c r="M57" s="515">
        <f>SUMIF('1.3-Basis ruimtestaat'!M:M,C57,'1.3-Basis ruimtestaat'!K:K)</f>
        <v>42.69</v>
      </c>
      <c r="N57" s="415"/>
      <c r="O57" s="416">
        <f t="shared" si="3"/>
        <v>5.1312563103995392E-3</v>
      </c>
      <c r="P57" s="418"/>
      <c r="Q57" s="239" t="s">
        <v>53</v>
      </c>
    </row>
    <row r="58" spans="1:17" s="39" customFormat="1" ht="16">
      <c r="A58" s="39" t="s">
        <v>343</v>
      </c>
      <c r="B58" s="398" t="e">
        <f>VLOOKUP(A58,#REF!,3,FALSE)</f>
        <v>#REF!</v>
      </c>
      <c r="C58" s="424">
        <v>15104</v>
      </c>
      <c r="D58" s="431"/>
      <c r="E58" s="306">
        <v>104</v>
      </c>
      <c r="F58" s="447" t="s">
        <v>400</v>
      </c>
      <c r="G58" s="510" t="str">
        <f t="shared" ref="G58:G59" si="42">CONCATENATE(E58," keer per jaar")</f>
        <v>104 keer per jaar</v>
      </c>
      <c r="H58" s="506"/>
      <c r="I58" s="507"/>
      <c r="J58" s="506"/>
      <c r="K58" s="507">
        <f t="shared" ref="K58:K59" si="43">IF(J58=0,0,(AVERAGE(J58:J58)))</f>
        <v>0</v>
      </c>
      <c r="L58" s="521">
        <f t="shared" ref="L58:L59" si="44">IF(H58=0,0,E58/(SUM(I58+K58)))</f>
        <v>0</v>
      </c>
      <c r="M58" s="515">
        <f>SUMIF('1.3-Basis ruimtestaat'!M:M,C58,'1.3-Basis ruimtestaat'!K:K)</f>
        <v>31</v>
      </c>
      <c r="N58" s="415"/>
      <c r="O58" s="416">
        <f t="shared" si="3"/>
        <v>3.7261406798403778E-3</v>
      </c>
      <c r="P58" s="418"/>
      <c r="Q58" s="239" t="s">
        <v>53</v>
      </c>
    </row>
    <row r="59" spans="1:17" s="39" customFormat="1" ht="16">
      <c r="B59" s="398"/>
      <c r="C59" s="424">
        <v>15156</v>
      </c>
      <c r="D59" s="431"/>
      <c r="E59" s="306">
        <v>156</v>
      </c>
      <c r="F59" s="447" t="s">
        <v>400</v>
      </c>
      <c r="G59" s="510" t="str">
        <f t="shared" si="42"/>
        <v>156 keer per jaar</v>
      </c>
      <c r="H59" s="506"/>
      <c r="I59" s="507"/>
      <c r="J59" s="506"/>
      <c r="K59" s="507">
        <f t="shared" si="43"/>
        <v>0</v>
      </c>
      <c r="L59" s="521">
        <f t="shared" si="44"/>
        <v>0</v>
      </c>
      <c r="M59" s="515">
        <f>SUMIF('1.3-Basis ruimtestaat'!M:M,C59,'1.3-Basis ruimtestaat'!K:K)</f>
        <v>26.03</v>
      </c>
      <c r="N59" s="415"/>
      <c r="O59" s="416">
        <f t="shared" si="3"/>
        <v>3.1287561902014526E-3</v>
      </c>
      <c r="P59" s="418"/>
      <c r="Q59" s="239" t="s">
        <v>53</v>
      </c>
    </row>
    <row r="60" spans="1:17" s="39" customFormat="1" ht="16">
      <c r="B60" s="398"/>
      <c r="C60" s="424">
        <v>15253</v>
      </c>
      <c r="D60" s="431"/>
      <c r="E60" s="306">
        <v>253</v>
      </c>
      <c r="F60" s="447" t="s">
        <v>400</v>
      </c>
      <c r="G60" s="510" t="str">
        <f t="shared" si="4"/>
        <v>253 keer per jaar</v>
      </c>
      <c r="H60" s="506"/>
      <c r="I60" s="507"/>
      <c r="J60" s="506"/>
      <c r="K60" s="507">
        <f t="shared" si="32"/>
        <v>0</v>
      </c>
      <c r="L60" s="521">
        <f t="shared" si="33"/>
        <v>0</v>
      </c>
      <c r="M60" s="515">
        <f>SUMIF('1.3-Basis ruimtestaat'!M:M,C60,'1.3-Basis ruimtestaat'!K:K)</f>
        <v>20.5</v>
      </c>
      <c r="N60" s="415"/>
      <c r="O60" s="416">
        <f t="shared" si="3"/>
        <v>2.4640607721525079E-3</v>
      </c>
      <c r="P60" s="418"/>
      <c r="Q60" s="239" t="s">
        <v>53</v>
      </c>
    </row>
    <row r="61" spans="1:17" s="39" customFormat="1" ht="16">
      <c r="B61" s="398"/>
      <c r="C61" s="424">
        <v>16051</v>
      </c>
      <c r="D61" s="431"/>
      <c r="E61" s="306">
        <v>51</v>
      </c>
      <c r="F61" s="579" t="s">
        <v>1089</v>
      </c>
      <c r="G61" s="510" t="str">
        <f t="shared" ref="G61:G63" si="45">CONCATENATE(E61," keer per jaar")</f>
        <v>51 keer per jaar</v>
      </c>
      <c r="H61" s="506"/>
      <c r="I61" s="507"/>
      <c r="J61" s="506"/>
      <c r="K61" s="507">
        <f t="shared" si="32"/>
        <v>0</v>
      </c>
      <c r="L61" s="521">
        <f>IF(H61=0,0,E61/(SUM(I61+K61)))</f>
        <v>0</v>
      </c>
      <c r="M61" s="515">
        <f>SUMIF('1.3-Basis ruimtestaat'!M:M,C61,'1.3-Basis ruimtestaat'!K:K)</f>
        <v>3.66</v>
      </c>
      <c r="N61" s="415"/>
      <c r="O61" s="416">
        <f t="shared" si="3"/>
        <v>4.399249963940575E-4</v>
      </c>
      <c r="P61" s="418"/>
      <c r="Q61" s="239" t="s">
        <v>53</v>
      </c>
    </row>
    <row r="62" spans="1:17" s="39" customFormat="1" ht="16">
      <c r="B62" s="398"/>
      <c r="C62" s="424">
        <v>16104</v>
      </c>
      <c r="D62" s="431"/>
      <c r="E62" s="306">
        <v>104</v>
      </c>
      <c r="F62" s="579" t="s">
        <v>1089</v>
      </c>
      <c r="G62" s="510" t="str">
        <f t="shared" si="45"/>
        <v>104 keer per jaar</v>
      </c>
      <c r="H62" s="506"/>
      <c r="I62" s="507"/>
      <c r="J62" s="506"/>
      <c r="K62" s="507">
        <f t="shared" ref="K62:K63" si="46">IF(J62=0,0,(AVERAGE(J62:J62)))</f>
        <v>0</v>
      </c>
      <c r="L62" s="521">
        <f>IF(H62=0,0,E62/(SUM(I62+K62)))</f>
        <v>0</v>
      </c>
      <c r="M62" s="515">
        <f>SUMIF('1.3-Basis ruimtestaat'!M:M,C62,'1.3-Basis ruimtestaat'!K:K)</f>
        <v>36.090000000000003</v>
      </c>
      <c r="N62" s="415"/>
      <c r="O62" s="416">
        <f t="shared" si="3"/>
        <v>4.337948939852879E-3</v>
      </c>
      <c r="P62" s="418"/>
      <c r="Q62" s="239" t="s">
        <v>53</v>
      </c>
    </row>
    <row r="63" spans="1:17" s="39" customFormat="1" ht="16">
      <c r="B63" s="398"/>
      <c r="C63" s="424">
        <v>16156</v>
      </c>
      <c r="D63" s="431"/>
      <c r="E63" s="306">
        <v>156</v>
      </c>
      <c r="F63" s="579" t="s">
        <v>1089</v>
      </c>
      <c r="G63" s="510" t="str">
        <f t="shared" si="45"/>
        <v>156 keer per jaar</v>
      </c>
      <c r="H63" s="506"/>
      <c r="I63" s="507"/>
      <c r="J63" s="506"/>
      <c r="K63" s="507">
        <f t="shared" si="46"/>
        <v>0</v>
      </c>
      <c r="L63" s="521">
        <f>IF(H63=0,0,E63/(SUM(I63+K63)))</f>
        <v>0</v>
      </c>
      <c r="M63" s="515">
        <f>SUMIF('1.3-Basis ruimtestaat'!M:M,C63,'1.3-Basis ruimtestaat'!K:K)</f>
        <v>40.9</v>
      </c>
      <c r="N63" s="415"/>
      <c r="O63" s="416">
        <f t="shared" si="3"/>
        <v>4.9161017356603694E-3</v>
      </c>
      <c r="P63" s="418"/>
      <c r="Q63" s="239" t="s">
        <v>53</v>
      </c>
    </row>
    <row r="64" spans="1:17" s="39" customFormat="1" ht="16">
      <c r="B64" s="398"/>
      <c r="C64" s="424" t="s">
        <v>273</v>
      </c>
      <c r="D64" s="425"/>
      <c r="E64" s="425"/>
      <c r="F64" s="419" t="s">
        <v>273</v>
      </c>
      <c r="G64" s="510"/>
      <c r="H64" s="412"/>
      <c r="I64" s="41"/>
      <c r="J64" s="412"/>
      <c r="K64" s="507">
        <f t="shared" si="32"/>
        <v>0</v>
      </c>
      <c r="L64" s="414">
        <f>IF(H64=0,0,E64/(H64+#REF!))</f>
        <v>0</v>
      </c>
      <c r="M64" s="515"/>
      <c r="N64" s="415">
        <f>SUMIF('1.3-Basis ruimtestaat'!M:M,C64,'1.3-Basis ruimtestaat'!L:L)</f>
        <v>0</v>
      </c>
      <c r="O64" s="416" t="str">
        <f>IF(N64=0,"",N64/$N$69)</f>
        <v/>
      </c>
      <c r="P64" s="418"/>
      <c r="Q64" s="239"/>
    </row>
    <row r="65" spans="2:22" s="39" customFormat="1" ht="16">
      <c r="B65" s="398"/>
      <c r="C65" s="424" t="s">
        <v>19</v>
      </c>
      <c r="D65" s="425"/>
      <c r="E65" s="425"/>
      <c r="F65" s="411" t="s">
        <v>173</v>
      </c>
      <c r="G65" s="510"/>
      <c r="H65" s="412"/>
      <c r="I65" s="41"/>
      <c r="J65" s="412"/>
      <c r="K65" s="413"/>
      <c r="L65" s="414">
        <f>IF(H65=0,0,E65/(H65+#REF!))</f>
        <v>0</v>
      </c>
      <c r="M65" s="515"/>
      <c r="N65" s="415">
        <f>SUMIF('1.3-Basis ruimtestaat'!M:M,C65,'1.3-Basis ruimtestaat'!L:L)</f>
        <v>2831.79</v>
      </c>
      <c r="O65" s="416">
        <f>IF(N65=0,"",N65/$N$69)</f>
        <v>0.34037573921823172</v>
      </c>
      <c r="P65" s="418"/>
      <c r="Q65" s="239"/>
    </row>
    <row r="66" spans="2:22" s="39" customFormat="1" ht="16">
      <c r="B66" s="398" t="s">
        <v>118</v>
      </c>
      <c r="C66" s="424" t="s">
        <v>347</v>
      </c>
      <c r="D66" s="425"/>
      <c r="E66" s="425"/>
      <c r="F66" s="411" t="s">
        <v>348</v>
      </c>
      <c r="G66" s="510"/>
      <c r="H66" s="412"/>
      <c r="I66" s="41"/>
      <c r="J66" s="412"/>
      <c r="K66" s="413"/>
      <c r="L66" s="414"/>
      <c r="M66" s="515">
        <f>SUMIF('1.3-Basis ruimtestaat'!M:M,C66,'1.3-Basis ruimtestaat'!K:K)</f>
        <v>0</v>
      </c>
      <c r="N66" s="415">
        <f>SUMIF('1.3-Basis ruimtestaat'!M:M,C66,'1.3-Basis ruimtestaat'!K:K)</f>
        <v>0</v>
      </c>
      <c r="O66" s="416" t="str">
        <f>IF(N66=0,"",N66/$N$69)</f>
        <v/>
      </c>
      <c r="P66" s="418"/>
      <c r="Q66" s="239"/>
    </row>
    <row r="67" spans="2:22" s="39" customFormat="1" ht="16">
      <c r="C67" s="307" t="s">
        <v>205</v>
      </c>
      <c r="D67" s="307"/>
      <c r="E67" s="308"/>
      <c r="F67" s="420" t="s">
        <v>206</v>
      </c>
      <c r="G67" s="511"/>
      <c r="H67" s="412"/>
      <c r="I67" s="41"/>
      <c r="J67" s="412"/>
      <c r="K67" s="412">
        <v>0</v>
      </c>
      <c r="L67" s="414"/>
      <c r="M67" s="515">
        <f>SUMIF('1.3-Basis ruimtestaat'!M:M,C67,'1.3-Basis ruimtestaat'!K:K)</f>
        <v>0</v>
      </c>
      <c r="N67" s="415">
        <f>SUMIF('1.3-Basis ruimtestaat'!M:M,C67,'1.3-Basis ruimtestaat'!K:K)</f>
        <v>0</v>
      </c>
      <c r="O67" s="416" t="str">
        <f>IF(N67=0,"",N67/$N$69)</f>
        <v/>
      </c>
      <c r="P67" s="417"/>
      <c r="Q67" s="239"/>
    </row>
    <row r="68" spans="2:22" s="39" customFormat="1">
      <c r="C68" s="46"/>
      <c r="D68" s="46"/>
      <c r="E68" s="51"/>
      <c r="F68" s="52"/>
      <c r="G68" s="53"/>
      <c r="H68" s="54"/>
      <c r="I68" s="54"/>
      <c r="J68" s="34"/>
      <c r="K68" s="34"/>
      <c r="L68" s="374"/>
      <c r="M68" s="354">
        <f>SUM(M18:M67)</f>
        <v>5487.8099999999986</v>
      </c>
      <c r="N68" s="354">
        <f>SUM(N18:N67)</f>
        <v>2831.79</v>
      </c>
      <c r="O68" s="354"/>
      <c r="P68" s="368">
        <f>SUM(O15:O67)</f>
        <v>1.0050783691523633</v>
      </c>
      <c r="Q68" s="38"/>
    </row>
    <row r="69" spans="2:22" s="39" customFormat="1">
      <c r="C69" s="46"/>
      <c r="D69" s="137"/>
      <c r="E69" s="51"/>
      <c r="F69" s="49"/>
      <c r="G69" s="32"/>
      <c r="H69" s="33"/>
      <c r="I69" s="54"/>
      <c r="J69" s="54"/>
      <c r="K69" s="54"/>
      <c r="L69" s="374"/>
      <c r="M69" s="372" t="s">
        <v>208</v>
      </c>
      <c r="N69" s="566">
        <f>N68+M68</f>
        <v>8319.5999999999985</v>
      </c>
      <c r="O69" s="53"/>
      <c r="P69" s="50"/>
      <c r="Q69" s="355"/>
    </row>
    <row r="70" spans="2:22">
      <c r="O70" s="358"/>
      <c r="P70" s="369"/>
      <c r="Q70" s="355"/>
      <c r="R70" s="39"/>
    </row>
    <row r="71" spans="2:22">
      <c r="F71" s="49"/>
      <c r="G71" s="51"/>
      <c r="H71" s="52"/>
      <c r="L71" s="54"/>
      <c r="M71" s="54"/>
      <c r="N71" s="54"/>
      <c r="O71" s="54"/>
      <c r="P71" s="54"/>
      <c r="Q71" s="54"/>
      <c r="R71" s="356"/>
    </row>
    <row r="72" spans="2:22" ht="14" hidden="1" thickBot="1">
      <c r="F72" s="561"/>
      <c r="G72" s="562"/>
      <c r="H72" s="563"/>
      <c r="I72" s="564"/>
      <c r="J72" s="565"/>
      <c r="K72" s="426" t="s">
        <v>373</v>
      </c>
      <c r="L72" s="512" t="s">
        <v>273</v>
      </c>
      <c r="M72" s="363">
        <v>0</v>
      </c>
      <c r="N72" s="363"/>
      <c r="O72" s="364"/>
      <c r="P72" s="365"/>
      <c r="Q72" s="365"/>
      <c r="R72" s="356"/>
    </row>
    <row r="73" spans="2:22" hidden="1">
      <c r="F73" s="49"/>
      <c r="G73" s="51"/>
      <c r="H73" s="52"/>
      <c r="L73" s="363" t="s">
        <v>325</v>
      </c>
      <c r="M73" s="364">
        <f>O73+P73</f>
        <v>7</v>
      </c>
      <c r="N73" s="364">
        <f>M73+2</f>
        <v>9</v>
      </c>
      <c r="O73" s="364">
        <v>5</v>
      </c>
      <c r="P73" s="366">
        <v>2</v>
      </c>
      <c r="Q73" s="366">
        <f>P73+5</f>
        <v>7</v>
      </c>
      <c r="R73" s="361"/>
    </row>
    <row r="74" spans="2:22" hidden="1">
      <c r="F74" s="49"/>
      <c r="G74" s="51"/>
      <c r="H74" s="52"/>
      <c r="L74" s="363" t="s">
        <v>462</v>
      </c>
      <c r="M74" s="364">
        <f>O74+P74</f>
        <v>8</v>
      </c>
      <c r="N74" s="364">
        <f>M74+2</f>
        <v>10</v>
      </c>
      <c r="O74" s="364">
        <v>5</v>
      </c>
      <c r="P74" s="366">
        <v>3</v>
      </c>
      <c r="Q74" s="366">
        <f>P74+5</f>
        <v>8</v>
      </c>
      <c r="R74" s="34"/>
      <c r="S74" s="34"/>
      <c r="T74" s="34"/>
      <c r="U74" s="34"/>
      <c r="V74" s="34"/>
    </row>
    <row r="75" spans="2:22" hidden="1">
      <c r="F75" s="49"/>
      <c r="G75" s="51"/>
      <c r="H75" s="52"/>
      <c r="L75" s="363" t="s">
        <v>454</v>
      </c>
      <c r="M75" s="364"/>
      <c r="N75" s="364"/>
      <c r="O75" s="364"/>
      <c r="P75" s="366"/>
      <c r="Q75" s="366"/>
    </row>
    <row r="76" spans="2:22" hidden="1">
      <c r="F76" s="49"/>
      <c r="G76" s="51"/>
      <c r="H76" s="52"/>
      <c r="L76" s="363" t="s">
        <v>515</v>
      </c>
      <c r="M76" s="364">
        <f>O76+P76</f>
        <v>7</v>
      </c>
      <c r="N76" s="364">
        <f>M76+2</f>
        <v>9</v>
      </c>
      <c r="O76" s="364">
        <v>5</v>
      </c>
      <c r="P76" s="366">
        <v>2</v>
      </c>
      <c r="Q76" s="366">
        <f>P76+5</f>
        <v>7</v>
      </c>
    </row>
    <row r="77" spans="2:22" hidden="1">
      <c r="F77" s="49"/>
      <c r="G77" s="51"/>
      <c r="H77" s="52"/>
      <c r="L77" s="363" t="s">
        <v>398</v>
      </c>
      <c r="M77" s="364">
        <f t="shared" ref="M77:M83" si="47">O77+P77</f>
        <v>8</v>
      </c>
      <c r="N77" s="364">
        <f>M77+2</f>
        <v>10</v>
      </c>
      <c r="O77" s="364">
        <v>5</v>
      </c>
      <c r="P77" s="366">
        <v>3</v>
      </c>
      <c r="Q77" s="366">
        <f t="shared" ref="Q77:Q107" si="48">P77+5</f>
        <v>8</v>
      </c>
    </row>
    <row r="78" spans="2:22" hidden="1">
      <c r="F78" s="49"/>
      <c r="G78" s="51"/>
      <c r="H78" s="52"/>
      <c r="L78" s="363" t="s">
        <v>455</v>
      </c>
      <c r="M78" s="364">
        <f t="shared" si="47"/>
        <v>6</v>
      </c>
      <c r="N78" s="364">
        <f>M78+2</f>
        <v>8</v>
      </c>
      <c r="O78" s="364">
        <v>5</v>
      </c>
      <c r="P78" s="366">
        <v>1</v>
      </c>
      <c r="Q78" s="366">
        <f t="shared" si="48"/>
        <v>6</v>
      </c>
    </row>
    <row r="79" spans="2:22" hidden="1">
      <c r="F79" s="49"/>
      <c r="G79" s="51"/>
      <c r="H79" s="52"/>
      <c r="L79" s="363" t="s">
        <v>407</v>
      </c>
      <c r="M79" s="364">
        <f t="shared" si="47"/>
        <v>7</v>
      </c>
      <c r="N79" s="364">
        <f t="shared" ref="N79:N107" si="49">M79+2</f>
        <v>9</v>
      </c>
      <c r="O79" s="364">
        <v>5</v>
      </c>
      <c r="P79" s="366">
        <v>2</v>
      </c>
      <c r="Q79" s="366">
        <f t="shared" si="48"/>
        <v>7</v>
      </c>
    </row>
    <row r="80" spans="2:22" hidden="1">
      <c r="F80" s="49"/>
      <c r="G80" s="51"/>
      <c r="H80" s="52"/>
      <c r="L80" s="363" t="s">
        <v>326</v>
      </c>
      <c r="M80" s="364">
        <f>O80+P80</f>
        <v>8</v>
      </c>
      <c r="N80" s="364">
        <f t="shared" si="49"/>
        <v>10</v>
      </c>
      <c r="O80" s="364">
        <v>5</v>
      </c>
      <c r="P80" s="366">
        <v>3</v>
      </c>
      <c r="Q80" s="366">
        <f>P80+5</f>
        <v>8</v>
      </c>
    </row>
    <row r="81" spans="6:17" hidden="1">
      <c r="F81" s="49"/>
      <c r="G81" s="51"/>
      <c r="H81" s="52"/>
      <c r="L81" s="363" t="s">
        <v>401</v>
      </c>
      <c r="M81" s="364">
        <f t="shared" si="47"/>
        <v>8</v>
      </c>
      <c r="N81" s="364">
        <f t="shared" si="49"/>
        <v>10</v>
      </c>
      <c r="O81" s="364">
        <v>5</v>
      </c>
      <c r="P81" s="366">
        <v>3</v>
      </c>
      <c r="Q81" s="366">
        <f t="shared" si="48"/>
        <v>8</v>
      </c>
    </row>
    <row r="82" spans="6:17" hidden="1">
      <c r="F82" s="49"/>
      <c r="G82" s="51"/>
      <c r="H82" s="52"/>
      <c r="L82" s="363" t="s">
        <v>54</v>
      </c>
      <c r="M82" s="364">
        <f>O82+P82</f>
        <v>9</v>
      </c>
      <c r="N82" s="364">
        <f t="shared" si="49"/>
        <v>11</v>
      </c>
      <c r="O82" s="364">
        <v>5</v>
      </c>
      <c r="P82" s="366">
        <v>4</v>
      </c>
      <c r="Q82" s="366">
        <f>P82+5</f>
        <v>9</v>
      </c>
    </row>
    <row r="83" spans="6:17" hidden="1">
      <c r="F83" s="49"/>
      <c r="G83" s="51"/>
      <c r="H83" s="52"/>
      <c r="L83" s="363" t="s">
        <v>396</v>
      </c>
      <c r="M83" s="364">
        <f t="shared" si="47"/>
        <v>9</v>
      </c>
      <c r="N83" s="364">
        <f t="shared" si="49"/>
        <v>11</v>
      </c>
      <c r="O83" s="364">
        <v>5</v>
      </c>
      <c r="P83" s="366">
        <v>4</v>
      </c>
      <c r="Q83" s="366">
        <f t="shared" si="48"/>
        <v>9</v>
      </c>
    </row>
    <row r="84" spans="6:17" hidden="1">
      <c r="F84" s="49"/>
      <c r="G84" s="51"/>
      <c r="H84" s="52"/>
      <c r="L84" s="363" t="s">
        <v>332</v>
      </c>
      <c r="M84" s="364">
        <f t="shared" ref="M84:M99" si="50">O84+P84</f>
        <v>7</v>
      </c>
      <c r="N84" s="364">
        <f t="shared" si="49"/>
        <v>9</v>
      </c>
      <c r="O84" s="364">
        <v>5</v>
      </c>
      <c r="P84" s="366">
        <v>2</v>
      </c>
      <c r="Q84" s="366">
        <f t="shared" si="48"/>
        <v>7</v>
      </c>
    </row>
    <row r="85" spans="6:17" hidden="1">
      <c r="F85" s="49"/>
      <c r="G85" s="51"/>
      <c r="H85" s="52"/>
      <c r="L85" s="363" t="s">
        <v>331</v>
      </c>
      <c r="M85" s="364">
        <f t="shared" si="50"/>
        <v>7</v>
      </c>
      <c r="N85" s="364">
        <f t="shared" si="49"/>
        <v>9</v>
      </c>
      <c r="O85" s="364">
        <v>5</v>
      </c>
      <c r="P85" s="366">
        <v>2</v>
      </c>
      <c r="Q85" s="366">
        <f t="shared" si="48"/>
        <v>7</v>
      </c>
    </row>
    <row r="86" spans="6:17" hidden="1">
      <c r="F86" s="49"/>
      <c r="G86" s="51"/>
      <c r="H86" s="52"/>
      <c r="L86" s="363" t="s">
        <v>330</v>
      </c>
      <c r="M86" s="364">
        <f t="shared" si="50"/>
        <v>7</v>
      </c>
      <c r="N86" s="364">
        <f t="shared" si="49"/>
        <v>9</v>
      </c>
      <c r="O86" s="364">
        <v>5</v>
      </c>
      <c r="P86" s="366">
        <v>2</v>
      </c>
      <c r="Q86" s="366">
        <f t="shared" si="48"/>
        <v>7</v>
      </c>
    </row>
    <row r="87" spans="6:17" hidden="1">
      <c r="F87" s="49"/>
      <c r="G87" s="51"/>
      <c r="H87" s="52"/>
      <c r="L87" s="363" t="s">
        <v>408</v>
      </c>
      <c r="M87" s="364">
        <f>O87+P87</f>
        <v>6</v>
      </c>
      <c r="N87" s="364">
        <f t="shared" si="49"/>
        <v>8</v>
      </c>
      <c r="O87" s="364">
        <v>5</v>
      </c>
      <c r="P87" s="366">
        <v>1</v>
      </c>
      <c r="Q87" s="366">
        <f>P87+5</f>
        <v>6</v>
      </c>
    </row>
    <row r="88" spans="6:17" hidden="1">
      <c r="F88" s="49"/>
      <c r="G88" s="51"/>
      <c r="H88" s="52"/>
      <c r="L88" s="363" t="s">
        <v>402</v>
      </c>
      <c r="M88" s="364">
        <f t="shared" si="50"/>
        <v>6</v>
      </c>
      <c r="N88" s="364">
        <f t="shared" si="49"/>
        <v>8</v>
      </c>
      <c r="O88" s="364">
        <v>5</v>
      </c>
      <c r="P88" s="366">
        <v>1</v>
      </c>
      <c r="Q88" s="366">
        <f t="shared" si="48"/>
        <v>6</v>
      </c>
    </row>
    <row r="89" spans="6:17" hidden="1">
      <c r="F89" s="49"/>
      <c r="G89" s="51"/>
      <c r="H89" s="52"/>
      <c r="L89" s="363" t="s">
        <v>409</v>
      </c>
      <c r="M89" s="364">
        <f>O89+P89</f>
        <v>8</v>
      </c>
      <c r="N89" s="364">
        <f t="shared" si="49"/>
        <v>10</v>
      </c>
      <c r="O89" s="364">
        <v>5</v>
      </c>
      <c r="P89" s="366">
        <v>3</v>
      </c>
      <c r="Q89" s="366">
        <f>P89+5</f>
        <v>8</v>
      </c>
    </row>
    <row r="90" spans="6:17" hidden="1">
      <c r="F90" s="358"/>
      <c r="G90" s="51"/>
      <c r="H90" s="52"/>
      <c r="L90" s="363" t="s">
        <v>394</v>
      </c>
      <c r="M90" s="364">
        <f>O90+P90</f>
        <v>9</v>
      </c>
      <c r="N90" s="364">
        <f t="shared" si="49"/>
        <v>11</v>
      </c>
      <c r="O90" s="364">
        <v>5</v>
      </c>
      <c r="P90" s="366">
        <v>4</v>
      </c>
      <c r="Q90" s="366">
        <f>P90+5</f>
        <v>9</v>
      </c>
    </row>
    <row r="91" spans="6:17" hidden="1">
      <c r="F91" s="358"/>
      <c r="G91" s="51"/>
      <c r="H91" s="52"/>
      <c r="L91" s="363" t="s">
        <v>399</v>
      </c>
      <c r="M91" s="364">
        <f>O91+P91</f>
        <v>9</v>
      </c>
      <c r="N91" s="364">
        <f t="shared" si="49"/>
        <v>11</v>
      </c>
      <c r="O91" s="364">
        <v>5</v>
      </c>
      <c r="P91" s="366">
        <v>4</v>
      </c>
      <c r="Q91" s="366">
        <f>P91+5</f>
        <v>9</v>
      </c>
    </row>
    <row r="92" spans="6:17" hidden="1">
      <c r="F92" s="49"/>
      <c r="G92" s="51"/>
      <c r="H92" s="52"/>
      <c r="L92" s="363" t="s">
        <v>410</v>
      </c>
      <c r="M92" s="364">
        <f t="shared" si="50"/>
        <v>7</v>
      </c>
      <c r="N92" s="364">
        <f t="shared" si="49"/>
        <v>9</v>
      </c>
      <c r="O92" s="364">
        <v>5</v>
      </c>
      <c r="P92" s="366">
        <v>2</v>
      </c>
      <c r="Q92" s="366">
        <f t="shared" si="48"/>
        <v>7</v>
      </c>
    </row>
    <row r="93" spans="6:17" hidden="1">
      <c r="F93" s="49"/>
      <c r="G93" s="51"/>
      <c r="H93" s="52"/>
      <c r="L93" s="363" t="s">
        <v>411</v>
      </c>
      <c r="M93" s="364">
        <f t="shared" si="50"/>
        <v>6</v>
      </c>
      <c r="N93" s="364">
        <f t="shared" si="49"/>
        <v>8</v>
      </c>
      <c r="O93" s="364">
        <v>5</v>
      </c>
      <c r="P93" s="366">
        <v>1</v>
      </c>
      <c r="Q93" s="366">
        <f t="shared" si="48"/>
        <v>6</v>
      </c>
    </row>
    <row r="94" spans="6:17" hidden="1">
      <c r="F94" s="49"/>
      <c r="G94" s="51"/>
      <c r="H94" s="52"/>
      <c r="L94" s="363" t="s">
        <v>397</v>
      </c>
      <c r="M94" s="364">
        <f>O94+P94</f>
        <v>8</v>
      </c>
      <c r="N94" s="364">
        <f t="shared" si="49"/>
        <v>10</v>
      </c>
      <c r="O94" s="364">
        <v>5</v>
      </c>
      <c r="P94" s="366">
        <v>3</v>
      </c>
      <c r="Q94" s="366">
        <f>P94+5</f>
        <v>8</v>
      </c>
    </row>
    <row r="95" spans="6:17" hidden="1">
      <c r="F95" s="49"/>
      <c r="G95" s="51"/>
      <c r="H95" s="52"/>
      <c r="L95" s="363" t="s">
        <v>327</v>
      </c>
      <c r="M95" s="364">
        <f t="shared" si="50"/>
        <v>8</v>
      </c>
      <c r="N95" s="364">
        <f t="shared" si="49"/>
        <v>10</v>
      </c>
      <c r="O95" s="364">
        <v>5</v>
      </c>
      <c r="P95" s="366">
        <v>3</v>
      </c>
      <c r="Q95" s="366">
        <f t="shared" si="48"/>
        <v>8</v>
      </c>
    </row>
    <row r="96" spans="6:17" hidden="1">
      <c r="F96" s="49"/>
      <c r="G96" s="51"/>
      <c r="H96" s="52"/>
      <c r="L96" s="363" t="s">
        <v>333</v>
      </c>
      <c r="M96" s="364">
        <f t="shared" si="50"/>
        <v>5</v>
      </c>
      <c r="N96" s="364">
        <f t="shared" si="49"/>
        <v>7</v>
      </c>
      <c r="O96" s="364">
        <v>5</v>
      </c>
      <c r="P96" s="366">
        <v>0</v>
      </c>
      <c r="Q96" s="366"/>
    </row>
    <row r="97" spans="3:18" hidden="1">
      <c r="F97" s="49"/>
      <c r="G97" s="51"/>
      <c r="H97" s="52"/>
      <c r="L97" s="363" t="s">
        <v>334</v>
      </c>
      <c r="M97" s="364">
        <f t="shared" si="50"/>
        <v>7</v>
      </c>
      <c r="N97" s="364">
        <f t="shared" si="49"/>
        <v>9</v>
      </c>
      <c r="O97" s="364">
        <v>5</v>
      </c>
      <c r="P97" s="366">
        <v>2</v>
      </c>
      <c r="Q97" s="366">
        <f t="shared" si="48"/>
        <v>7</v>
      </c>
    </row>
    <row r="98" spans="3:18" hidden="1">
      <c r="F98" s="49"/>
      <c r="G98" s="51"/>
      <c r="H98" s="52"/>
      <c r="L98" s="363" t="s">
        <v>328</v>
      </c>
      <c r="M98" s="364">
        <f t="shared" si="50"/>
        <v>7</v>
      </c>
      <c r="N98" s="364">
        <f t="shared" si="49"/>
        <v>9</v>
      </c>
      <c r="O98" s="364">
        <v>5</v>
      </c>
      <c r="P98" s="366">
        <v>2</v>
      </c>
      <c r="Q98" s="366">
        <f t="shared" si="48"/>
        <v>7</v>
      </c>
    </row>
    <row r="99" spans="3:18" hidden="1">
      <c r="F99" s="49"/>
      <c r="G99" s="51"/>
      <c r="H99" s="52"/>
      <c r="L99" s="363" t="s">
        <v>395</v>
      </c>
      <c r="M99" s="364">
        <f t="shared" si="50"/>
        <v>6</v>
      </c>
      <c r="N99" s="364">
        <f t="shared" si="49"/>
        <v>8</v>
      </c>
      <c r="O99" s="364">
        <v>5</v>
      </c>
      <c r="P99" s="366">
        <v>1</v>
      </c>
      <c r="Q99" s="366">
        <f t="shared" si="48"/>
        <v>6</v>
      </c>
    </row>
    <row r="100" spans="3:18" hidden="1">
      <c r="F100" s="49"/>
      <c r="G100" s="51"/>
      <c r="H100" s="52"/>
      <c r="L100" s="513" t="s">
        <v>329</v>
      </c>
      <c r="M100" s="364">
        <f>O100+P100</f>
        <v>7</v>
      </c>
      <c r="N100" s="364">
        <f t="shared" si="49"/>
        <v>9</v>
      </c>
      <c r="O100" s="364">
        <v>5</v>
      </c>
      <c r="P100" s="366">
        <v>2</v>
      </c>
      <c r="Q100" s="366">
        <f t="shared" si="48"/>
        <v>7</v>
      </c>
    </row>
    <row r="101" spans="3:18" hidden="1">
      <c r="F101" s="49"/>
      <c r="G101" s="51"/>
      <c r="H101" s="52"/>
      <c r="L101" s="513" t="s">
        <v>337</v>
      </c>
      <c r="M101" s="364">
        <f t="shared" ref="M101:M106" si="51">O101+P101</f>
        <v>7</v>
      </c>
      <c r="N101" s="364">
        <f t="shared" si="49"/>
        <v>9</v>
      </c>
      <c r="O101" s="364">
        <v>5</v>
      </c>
      <c r="P101" s="366">
        <v>2</v>
      </c>
      <c r="Q101" s="366">
        <f t="shared" si="48"/>
        <v>7</v>
      </c>
    </row>
    <row r="102" spans="3:18" hidden="1">
      <c r="F102" s="49"/>
      <c r="G102" s="51"/>
      <c r="H102" s="52"/>
      <c r="L102" s="513" t="s">
        <v>336</v>
      </c>
      <c r="M102" s="364">
        <f t="shared" si="51"/>
        <v>8</v>
      </c>
      <c r="N102" s="364">
        <f t="shared" si="49"/>
        <v>10</v>
      </c>
      <c r="O102" s="364">
        <v>5</v>
      </c>
      <c r="P102" s="366">
        <v>3</v>
      </c>
      <c r="Q102" s="366">
        <f t="shared" si="48"/>
        <v>8</v>
      </c>
    </row>
    <row r="103" spans="3:18" hidden="1">
      <c r="F103" s="49"/>
      <c r="G103" s="51"/>
      <c r="H103" s="52"/>
      <c r="L103" s="513" t="s">
        <v>339</v>
      </c>
      <c r="M103" s="364">
        <f t="shared" si="51"/>
        <v>7</v>
      </c>
      <c r="N103" s="364">
        <f t="shared" si="49"/>
        <v>9</v>
      </c>
      <c r="O103" s="364">
        <v>5</v>
      </c>
      <c r="P103" s="366">
        <v>2</v>
      </c>
      <c r="Q103" s="366">
        <f t="shared" si="48"/>
        <v>7</v>
      </c>
    </row>
    <row r="104" spans="3:18" hidden="1">
      <c r="F104" s="358"/>
      <c r="G104" s="51"/>
      <c r="H104" s="52"/>
      <c r="L104" s="513" t="s">
        <v>338</v>
      </c>
      <c r="M104" s="364">
        <f t="shared" si="51"/>
        <v>9</v>
      </c>
      <c r="N104" s="364">
        <f t="shared" si="49"/>
        <v>11</v>
      </c>
      <c r="O104" s="364">
        <v>5</v>
      </c>
      <c r="P104" s="366">
        <v>4</v>
      </c>
      <c r="Q104" s="366">
        <f t="shared" si="48"/>
        <v>9</v>
      </c>
    </row>
    <row r="105" spans="3:18" hidden="1">
      <c r="F105" s="358"/>
      <c r="G105" s="51"/>
      <c r="H105" s="52"/>
      <c r="L105" s="513" t="s">
        <v>412</v>
      </c>
      <c r="M105" s="364">
        <f t="shared" si="51"/>
        <v>7</v>
      </c>
      <c r="N105" s="364">
        <f t="shared" si="49"/>
        <v>9</v>
      </c>
      <c r="O105" s="364">
        <v>5</v>
      </c>
      <c r="P105" s="366">
        <v>2</v>
      </c>
      <c r="Q105" s="366">
        <f t="shared" si="48"/>
        <v>7</v>
      </c>
    </row>
    <row r="106" spans="3:18" hidden="1">
      <c r="L106" s="513" t="s">
        <v>413</v>
      </c>
      <c r="M106" s="364">
        <f t="shared" si="51"/>
        <v>6</v>
      </c>
      <c r="N106" s="364">
        <f t="shared" si="49"/>
        <v>8</v>
      </c>
      <c r="O106" s="364">
        <v>5</v>
      </c>
      <c r="P106" s="366">
        <v>1</v>
      </c>
      <c r="Q106" s="366">
        <f t="shared" si="48"/>
        <v>6</v>
      </c>
    </row>
    <row r="107" spans="3:18" hidden="1">
      <c r="L107" s="513" t="s">
        <v>340</v>
      </c>
      <c r="M107" s="364">
        <f>O107+P107</f>
        <v>8</v>
      </c>
      <c r="N107" s="364">
        <f t="shared" si="49"/>
        <v>10</v>
      </c>
      <c r="O107" s="364">
        <v>5</v>
      </c>
      <c r="P107" s="366">
        <v>3</v>
      </c>
      <c r="Q107" s="366">
        <f t="shared" si="48"/>
        <v>8</v>
      </c>
    </row>
    <row r="108" spans="3:18" hidden="1">
      <c r="C108" s="57" t="s">
        <v>138</v>
      </c>
      <c r="D108" s="57"/>
      <c r="E108" s="58"/>
      <c r="F108" s="58"/>
      <c r="K108" s="359"/>
      <c r="L108" s="373"/>
      <c r="M108" s="369"/>
    </row>
    <row r="109" spans="3:18" hidden="1">
      <c r="C109" s="58" t="s">
        <v>33</v>
      </c>
      <c r="D109" s="58"/>
      <c r="E109" s="58" t="s">
        <v>37</v>
      </c>
      <c r="K109" s="359"/>
      <c r="L109" s="373"/>
      <c r="M109" s="369"/>
    </row>
    <row r="110" spans="3:18">
      <c r="C110" s="58" t="s">
        <v>47</v>
      </c>
      <c r="D110" s="58"/>
      <c r="E110" s="58" t="s">
        <v>16</v>
      </c>
      <c r="K110" s="359"/>
      <c r="L110" s="373"/>
      <c r="M110" s="369"/>
      <c r="N110" s="358"/>
      <c r="O110" s="369"/>
      <c r="Q110" s="362"/>
    </row>
    <row r="111" spans="3:18">
      <c r="C111" s="58" t="s">
        <v>81</v>
      </c>
      <c r="D111" s="58"/>
      <c r="E111" s="58" t="s">
        <v>90</v>
      </c>
      <c r="K111" s="359"/>
      <c r="L111" s="373"/>
      <c r="M111" s="369"/>
      <c r="N111" s="358"/>
      <c r="O111" s="360"/>
      <c r="P111" s="362"/>
      <c r="Q111" s="362"/>
    </row>
    <row r="112" spans="3:18">
      <c r="C112" s="58" t="s">
        <v>52</v>
      </c>
      <c r="D112" s="58"/>
      <c r="E112" s="58" t="s">
        <v>107</v>
      </c>
      <c r="K112" s="359"/>
      <c r="L112" s="373"/>
      <c r="M112" s="369"/>
      <c r="N112" s="358"/>
      <c r="O112" s="360"/>
      <c r="P112" s="362"/>
      <c r="Q112" s="362"/>
      <c r="R112" s="357"/>
    </row>
    <row r="113" spans="3:18">
      <c r="C113" s="58" t="s">
        <v>42</v>
      </c>
      <c r="D113" s="58"/>
      <c r="E113" s="58" t="s">
        <v>128</v>
      </c>
      <c r="K113" s="359"/>
      <c r="L113" s="373"/>
      <c r="M113" s="369"/>
      <c r="N113" s="358"/>
      <c r="O113" s="360"/>
      <c r="P113" s="362"/>
      <c r="Q113" s="362"/>
      <c r="R113" s="362"/>
    </row>
    <row r="114" spans="3:18">
      <c r="C114" s="58" t="s">
        <v>49</v>
      </c>
      <c r="D114" s="58"/>
      <c r="E114" s="58" t="s">
        <v>139</v>
      </c>
      <c r="K114" s="359"/>
      <c r="L114" s="373"/>
      <c r="M114" s="369"/>
      <c r="N114" s="358"/>
      <c r="O114" s="360"/>
      <c r="P114" s="362"/>
      <c r="Q114" s="362"/>
      <c r="R114" s="362"/>
    </row>
    <row r="115" spans="3:18">
      <c r="C115" s="58" t="s">
        <v>157</v>
      </c>
      <c r="D115" s="58"/>
      <c r="E115" s="58" t="s">
        <v>159</v>
      </c>
      <c r="K115" s="359"/>
      <c r="L115" s="373"/>
      <c r="M115" s="369"/>
      <c r="N115" s="358"/>
      <c r="O115" s="360"/>
      <c r="P115" s="362"/>
      <c r="Q115" s="362"/>
      <c r="R115" s="362"/>
    </row>
    <row r="116" spans="3:18">
      <c r="C116" s="58" t="s">
        <v>158</v>
      </c>
      <c r="D116" s="58"/>
      <c r="E116" s="58" t="s">
        <v>160</v>
      </c>
      <c r="K116" s="359"/>
      <c r="L116" s="373"/>
      <c r="M116" s="369"/>
      <c r="N116" s="358"/>
      <c r="O116" s="360"/>
      <c r="P116" s="362"/>
      <c r="Q116" s="362"/>
      <c r="R116" s="362"/>
    </row>
    <row r="117" spans="3:18">
      <c r="C117" s="58" t="s">
        <v>161</v>
      </c>
      <c r="D117" s="58"/>
      <c r="E117" s="58" t="s">
        <v>166</v>
      </c>
      <c r="K117" s="359"/>
      <c r="L117" s="373"/>
      <c r="M117" s="369"/>
      <c r="N117" s="358"/>
      <c r="O117" s="360"/>
      <c r="P117" s="362"/>
      <c r="Q117" s="362"/>
      <c r="R117" s="362"/>
    </row>
    <row r="118" spans="3:18">
      <c r="C118" s="58" t="s">
        <v>162</v>
      </c>
      <c r="D118" s="58"/>
      <c r="E118" s="58" t="s">
        <v>163</v>
      </c>
      <c r="K118" s="359"/>
      <c r="L118" s="373"/>
      <c r="M118" s="369"/>
      <c r="N118" s="358"/>
      <c r="O118" s="360"/>
      <c r="P118" s="362"/>
      <c r="Q118" s="362"/>
      <c r="R118" s="362"/>
    </row>
    <row r="119" spans="3:18">
      <c r="C119" s="58" t="s">
        <v>104</v>
      </c>
      <c r="D119" s="58"/>
      <c r="E119" s="58" t="s">
        <v>216</v>
      </c>
      <c r="K119" s="359"/>
      <c r="L119" s="373"/>
      <c r="M119" s="369"/>
      <c r="N119" s="358"/>
      <c r="O119" s="360"/>
      <c r="P119" s="362"/>
      <c r="Q119" s="362"/>
      <c r="R119" s="362"/>
    </row>
    <row r="120" spans="3:18">
      <c r="K120" s="359"/>
      <c r="L120" s="373"/>
      <c r="M120" s="369"/>
      <c r="N120" s="358"/>
      <c r="O120" s="360"/>
      <c r="P120" s="362"/>
      <c r="Q120" s="362"/>
      <c r="R120" s="362"/>
    </row>
    <row r="121" spans="3:18">
      <c r="R121" s="362"/>
    </row>
    <row r="122" spans="3:18">
      <c r="R122" s="362"/>
    </row>
  </sheetData>
  <phoneticPr fontId="14"/>
  <conditionalFormatting sqref="E10">
    <cfRule type="cellIs" dxfId="496" priority="1212" operator="greaterThan">
      <formula>0</formula>
    </cfRule>
  </conditionalFormatting>
  <conditionalFormatting sqref="E11">
    <cfRule type="cellIs" dxfId="495" priority="1211" operator="greaterThan">
      <formula>0</formula>
    </cfRule>
  </conditionalFormatting>
  <conditionalFormatting sqref="J44 H44 J18 H18 J32 H32 H39 J39 H52 H48 J48 J52 H60 J60 J56 H56">
    <cfRule type="cellIs" dxfId="494" priority="369" stopIfTrue="1" operator="lessThanOrEqual">
      <formula>0</formula>
    </cfRule>
  </conditionalFormatting>
  <conditionalFormatting sqref="J44 H44 J18 H18 J32 H32 H39 J39 H52 H48 J48 J52 H60 J60 J56 H56">
    <cfRule type="cellIs" dxfId="493" priority="368" stopIfTrue="1" operator="lessThanOrEqual">
      <formula>0</formula>
    </cfRule>
  </conditionalFormatting>
  <conditionalFormatting sqref="J23 H23">
    <cfRule type="cellIs" dxfId="492" priority="243" stopIfTrue="1" operator="lessThanOrEqual">
      <formula>0</formula>
    </cfRule>
  </conditionalFormatting>
  <conditionalFormatting sqref="J23 H23">
    <cfRule type="cellIs" dxfId="491" priority="242" stopIfTrue="1" operator="lessThanOrEqual">
      <formula>0</formula>
    </cfRule>
  </conditionalFormatting>
  <conditionalFormatting sqref="J27">
    <cfRule type="cellIs" dxfId="490" priority="241" stopIfTrue="1" operator="lessThanOrEqual">
      <formula>0</formula>
    </cfRule>
  </conditionalFormatting>
  <conditionalFormatting sqref="J27">
    <cfRule type="cellIs" dxfId="489" priority="240" stopIfTrue="1" operator="lessThanOrEqual">
      <formula>0</formula>
    </cfRule>
  </conditionalFormatting>
  <conditionalFormatting sqref="J34">
    <cfRule type="cellIs" dxfId="488" priority="239" stopIfTrue="1" operator="lessThanOrEqual">
      <formula>0</formula>
    </cfRule>
  </conditionalFormatting>
  <conditionalFormatting sqref="J34">
    <cfRule type="cellIs" dxfId="487" priority="238" stopIfTrue="1" operator="lessThanOrEqual">
      <formula>0</formula>
    </cfRule>
  </conditionalFormatting>
  <conditionalFormatting sqref="J49">
    <cfRule type="cellIs" dxfId="486" priority="237" stopIfTrue="1" operator="lessThanOrEqual">
      <formula>0</formula>
    </cfRule>
  </conditionalFormatting>
  <conditionalFormatting sqref="J49">
    <cfRule type="cellIs" dxfId="485" priority="236" stopIfTrue="1" operator="lessThanOrEqual">
      <formula>0</formula>
    </cfRule>
  </conditionalFormatting>
  <conditionalFormatting sqref="J45">
    <cfRule type="cellIs" dxfId="484" priority="235" stopIfTrue="1" operator="lessThanOrEqual">
      <formula>0</formula>
    </cfRule>
  </conditionalFormatting>
  <conditionalFormatting sqref="J45">
    <cfRule type="cellIs" dxfId="483" priority="234" stopIfTrue="1" operator="lessThanOrEqual">
      <formula>0</formula>
    </cfRule>
  </conditionalFormatting>
  <conditionalFormatting sqref="H27">
    <cfRule type="cellIs" dxfId="482" priority="233" stopIfTrue="1" operator="lessThanOrEqual">
      <formula>0</formula>
    </cfRule>
  </conditionalFormatting>
  <conditionalFormatting sqref="H27">
    <cfRule type="cellIs" dxfId="481" priority="232" stopIfTrue="1" operator="lessThanOrEqual">
      <formula>0</formula>
    </cfRule>
  </conditionalFormatting>
  <conditionalFormatting sqref="H34">
    <cfRule type="cellIs" dxfId="480" priority="231" stopIfTrue="1" operator="lessThanOrEqual">
      <formula>0</formula>
    </cfRule>
  </conditionalFormatting>
  <conditionalFormatting sqref="H34">
    <cfRule type="cellIs" dxfId="479" priority="230" stopIfTrue="1" operator="lessThanOrEqual">
      <formula>0</formula>
    </cfRule>
  </conditionalFormatting>
  <conditionalFormatting sqref="H45">
    <cfRule type="cellIs" dxfId="478" priority="229" stopIfTrue="1" operator="lessThanOrEqual">
      <formula>0</formula>
    </cfRule>
  </conditionalFormatting>
  <conditionalFormatting sqref="H45">
    <cfRule type="cellIs" dxfId="477" priority="228" stopIfTrue="1" operator="lessThanOrEqual">
      <formula>0</formula>
    </cfRule>
  </conditionalFormatting>
  <conditionalFormatting sqref="H49">
    <cfRule type="cellIs" dxfId="476" priority="227" stopIfTrue="1" operator="lessThanOrEqual">
      <formula>0</formula>
    </cfRule>
  </conditionalFormatting>
  <conditionalFormatting sqref="H49">
    <cfRule type="cellIs" dxfId="475" priority="226" stopIfTrue="1" operator="lessThanOrEqual">
      <formula>0</formula>
    </cfRule>
  </conditionalFormatting>
  <conditionalFormatting sqref="H19">
    <cfRule type="cellIs" dxfId="474" priority="225" stopIfTrue="1" operator="lessThanOrEqual">
      <formula>0</formula>
    </cfRule>
  </conditionalFormatting>
  <conditionalFormatting sqref="H19">
    <cfRule type="cellIs" dxfId="473" priority="224" stopIfTrue="1" operator="lessThanOrEqual">
      <formula>0</formula>
    </cfRule>
  </conditionalFormatting>
  <conditionalFormatting sqref="J21">
    <cfRule type="cellIs" dxfId="472" priority="223" stopIfTrue="1" operator="lessThanOrEqual">
      <formula>0</formula>
    </cfRule>
  </conditionalFormatting>
  <conditionalFormatting sqref="J21">
    <cfRule type="cellIs" dxfId="471" priority="222" stopIfTrue="1" operator="lessThanOrEqual">
      <formula>0</formula>
    </cfRule>
  </conditionalFormatting>
  <conditionalFormatting sqref="H21">
    <cfRule type="cellIs" dxfId="470" priority="221" stopIfTrue="1" operator="lessThanOrEqual">
      <formula>0</formula>
    </cfRule>
  </conditionalFormatting>
  <conditionalFormatting sqref="H21">
    <cfRule type="cellIs" dxfId="469" priority="220" stopIfTrue="1" operator="lessThanOrEqual">
      <formula>0</formula>
    </cfRule>
  </conditionalFormatting>
  <conditionalFormatting sqref="J25">
    <cfRule type="cellIs" dxfId="468" priority="219" stopIfTrue="1" operator="lessThanOrEqual">
      <formula>0</formula>
    </cfRule>
  </conditionalFormatting>
  <conditionalFormatting sqref="J25">
    <cfRule type="cellIs" dxfId="467" priority="218" stopIfTrue="1" operator="lessThanOrEqual">
      <formula>0</formula>
    </cfRule>
  </conditionalFormatting>
  <conditionalFormatting sqref="H24">
    <cfRule type="cellIs" dxfId="466" priority="215" stopIfTrue="1" operator="lessThanOrEqual">
      <formula>0</formula>
    </cfRule>
  </conditionalFormatting>
  <conditionalFormatting sqref="H24">
    <cfRule type="cellIs" dxfId="465" priority="214" stopIfTrue="1" operator="lessThanOrEqual">
      <formula>0</formula>
    </cfRule>
  </conditionalFormatting>
  <conditionalFormatting sqref="H28">
    <cfRule type="cellIs" dxfId="464" priority="207" stopIfTrue="1" operator="lessThanOrEqual">
      <formula>0</formula>
    </cfRule>
  </conditionalFormatting>
  <conditionalFormatting sqref="H28">
    <cfRule type="cellIs" dxfId="463" priority="206" stopIfTrue="1" operator="lessThanOrEqual">
      <formula>0</formula>
    </cfRule>
  </conditionalFormatting>
  <conditionalFormatting sqref="H25">
    <cfRule type="cellIs" dxfId="462" priority="213" stopIfTrue="1" operator="lessThanOrEqual">
      <formula>0</formula>
    </cfRule>
  </conditionalFormatting>
  <conditionalFormatting sqref="H25">
    <cfRule type="cellIs" dxfId="461" priority="212" stopIfTrue="1" operator="lessThanOrEqual">
      <formula>0</formula>
    </cfRule>
  </conditionalFormatting>
  <conditionalFormatting sqref="J30">
    <cfRule type="cellIs" dxfId="460" priority="211" stopIfTrue="1" operator="lessThanOrEqual">
      <formula>0</formula>
    </cfRule>
  </conditionalFormatting>
  <conditionalFormatting sqref="J30">
    <cfRule type="cellIs" dxfId="459" priority="210" stopIfTrue="1" operator="lessThanOrEqual">
      <formula>0</formula>
    </cfRule>
  </conditionalFormatting>
  <conditionalFormatting sqref="H35">
    <cfRule type="cellIs" dxfId="458" priority="199" stopIfTrue="1" operator="lessThanOrEqual">
      <formula>0</formula>
    </cfRule>
  </conditionalFormatting>
  <conditionalFormatting sqref="H35">
    <cfRule type="cellIs" dxfId="457" priority="198" stopIfTrue="1" operator="lessThanOrEqual">
      <formula>0</formula>
    </cfRule>
  </conditionalFormatting>
  <conditionalFormatting sqref="H30">
    <cfRule type="cellIs" dxfId="456" priority="205" stopIfTrue="1" operator="lessThanOrEqual">
      <formula>0</formula>
    </cfRule>
  </conditionalFormatting>
  <conditionalFormatting sqref="H30">
    <cfRule type="cellIs" dxfId="455" priority="204" stopIfTrue="1" operator="lessThanOrEqual">
      <formula>0</formula>
    </cfRule>
  </conditionalFormatting>
  <conditionalFormatting sqref="J37">
    <cfRule type="cellIs" dxfId="454" priority="203" stopIfTrue="1" operator="lessThanOrEqual">
      <formula>0</formula>
    </cfRule>
  </conditionalFormatting>
  <conditionalFormatting sqref="J37">
    <cfRule type="cellIs" dxfId="453" priority="202" stopIfTrue="1" operator="lessThanOrEqual">
      <formula>0</formula>
    </cfRule>
  </conditionalFormatting>
  <conditionalFormatting sqref="H37">
    <cfRule type="cellIs" dxfId="452" priority="197" stopIfTrue="1" operator="lessThanOrEqual">
      <formula>0</formula>
    </cfRule>
  </conditionalFormatting>
  <conditionalFormatting sqref="H37">
    <cfRule type="cellIs" dxfId="451" priority="196" stopIfTrue="1" operator="lessThanOrEqual">
      <formula>0</formula>
    </cfRule>
  </conditionalFormatting>
  <conditionalFormatting sqref="J51">
    <cfRule type="cellIs" dxfId="450" priority="195" stopIfTrue="1" operator="lessThanOrEqual">
      <formula>0</formula>
    </cfRule>
  </conditionalFormatting>
  <conditionalFormatting sqref="J51">
    <cfRule type="cellIs" dxfId="449" priority="194" stopIfTrue="1" operator="lessThanOrEqual">
      <formula>0</formula>
    </cfRule>
  </conditionalFormatting>
  <conditionalFormatting sqref="H51">
    <cfRule type="cellIs" dxfId="448" priority="188" stopIfTrue="1" operator="lessThanOrEqual">
      <formula>0</formula>
    </cfRule>
  </conditionalFormatting>
  <conditionalFormatting sqref="H50">
    <cfRule type="cellIs" dxfId="447" priority="191" stopIfTrue="1" operator="lessThanOrEqual">
      <formula>0</formula>
    </cfRule>
  </conditionalFormatting>
  <conditionalFormatting sqref="H50">
    <cfRule type="cellIs" dxfId="446" priority="190" stopIfTrue="1" operator="lessThanOrEqual">
      <formula>0</formula>
    </cfRule>
  </conditionalFormatting>
  <conditionalFormatting sqref="H51">
    <cfRule type="cellIs" dxfId="445" priority="189" stopIfTrue="1" operator="lessThanOrEqual">
      <formula>0</formula>
    </cfRule>
  </conditionalFormatting>
  <conditionalFormatting sqref="J20">
    <cfRule type="cellIs" dxfId="444" priority="175" stopIfTrue="1" operator="lessThanOrEqual">
      <formula>0</formula>
    </cfRule>
  </conditionalFormatting>
  <conditionalFormatting sqref="J20">
    <cfRule type="cellIs" dxfId="443" priority="174" stopIfTrue="1" operator="lessThanOrEqual">
      <formula>0</formula>
    </cfRule>
  </conditionalFormatting>
  <conditionalFormatting sqref="H20">
    <cfRule type="cellIs" dxfId="442" priority="173" stopIfTrue="1" operator="lessThanOrEqual">
      <formula>0</formula>
    </cfRule>
  </conditionalFormatting>
  <conditionalFormatting sqref="H20:H21">
    <cfRule type="cellIs" dxfId="441" priority="172" stopIfTrue="1" operator="lessThanOrEqual">
      <formula>0</formula>
    </cfRule>
  </conditionalFormatting>
  <conditionalFormatting sqref="H20">
    <cfRule type="cellIs" dxfId="440" priority="171" stopIfTrue="1" operator="lessThanOrEqual">
      <formula>0</formula>
    </cfRule>
  </conditionalFormatting>
  <conditionalFormatting sqref="H20">
    <cfRule type="cellIs" dxfId="439" priority="170" stopIfTrue="1" operator="lessThanOrEqual">
      <formula>0</formula>
    </cfRule>
  </conditionalFormatting>
  <conditionalFormatting sqref="J36">
    <cfRule type="cellIs" dxfId="438" priority="169" stopIfTrue="1" operator="lessThanOrEqual">
      <formula>0</formula>
    </cfRule>
  </conditionalFormatting>
  <conditionalFormatting sqref="J36">
    <cfRule type="cellIs" dxfId="437" priority="168" stopIfTrue="1" operator="lessThanOrEqual">
      <formula>0</formula>
    </cfRule>
  </conditionalFormatting>
  <conditionalFormatting sqref="H36">
    <cfRule type="cellIs" dxfId="436" priority="163" stopIfTrue="1" operator="lessThanOrEqual">
      <formula>0</formula>
    </cfRule>
  </conditionalFormatting>
  <conditionalFormatting sqref="H36">
    <cfRule type="cellIs" dxfId="435" priority="162" stopIfTrue="1" operator="lessThanOrEqual">
      <formula>0</formula>
    </cfRule>
  </conditionalFormatting>
  <conditionalFormatting sqref="H36">
    <cfRule type="cellIs" dxfId="434" priority="165" stopIfTrue="1" operator="lessThanOrEqual">
      <formula>0</formula>
    </cfRule>
  </conditionalFormatting>
  <conditionalFormatting sqref="H36">
    <cfRule type="cellIs" dxfId="433" priority="164" stopIfTrue="1" operator="lessThanOrEqual">
      <formula>0</formula>
    </cfRule>
  </conditionalFormatting>
  <conditionalFormatting sqref="H29">
    <cfRule type="cellIs" dxfId="432" priority="155" stopIfTrue="1" operator="lessThanOrEqual">
      <formula>0</formula>
    </cfRule>
  </conditionalFormatting>
  <conditionalFormatting sqref="H29">
    <cfRule type="cellIs" dxfId="431" priority="154" stopIfTrue="1" operator="lessThanOrEqual">
      <formula>0</formula>
    </cfRule>
  </conditionalFormatting>
  <conditionalFormatting sqref="J29">
    <cfRule type="cellIs" dxfId="430" priority="161" stopIfTrue="1" operator="lessThanOrEqual">
      <formula>0</formula>
    </cfRule>
  </conditionalFormatting>
  <conditionalFormatting sqref="J29">
    <cfRule type="cellIs" dxfId="429" priority="160" stopIfTrue="1" operator="lessThanOrEqual">
      <formula>0</formula>
    </cfRule>
  </conditionalFormatting>
  <conditionalFormatting sqref="H46">
    <cfRule type="cellIs" dxfId="428" priority="149" stopIfTrue="1" operator="lessThanOrEqual">
      <formula>0</formula>
    </cfRule>
  </conditionalFormatting>
  <conditionalFormatting sqref="H46">
    <cfRule type="cellIs" dxfId="427" priority="148" stopIfTrue="1" operator="lessThanOrEqual">
      <formula>0</formula>
    </cfRule>
  </conditionalFormatting>
  <conditionalFormatting sqref="H29">
    <cfRule type="cellIs" dxfId="426" priority="157" stopIfTrue="1" operator="lessThanOrEqual">
      <formula>0</formula>
    </cfRule>
  </conditionalFormatting>
  <conditionalFormatting sqref="H29">
    <cfRule type="cellIs" dxfId="425" priority="156" stopIfTrue="1" operator="lessThanOrEqual">
      <formula>0</formula>
    </cfRule>
  </conditionalFormatting>
  <conditionalFormatting sqref="J54">
    <cfRule type="cellIs" dxfId="424" priority="147" stopIfTrue="1" operator="lessThanOrEqual">
      <formula>0</formula>
    </cfRule>
  </conditionalFormatting>
  <conditionalFormatting sqref="J54">
    <cfRule type="cellIs" dxfId="423" priority="146" stopIfTrue="1" operator="lessThanOrEqual">
      <formula>0</formula>
    </cfRule>
  </conditionalFormatting>
  <conditionalFormatting sqref="J46">
    <cfRule type="cellIs" dxfId="422" priority="153" stopIfTrue="1" operator="lessThanOrEqual">
      <formula>0</formula>
    </cfRule>
  </conditionalFormatting>
  <conditionalFormatting sqref="J46">
    <cfRule type="cellIs" dxfId="421" priority="152" stopIfTrue="1" operator="lessThanOrEqual">
      <formula>0</formula>
    </cfRule>
  </conditionalFormatting>
  <conditionalFormatting sqref="J58">
    <cfRule type="cellIs" dxfId="420" priority="145" stopIfTrue="1" operator="lessThanOrEqual">
      <formula>0</formula>
    </cfRule>
  </conditionalFormatting>
  <conditionalFormatting sqref="J58">
    <cfRule type="cellIs" dxfId="419" priority="144" stopIfTrue="1" operator="lessThanOrEqual">
      <formula>0</formula>
    </cfRule>
  </conditionalFormatting>
  <conditionalFormatting sqref="H46">
    <cfRule type="cellIs" dxfId="418" priority="151" stopIfTrue="1" operator="lessThanOrEqual">
      <formula>0</formula>
    </cfRule>
  </conditionalFormatting>
  <conditionalFormatting sqref="H46">
    <cfRule type="cellIs" dxfId="417" priority="150" stopIfTrue="1" operator="lessThanOrEqual">
      <formula>0</formula>
    </cfRule>
  </conditionalFormatting>
  <conditionalFormatting sqref="H62">
    <cfRule type="cellIs" dxfId="416" priority="131" stopIfTrue="1" operator="lessThanOrEqual">
      <formula>0</formula>
    </cfRule>
  </conditionalFormatting>
  <conditionalFormatting sqref="H62">
    <cfRule type="cellIs" dxfId="415" priority="130" stopIfTrue="1" operator="lessThanOrEqual">
      <formula>0</formula>
    </cfRule>
  </conditionalFormatting>
  <conditionalFormatting sqref="H41">
    <cfRule type="cellIs" dxfId="414" priority="127" stopIfTrue="1" operator="lessThanOrEqual">
      <formula>0</formula>
    </cfRule>
  </conditionalFormatting>
  <conditionalFormatting sqref="H41">
    <cfRule type="cellIs" dxfId="413" priority="126" stopIfTrue="1" operator="lessThanOrEqual">
      <formula>0</formula>
    </cfRule>
  </conditionalFormatting>
  <conditionalFormatting sqref="J62">
    <cfRule type="cellIs" dxfId="412" priority="143" stopIfTrue="1" operator="lessThanOrEqual">
      <formula>0</formula>
    </cfRule>
  </conditionalFormatting>
  <conditionalFormatting sqref="J62">
    <cfRule type="cellIs" dxfId="411" priority="142" stopIfTrue="1" operator="lessThanOrEqual">
      <formula>0</formula>
    </cfRule>
  </conditionalFormatting>
  <conditionalFormatting sqref="H54">
    <cfRule type="cellIs" dxfId="410" priority="139" stopIfTrue="1" operator="lessThanOrEqual">
      <formula>0</formula>
    </cfRule>
  </conditionalFormatting>
  <conditionalFormatting sqref="H54">
    <cfRule type="cellIs" dxfId="409" priority="138" stopIfTrue="1" operator="lessThanOrEqual">
      <formula>0</formula>
    </cfRule>
  </conditionalFormatting>
  <conditionalFormatting sqref="H54">
    <cfRule type="cellIs" dxfId="408" priority="141" stopIfTrue="1" operator="lessThanOrEqual">
      <formula>0</formula>
    </cfRule>
  </conditionalFormatting>
  <conditionalFormatting sqref="H54">
    <cfRule type="cellIs" dxfId="407" priority="140" stopIfTrue="1" operator="lessThanOrEqual">
      <formula>0</formula>
    </cfRule>
  </conditionalFormatting>
  <conditionalFormatting sqref="H58">
    <cfRule type="cellIs" dxfId="406" priority="135" stopIfTrue="1" operator="lessThanOrEqual">
      <formula>0</formula>
    </cfRule>
  </conditionalFormatting>
  <conditionalFormatting sqref="H58">
    <cfRule type="cellIs" dxfId="405" priority="134" stopIfTrue="1" operator="lessThanOrEqual">
      <formula>0</formula>
    </cfRule>
  </conditionalFormatting>
  <conditionalFormatting sqref="H58">
    <cfRule type="cellIs" dxfId="404" priority="137" stopIfTrue="1" operator="lessThanOrEqual">
      <formula>0</formula>
    </cfRule>
  </conditionalFormatting>
  <conditionalFormatting sqref="H58">
    <cfRule type="cellIs" dxfId="403" priority="136" stopIfTrue="1" operator="lessThanOrEqual">
      <formula>0</formula>
    </cfRule>
  </conditionalFormatting>
  <conditionalFormatting sqref="J17 H17">
    <cfRule type="cellIs" dxfId="402" priority="125" stopIfTrue="1" operator="lessThanOrEqual">
      <formula>0</formula>
    </cfRule>
  </conditionalFormatting>
  <conditionalFormatting sqref="J17 H17">
    <cfRule type="cellIs" dxfId="401" priority="124" stopIfTrue="1" operator="lessThanOrEqual">
      <formula>0</formula>
    </cfRule>
  </conditionalFormatting>
  <conditionalFormatting sqref="H62">
    <cfRule type="cellIs" dxfId="400" priority="133" stopIfTrue="1" operator="lessThanOrEqual">
      <formula>0</formula>
    </cfRule>
  </conditionalFormatting>
  <conditionalFormatting sqref="H62">
    <cfRule type="cellIs" dxfId="399" priority="132" stopIfTrue="1" operator="lessThanOrEqual">
      <formula>0</formula>
    </cfRule>
  </conditionalFormatting>
  <conditionalFormatting sqref="J41">
    <cfRule type="cellIs" dxfId="398" priority="129" stopIfTrue="1" operator="lessThanOrEqual">
      <formula>0</formula>
    </cfRule>
  </conditionalFormatting>
  <conditionalFormatting sqref="J41">
    <cfRule type="cellIs" dxfId="397" priority="128" stopIfTrue="1" operator="lessThanOrEqual">
      <formula>0</formula>
    </cfRule>
  </conditionalFormatting>
  <conditionalFormatting sqref="H26">
    <cfRule type="cellIs" dxfId="396" priority="119" stopIfTrue="1" operator="lessThanOrEqual">
      <formula>0</formula>
    </cfRule>
  </conditionalFormatting>
  <conditionalFormatting sqref="H26">
    <cfRule type="cellIs" dxfId="395" priority="118" stopIfTrue="1" operator="lessThanOrEqual">
      <formula>0</formula>
    </cfRule>
  </conditionalFormatting>
  <conditionalFormatting sqref="H33">
    <cfRule type="cellIs" dxfId="394" priority="113" stopIfTrue="1" operator="lessThanOrEqual">
      <formula>0</formula>
    </cfRule>
  </conditionalFormatting>
  <conditionalFormatting sqref="H33">
    <cfRule type="cellIs" dxfId="393" priority="112" stopIfTrue="1" operator="lessThanOrEqual">
      <formula>0</formula>
    </cfRule>
  </conditionalFormatting>
  <conditionalFormatting sqref="J26">
    <cfRule type="cellIs" dxfId="392" priority="123" stopIfTrue="1" operator="lessThanOrEqual">
      <formula>0</formula>
    </cfRule>
  </conditionalFormatting>
  <conditionalFormatting sqref="J26">
    <cfRule type="cellIs" dxfId="391" priority="122" stopIfTrue="1" operator="lessThanOrEqual">
      <formula>0</formula>
    </cfRule>
  </conditionalFormatting>
  <conditionalFormatting sqref="H40">
    <cfRule type="cellIs" dxfId="390" priority="107" stopIfTrue="1" operator="lessThanOrEqual">
      <formula>0</formula>
    </cfRule>
  </conditionalFormatting>
  <conditionalFormatting sqref="H40">
    <cfRule type="cellIs" dxfId="389" priority="106" stopIfTrue="1" operator="lessThanOrEqual">
      <formula>0</formula>
    </cfRule>
  </conditionalFormatting>
  <conditionalFormatting sqref="H42">
    <cfRule type="cellIs" dxfId="388" priority="101" stopIfTrue="1" operator="lessThanOrEqual">
      <formula>0</formula>
    </cfRule>
  </conditionalFormatting>
  <conditionalFormatting sqref="H42">
    <cfRule type="cellIs" dxfId="387" priority="100" stopIfTrue="1" operator="lessThanOrEqual">
      <formula>0</formula>
    </cfRule>
  </conditionalFormatting>
  <conditionalFormatting sqref="J33">
    <cfRule type="cellIs" dxfId="386" priority="117" stopIfTrue="1" operator="lessThanOrEqual">
      <formula>0</formula>
    </cfRule>
  </conditionalFormatting>
  <conditionalFormatting sqref="J33">
    <cfRule type="cellIs" dxfId="385" priority="116" stopIfTrue="1" operator="lessThanOrEqual">
      <formula>0</formula>
    </cfRule>
  </conditionalFormatting>
  <conditionalFormatting sqref="H53">
    <cfRule type="cellIs" dxfId="384" priority="93" stopIfTrue="1" operator="lessThanOrEqual">
      <formula>0</formula>
    </cfRule>
  </conditionalFormatting>
  <conditionalFormatting sqref="H53">
    <cfRule type="cellIs" dxfId="383" priority="92" stopIfTrue="1" operator="lessThanOrEqual">
      <formula>0</formula>
    </cfRule>
  </conditionalFormatting>
  <conditionalFormatting sqref="H61">
    <cfRule type="cellIs" dxfId="382" priority="85" stopIfTrue="1" operator="lessThanOrEqual">
      <formula>0</formula>
    </cfRule>
  </conditionalFormatting>
  <conditionalFormatting sqref="H61">
    <cfRule type="cellIs" dxfId="381" priority="84" stopIfTrue="1" operator="lessThanOrEqual">
      <formula>0</formula>
    </cfRule>
  </conditionalFormatting>
  <conditionalFormatting sqref="H57">
    <cfRule type="cellIs" dxfId="380" priority="77" stopIfTrue="1" operator="lessThanOrEqual">
      <formula>0</formula>
    </cfRule>
  </conditionalFormatting>
  <conditionalFormatting sqref="H57">
    <cfRule type="cellIs" dxfId="379" priority="76" stopIfTrue="1" operator="lessThanOrEqual">
      <formula>0</formula>
    </cfRule>
  </conditionalFormatting>
  <conditionalFormatting sqref="J40">
    <cfRule type="cellIs" dxfId="378" priority="111" stopIfTrue="1" operator="lessThanOrEqual">
      <formula>0</formula>
    </cfRule>
  </conditionalFormatting>
  <conditionalFormatting sqref="J40">
    <cfRule type="cellIs" dxfId="377" priority="110" stopIfTrue="1" operator="lessThanOrEqual">
      <formula>0</formula>
    </cfRule>
  </conditionalFormatting>
  <conditionalFormatting sqref="H22">
    <cfRule type="cellIs" dxfId="376" priority="71" stopIfTrue="1" operator="lessThanOrEqual">
      <formula>0</formula>
    </cfRule>
  </conditionalFormatting>
  <conditionalFormatting sqref="J42">
    <cfRule type="cellIs" dxfId="375" priority="105" stopIfTrue="1" operator="lessThanOrEqual">
      <formula>0</formula>
    </cfRule>
  </conditionalFormatting>
  <conditionalFormatting sqref="J42">
    <cfRule type="cellIs" dxfId="374" priority="104" stopIfTrue="1" operator="lessThanOrEqual">
      <formula>0</formula>
    </cfRule>
  </conditionalFormatting>
  <conditionalFormatting sqref="H31">
    <cfRule type="cellIs" dxfId="373" priority="66" stopIfTrue="1" operator="lessThanOrEqual">
      <formula>0</formula>
    </cfRule>
  </conditionalFormatting>
  <conditionalFormatting sqref="H42">
    <cfRule type="cellIs" dxfId="372" priority="103" stopIfTrue="1" operator="lessThanOrEqual">
      <formula>0</formula>
    </cfRule>
  </conditionalFormatting>
  <conditionalFormatting sqref="H42">
    <cfRule type="cellIs" dxfId="371" priority="102" stopIfTrue="1" operator="lessThanOrEqual">
      <formula>0</formula>
    </cfRule>
  </conditionalFormatting>
  <conditionalFormatting sqref="J53">
    <cfRule type="cellIs" dxfId="370" priority="99" stopIfTrue="1" operator="lessThanOrEqual">
      <formula>0</formula>
    </cfRule>
  </conditionalFormatting>
  <conditionalFormatting sqref="J53">
    <cfRule type="cellIs" dxfId="369" priority="98" stopIfTrue="1" operator="lessThanOrEqual">
      <formula>0</formula>
    </cfRule>
  </conditionalFormatting>
  <conditionalFormatting sqref="H38">
    <cfRule type="cellIs" dxfId="368" priority="61" stopIfTrue="1" operator="lessThanOrEqual">
      <formula>0</formula>
    </cfRule>
  </conditionalFormatting>
  <conditionalFormatting sqref="H43">
    <cfRule type="cellIs" dxfId="367" priority="56" stopIfTrue="1" operator="lessThanOrEqual">
      <formula>0</formula>
    </cfRule>
  </conditionalFormatting>
  <conditionalFormatting sqref="H55">
    <cfRule type="cellIs" dxfId="366" priority="51" stopIfTrue="1" operator="lessThanOrEqual">
      <formula>0</formula>
    </cfRule>
  </conditionalFormatting>
  <conditionalFormatting sqref="J61">
    <cfRule type="cellIs" dxfId="365" priority="91" stopIfTrue="1" operator="lessThanOrEqual">
      <formula>0</formula>
    </cfRule>
  </conditionalFormatting>
  <conditionalFormatting sqref="J61">
    <cfRule type="cellIs" dxfId="364" priority="90" stopIfTrue="1" operator="lessThanOrEqual">
      <formula>0</formula>
    </cfRule>
  </conditionalFormatting>
  <conditionalFormatting sqref="J57">
    <cfRule type="cellIs" dxfId="363" priority="83" stopIfTrue="1" operator="lessThanOrEqual">
      <formula>0</formula>
    </cfRule>
  </conditionalFormatting>
  <conditionalFormatting sqref="J57">
    <cfRule type="cellIs" dxfId="362" priority="82" stopIfTrue="1" operator="lessThanOrEqual">
      <formula>0</formula>
    </cfRule>
  </conditionalFormatting>
  <conditionalFormatting sqref="H63">
    <cfRule type="cellIs" dxfId="361" priority="41" stopIfTrue="1" operator="lessThanOrEqual">
      <formula>0</formula>
    </cfRule>
  </conditionalFormatting>
  <conditionalFormatting sqref="H47">
    <cfRule type="cellIs" dxfId="360" priority="36" stopIfTrue="1" operator="lessThanOrEqual">
      <formula>0</formula>
    </cfRule>
  </conditionalFormatting>
  <conditionalFormatting sqref="J22">
    <cfRule type="cellIs" dxfId="359" priority="75" stopIfTrue="1" operator="lessThanOrEqual">
      <formula>0</formula>
    </cfRule>
  </conditionalFormatting>
  <conditionalFormatting sqref="J22">
    <cfRule type="cellIs" dxfId="358" priority="74" stopIfTrue="1" operator="lessThanOrEqual">
      <formula>0</formula>
    </cfRule>
  </conditionalFormatting>
  <conditionalFormatting sqref="H22">
    <cfRule type="cellIs" dxfId="357" priority="73" stopIfTrue="1" operator="lessThanOrEqual">
      <formula>0</formula>
    </cfRule>
  </conditionalFormatting>
  <conditionalFormatting sqref="H22">
    <cfRule type="cellIs" dxfId="356" priority="72" stopIfTrue="1" operator="lessThanOrEqual">
      <formula>0</formula>
    </cfRule>
  </conditionalFormatting>
  <conditionalFormatting sqref="J31">
    <cfRule type="cellIs" dxfId="355" priority="70" stopIfTrue="1" operator="lessThanOrEqual">
      <formula>0</formula>
    </cfRule>
  </conditionalFormatting>
  <conditionalFormatting sqref="J31">
    <cfRule type="cellIs" dxfId="354" priority="69" stopIfTrue="1" operator="lessThanOrEqual">
      <formula>0</formula>
    </cfRule>
  </conditionalFormatting>
  <conditionalFormatting sqref="H31">
    <cfRule type="cellIs" dxfId="353" priority="68" stopIfTrue="1" operator="lessThanOrEqual">
      <formula>0</formula>
    </cfRule>
  </conditionalFormatting>
  <conditionalFormatting sqref="H31">
    <cfRule type="cellIs" dxfId="352" priority="67" stopIfTrue="1" operator="lessThanOrEqual">
      <formula>0</formula>
    </cfRule>
  </conditionalFormatting>
  <conditionalFormatting sqref="J38">
    <cfRule type="cellIs" dxfId="351" priority="65" stopIfTrue="1" operator="lessThanOrEqual">
      <formula>0</formula>
    </cfRule>
  </conditionalFormatting>
  <conditionalFormatting sqref="J38">
    <cfRule type="cellIs" dxfId="350" priority="64" stopIfTrue="1" operator="lessThanOrEqual">
      <formula>0</formula>
    </cfRule>
  </conditionalFormatting>
  <conditionalFormatting sqref="H38">
    <cfRule type="cellIs" dxfId="349" priority="63" stopIfTrue="1" operator="lessThanOrEqual">
      <formula>0</formula>
    </cfRule>
  </conditionalFormatting>
  <conditionalFormatting sqref="H38">
    <cfRule type="cellIs" dxfId="348" priority="62" stopIfTrue="1" operator="lessThanOrEqual">
      <formula>0</formula>
    </cfRule>
  </conditionalFormatting>
  <conditionalFormatting sqref="J43">
    <cfRule type="cellIs" dxfId="347" priority="60" stopIfTrue="1" operator="lessThanOrEqual">
      <formula>0</formula>
    </cfRule>
  </conditionalFormatting>
  <conditionalFormatting sqref="J43">
    <cfRule type="cellIs" dxfId="346" priority="59" stopIfTrue="1" operator="lessThanOrEqual">
      <formula>0</formula>
    </cfRule>
  </conditionalFormatting>
  <conditionalFormatting sqref="H43">
    <cfRule type="cellIs" dxfId="345" priority="58" stopIfTrue="1" operator="lessThanOrEqual">
      <formula>0</formula>
    </cfRule>
  </conditionalFormatting>
  <conditionalFormatting sqref="H43">
    <cfRule type="cellIs" dxfId="344" priority="57" stopIfTrue="1" operator="lessThanOrEqual">
      <formula>0</formula>
    </cfRule>
  </conditionalFormatting>
  <conditionalFormatting sqref="J55">
    <cfRule type="cellIs" dxfId="343" priority="55" stopIfTrue="1" operator="lessThanOrEqual">
      <formula>0</formula>
    </cfRule>
  </conditionalFormatting>
  <conditionalFormatting sqref="J55">
    <cfRule type="cellIs" dxfId="342" priority="54" stopIfTrue="1" operator="lessThanOrEqual">
      <formula>0</formula>
    </cfRule>
  </conditionalFormatting>
  <conditionalFormatting sqref="H55">
    <cfRule type="cellIs" dxfId="341" priority="53" stopIfTrue="1" operator="lessThanOrEqual">
      <formula>0</formula>
    </cfRule>
  </conditionalFormatting>
  <conditionalFormatting sqref="H55">
    <cfRule type="cellIs" dxfId="340" priority="52" stopIfTrue="1" operator="lessThanOrEqual">
      <formula>0</formula>
    </cfRule>
  </conditionalFormatting>
  <conditionalFormatting sqref="J63">
    <cfRule type="cellIs" dxfId="339" priority="45" stopIfTrue="1" operator="lessThanOrEqual">
      <formula>0</formula>
    </cfRule>
  </conditionalFormatting>
  <conditionalFormatting sqref="J63">
    <cfRule type="cellIs" dxfId="338" priority="44" stopIfTrue="1" operator="lessThanOrEqual">
      <formula>0</formula>
    </cfRule>
  </conditionalFormatting>
  <conditionalFormatting sqref="H63">
    <cfRule type="cellIs" dxfId="337" priority="43" stopIfTrue="1" operator="lessThanOrEqual">
      <formula>0</formula>
    </cfRule>
  </conditionalFormatting>
  <conditionalFormatting sqref="H63">
    <cfRule type="cellIs" dxfId="336" priority="42" stopIfTrue="1" operator="lessThanOrEqual">
      <formula>0</formula>
    </cfRule>
  </conditionalFormatting>
  <conditionalFormatting sqref="J47">
    <cfRule type="cellIs" dxfId="335" priority="40" stopIfTrue="1" operator="lessThanOrEqual">
      <formula>0</formula>
    </cfRule>
  </conditionalFormatting>
  <conditionalFormatting sqref="J47">
    <cfRule type="cellIs" dxfId="334" priority="39" stopIfTrue="1" operator="lessThanOrEqual">
      <formula>0</formula>
    </cfRule>
  </conditionalFormatting>
  <conditionalFormatting sqref="H47">
    <cfRule type="cellIs" dxfId="333" priority="38" stopIfTrue="1" operator="lessThanOrEqual">
      <formula>0</formula>
    </cfRule>
  </conditionalFormatting>
  <conditionalFormatting sqref="H47">
    <cfRule type="cellIs" dxfId="332" priority="37" stopIfTrue="1" operator="lessThanOrEqual">
      <formula>0</formula>
    </cfRule>
  </conditionalFormatting>
  <conditionalFormatting sqref="J59">
    <cfRule type="cellIs" dxfId="331" priority="35" stopIfTrue="1" operator="lessThanOrEqual">
      <formula>0</formula>
    </cfRule>
  </conditionalFormatting>
  <conditionalFormatting sqref="J59">
    <cfRule type="cellIs" dxfId="330" priority="34" stopIfTrue="1" operator="lessThanOrEqual">
      <formula>0</formula>
    </cfRule>
  </conditionalFormatting>
  <conditionalFormatting sqref="H59">
    <cfRule type="cellIs" dxfId="329" priority="31" stopIfTrue="1" operator="lessThanOrEqual">
      <formula>0</formula>
    </cfRule>
  </conditionalFormatting>
  <conditionalFormatting sqref="H59">
    <cfRule type="cellIs" dxfId="328" priority="33" stopIfTrue="1" operator="lessThanOrEqual">
      <formula>0</formula>
    </cfRule>
  </conditionalFormatting>
  <conditionalFormatting sqref="H59">
    <cfRule type="cellIs" dxfId="327" priority="32" stopIfTrue="1" operator="lessThanOrEqual">
      <formula>0</formula>
    </cfRule>
  </conditionalFormatting>
  <dataValidations disablePrompts="1" count="1">
    <dataValidation allowBlank="1" showInputMessage="1" showErrorMessage="1" promptTitle="Toelichting" prompt="Vul in deze gekleurde cellen de gevraagde informatie in._x000d_" sqref="E10" xr:uid="{00000000-0002-0000-0400-000000000000}"/>
  </dataValidations>
  <printOptions horizontalCentered="1" gridLinesSet="0"/>
  <pageMargins left="0.2" right="0.2" top="0.59" bottom="0.4" header="0.39" footer="0.2"/>
  <pageSetup paperSize="9" orientation="landscape"/>
  <headerFooter>
    <oddHeader>&amp;L&amp;C&amp;R</oddHeader>
    <oddFooter>&amp;L&amp;"Verdana,Standaard"&amp;K000000&amp;F-&amp;A&amp;R&amp;"Verdana,Standaard"&amp;K000000printversie &amp;D</oddFooter>
  </headerFooter>
  <ignoredErrors>
    <ignoredError sqref="S57 S48 S39 S32" formula="1"/>
  </ignoredErrors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N456"/>
  <sheetViews>
    <sheetView showGridLines="0" showZeros="0" showOutlineSymbols="0" topLeftCell="B1" zoomScaleNormal="100" zoomScaleSheetLayoutView="65" zoomScalePageLayoutView="90" workbookViewId="0">
      <selection activeCell="B2" sqref="B2"/>
    </sheetView>
  </sheetViews>
  <sheetFormatPr baseColWidth="10" defaultColWidth="0" defaultRowHeight="16" customHeight="1"/>
  <cols>
    <col min="1" max="1" width="7.19921875" style="58" hidden="1" customWidth="1"/>
    <col min="2" max="2" width="18.3984375" style="206" customWidth="1"/>
    <col min="3" max="3" width="13.796875" style="440" customWidth="1"/>
    <col min="4" max="4" width="13" style="58" bestFit="1" customWidth="1"/>
    <col min="5" max="5" width="53.19921875" style="444" bestFit="1" customWidth="1"/>
    <col min="6" max="6" width="11.19921875" style="134" customWidth="1"/>
    <col min="7" max="7" width="19.3984375" style="427" customWidth="1"/>
    <col min="8" max="8" width="38.796875" style="58" customWidth="1"/>
    <col min="9" max="9" width="57.19921875" style="571" customWidth="1"/>
    <col min="10" max="10" width="23.796875" style="684" bestFit="1" customWidth="1"/>
    <col min="11" max="11" width="15.19921875" style="208" bestFit="1" customWidth="1"/>
    <col min="12" max="12" width="14.19921875" style="689" customWidth="1"/>
    <col min="13" max="13" width="23.19921875" style="59" bestFit="1" customWidth="1"/>
    <col min="14" max="14" width="16.796875" style="206" bestFit="1" customWidth="1"/>
    <col min="15" max="15" width="18.3984375" style="578" customWidth="1"/>
    <col min="16" max="16" width="15.19921875" style="59" customWidth="1"/>
    <col min="17" max="17" width="17.59765625" style="134" bestFit="1" customWidth="1"/>
    <col min="18" max="18" width="14.19921875" style="59" customWidth="1"/>
    <col min="19" max="19" width="17.3984375" style="59" customWidth="1"/>
    <col min="20" max="20" width="16.796875" style="318" customWidth="1"/>
    <col min="21" max="21" width="20.19921875" style="318" bestFit="1" customWidth="1"/>
    <col min="22" max="23" width="17.59765625" style="58" customWidth="1"/>
    <col min="24" max="24" width="19.796875" style="134" bestFit="1" customWidth="1"/>
    <col min="25" max="25" width="20.19921875" style="134" bestFit="1" customWidth="1"/>
    <col min="26" max="26" width="16.796875" style="58" bestFit="1" customWidth="1"/>
    <col min="27" max="27" width="16.796875" style="58" customWidth="1"/>
    <col min="28" max="28" width="10.59765625" style="58" bestFit="1" customWidth="1"/>
    <col min="29" max="29" width="55.59765625" style="851" customWidth="1"/>
    <col min="30" max="30" width="20.796875" style="134" customWidth="1"/>
    <col min="31" max="31" width="21.19921875" style="134" bestFit="1" customWidth="1"/>
    <col min="32" max="32" width="13.796875" style="58" customWidth="1"/>
    <col min="33" max="33" width="11.19921875" style="58" hidden="1" customWidth="1"/>
    <col min="34" max="34" width="13.3984375" style="58" hidden="1" customWidth="1"/>
    <col min="35" max="36" width="8.796875" style="58" customWidth="1"/>
    <col min="37" max="39" width="8.796875" style="58" hidden="1" customWidth="1"/>
    <col min="40" max="40" width="13.3984375" style="58" hidden="1" customWidth="1"/>
    <col min="41" max="16384" width="8.796875" style="58" hidden="1"/>
  </cols>
  <sheetData>
    <row r="1" spans="1:34" ht="12" customHeight="1">
      <c r="A1" s="134"/>
      <c r="C1" s="318"/>
      <c r="D1" s="134"/>
      <c r="E1" s="436"/>
      <c r="F1" s="209"/>
      <c r="G1" s="210"/>
      <c r="H1" s="437"/>
      <c r="I1" s="568"/>
      <c r="J1" s="691"/>
      <c r="K1" s="154"/>
      <c r="L1" s="688"/>
      <c r="M1" s="60"/>
      <c r="N1" s="210"/>
      <c r="O1" s="576"/>
      <c r="P1" s="154"/>
      <c r="Q1" s="154"/>
      <c r="R1" s="154"/>
      <c r="S1" s="154"/>
      <c r="T1" s="457"/>
      <c r="U1" s="458"/>
      <c r="V1" s="438"/>
      <c r="W1" s="438"/>
      <c r="X1" s="212"/>
      <c r="Y1" s="212"/>
      <c r="Z1" s="438"/>
      <c r="AA1" s="438"/>
      <c r="AB1" s="518"/>
      <c r="AC1" s="848"/>
      <c r="AD1" s="213"/>
    </row>
    <row r="2" spans="1:34" ht="18" customHeight="1">
      <c r="A2" s="134"/>
      <c r="C2" s="318"/>
      <c r="D2" s="134"/>
      <c r="E2" s="89" t="str">
        <f>'1.2-Kengetal'!C2</f>
        <v>Omschrijving blad</v>
      </c>
      <c r="F2" s="214"/>
      <c r="G2" s="149" t="s">
        <v>250</v>
      </c>
      <c r="H2" s="439"/>
      <c r="I2" s="568"/>
      <c r="J2" s="691"/>
      <c r="K2" s="154"/>
      <c r="L2" s="688"/>
      <c r="M2" s="60"/>
      <c r="N2" s="210"/>
      <c r="O2" s="576"/>
      <c r="P2" s="154"/>
      <c r="Q2" s="154"/>
      <c r="R2" s="154"/>
      <c r="S2" s="154"/>
      <c r="T2" s="457"/>
      <c r="U2" s="458"/>
      <c r="V2" s="438"/>
      <c r="W2" s="438"/>
      <c r="X2" s="212"/>
      <c r="Y2" s="212"/>
      <c r="Z2" s="438"/>
      <c r="AA2" s="438"/>
      <c r="AB2" s="519"/>
      <c r="AC2" s="849"/>
      <c r="AD2" s="135"/>
    </row>
    <row r="3" spans="1:34" ht="18" customHeight="1">
      <c r="A3" s="134"/>
      <c r="C3" s="318"/>
      <c r="D3" s="134"/>
      <c r="E3" s="223" t="s">
        <v>101</v>
      </c>
      <c r="G3" s="224" t="str">
        <f>Voorblad!$E$16</f>
        <v>Hoogheemraadschap Hollands Noorderkwartier Perceel 2</v>
      </c>
      <c r="H3" s="439"/>
      <c r="I3" s="569"/>
      <c r="J3" s="691"/>
      <c r="K3" s="154"/>
      <c r="L3" s="688"/>
      <c r="M3" s="60"/>
      <c r="N3" s="210"/>
      <c r="O3" s="577"/>
      <c r="P3" s="60"/>
      <c r="Q3" s="135"/>
      <c r="R3" s="60"/>
      <c r="S3" s="60"/>
      <c r="T3" s="457"/>
      <c r="U3" s="458"/>
      <c r="V3" s="438"/>
      <c r="W3" s="438"/>
      <c r="X3" s="212"/>
      <c r="Y3" s="212"/>
      <c r="Z3" s="430"/>
      <c r="AA3" s="430"/>
      <c r="AB3" s="519"/>
      <c r="AC3" s="849"/>
      <c r="AD3" s="135"/>
    </row>
    <row r="4" spans="1:34" ht="18" customHeight="1">
      <c r="A4" s="134"/>
      <c r="C4" s="318"/>
      <c r="D4" s="134"/>
      <c r="E4" s="223" t="s">
        <v>36</v>
      </c>
      <c r="G4" s="224" t="str">
        <f>'1.0-Contractblad'!$D$4</f>
        <v>Heerhugowaard</v>
      </c>
      <c r="H4" s="439"/>
      <c r="I4" s="570"/>
      <c r="J4" s="692" t="s">
        <v>243</v>
      </c>
      <c r="K4" s="860"/>
      <c r="M4" s="60"/>
      <c r="N4" s="210"/>
      <c r="O4" s="577"/>
      <c r="P4" s="60"/>
      <c r="Q4" s="209"/>
      <c r="U4" s="458"/>
      <c r="V4" s="438"/>
      <c r="W4" s="438"/>
      <c r="X4" s="212"/>
      <c r="Y4" s="212"/>
      <c r="Z4" s="438"/>
      <c r="AA4" s="438"/>
      <c r="AB4" s="519"/>
      <c r="AC4" s="849"/>
      <c r="AD4" s="135"/>
    </row>
    <row r="5" spans="1:34" ht="18" customHeight="1">
      <c r="A5" s="134"/>
      <c r="C5" s="318"/>
      <c r="D5" s="134"/>
      <c r="E5" s="223" t="s">
        <v>137</v>
      </c>
      <c r="G5" s="240" t="str">
        <f>Voorblad!$E$24</f>
        <v>1112-10-2019</v>
      </c>
      <c r="H5" s="439"/>
      <c r="J5" s="692">
        <v>0</v>
      </c>
      <c r="K5" s="861" t="s">
        <v>235</v>
      </c>
      <c r="L5" s="688"/>
      <c r="M5" s="60"/>
      <c r="N5" s="210"/>
      <c r="O5" s="577"/>
      <c r="P5" s="60"/>
      <c r="Q5" s="135"/>
      <c r="U5" s="458"/>
      <c r="V5" s="438"/>
      <c r="W5" s="438"/>
      <c r="X5" s="212"/>
      <c r="Y5" s="212"/>
      <c r="Z5" s="438"/>
      <c r="AA5" s="438"/>
      <c r="AB5" s="519"/>
      <c r="AC5" s="849"/>
      <c r="AD5" s="135"/>
    </row>
    <row r="6" spans="1:34" ht="18" customHeight="1">
      <c r="A6" s="134"/>
      <c r="C6" s="318"/>
      <c r="D6" s="134"/>
      <c r="E6" s="223" t="s">
        <v>222</v>
      </c>
      <c r="G6" s="433" t="str">
        <f>Voorblad!$E$26</f>
        <v>V1 12-mrt-2020</v>
      </c>
      <c r="H6" s="439"/>
      <c r="J6" s="691"/>
      <c r="K6" s="154"/>
      <c r="L6" s="688"/>
      <c r="M6" s="60"/>
      <c r="N6" s="210"/>
      <c r="O6" s="577"/>
      <c r="P6" s="60"/>
      <c r="Q6" s="135"/>
      <c r="U6" s="458"/>
      <c r="V6" s="438"/>
      <c r="W6" s="438"/>
      <c r="X6" s="438"/>
      <c r="Y6" s="438"/>
      <c r="Z6" s="438"/>
      <c r="AA6" s="438"/>
      <c r="AB6" s="438"/>
      <c r="AC6" s="849"/>
      <c r="AD6" s="135"/>
    </row>
    <row r="7" spans="1:34" ht="18" customHeight="1">
      <c r="A7" s="134"/>
      <c r="C7" s="318"/>
      <c r="D7" s="134"/>
      <c r="E7" s="223" t="s">
        <v>99</v>
      </c>
      <c r="G7" s="224" t="str">
        <f>Voorblad!$E$19</f>
        <v>[voer naam in]</v>
      </c>
      <c r="H7" s="242"/>
      <c r="J7" s="691"/>
      <c r="K7" s="154"/>
      <c r="L7" s="688"/>
      <c r="M7" s="60"/>
      <c r="N7" s="210"/>
      <c r="O7" s="577"/>
      <c r="P7" s="60"/>
      <c r="Q7" s="60"/>
      <c r="T7" s="468">
        <f t="shared" ref="T7" si="0">X7*K7*R7</f>
        <v>0</v>
      </c>
      <c r="U7" s="468">
        <f t="shared" ref="U7" si="1">Y7*K7*S7</f>
        <v>0</v>
      </c>
      <c r="V7" s="468">
        <f t="shared" ref="V7" si="2">Z7*K7*R7</f>
        <v>0</v>
      </c>
      <c r="W7" s="468"/>
      <c r="X7" s="468"/>
      <c r="Y7" s="468"/>
      <c r="Z7" s="468"/>
      <c r="AA7" s="468"/>
      <c r="AB7" s="468"/>
      <c r="AC7" s="849"/>
      <c r="AD7" s="135"/>
    </row>
    <row r="8" spans="1:34" ht="18" customHeight="1">
      <c r="A8" s="134"/>
      <c r="C8" s="318"/>
      <c r="D8" s="134"/>
      <c r="E8" s="223" t="s">
        <v>6</v>
      </c>
      <c r="G8" s="907">
        <f>Voorblad!$E$22</f>
        <v>44013</v>
      </c>
      <c r="H8" s="907"/>
      <c r="I8" s="572"/>
      <c r="J8" s="691"/>
      <c r="K8" s="154"/>
      <c r="L8" s="688"/>
      <c r="M8" s="60"/>
      <c r="N8" s="210"/>
      <c r="O8" s="577"/>
      <c r="P8" s="60"/>
      <c r="Q8" s="60"/>
      <c r="U8" s="458"/>
      <c r="V8" s="438"/>
      <c r="W8" s="438"/>
      <c r="X8" s="212"/>
      <c r="Y8" s="212"/>
      <c r="Z8" s="438"/>
      <c r="AA8" s="438"/>
      <c r="AB8" s="520"/>
      <c r="AC8" s="849"/>
      <c r="AD8" s="135"/>
    </row>
    <row r="9" spans="1:34" ht="14" thickBot="1">
      <c r="A9" s="134"/>
      <c r="C9" s="318"/>
      <c r="D9" s="134"/>
      <c r="E9" s="436"/>
      <c r="F9" s="209"/>
      <c r="G9" s="210"/>
      <c r="H9" s="437"/>
      <c r="I9" s="568"/>
      <c r="J9" s="691"/>
      <c r="K9" s="154"/>
      <c r="L9" s="688"/>
      <c r="M9" s="60"/>
      <c r="N9" s="210"/>
      <c r="O9" s="577"/>
      <c r="P9" s="60"/>
      <c r="Q9" s="135"/>
      <c r="U9" s="458"/>
      <c r="V9" s="438"/>
      <c r="W9" s="438"/>
      <c r="X9" s="212"/>
      <c r="Y9" s="212"/>
      <c r="Z9" s="438"/>
      <c r="AA9" s="438"/>
      <c r="AB9" s="437"/>
      <c r="AC9" s="849"/>
      <c r="AD9" s="135"/>
    </row>
    <row r="10" spans="1:34" s="215" customFormat="1" ht="43" thickBot="1">
      <c r="A10" s="449"/>
      <c r="B10" s="604" t="s">
        <v>203</v>
      </c>
      <c r="C10" s="594" t="s">
        <v>1100</v>
      </c>
      <c r="D10" s="594" t="s">
        <v>463</v>
      </c>
      <c r="E10" s="594" t="s">
        <v>451</v>
      </c>
      <c r="F10" s="595" t="s">
        <v>26</v>
      </c>
      <c r="G10" s="605" t="s">
        <v>34</v>
      </c>
      <c r="H10" s="594" t="s">
        <v>141</v>
      </c>
      <c r="I10" s="606" t="s">
        <v>59</v>
      </c>
      <c r="J10" s="693" t="s">
        <v>112</v>
      </c>
      <c r="K10" s="862" t="s">
        <v>91</v>
      </c>
      <c r="L10" s="690" t="s">
        <v>55</v>
      </c>
      <c r="M10" s="608" t="s">
        <v>387</v>
      </c>
      <c r="N10" s="608" t="s">
        <v>388</v>
      </c>
      <c r="O10" s="608" t="s">
        <v>1119</v>
      </c>
      <c r="P10" s="608"/>
      <c r="Q10" s="609" t="s">
        <v>25</v>
      </c>
      <c r="R10" s="608" t="s">
        <v>436</v>
      </c>
      <c r="S10" s="608" t="s">
        <v>323</v>
      </c>
      <c r="T10" s="610" t="s">
        <v>383</v>
      </c>
      <c r="U10" s="610" t="s">
        <v>382</v>
      </c>
      <c r="V10" s="610" t="s">
        <v>984</v>
      </c>
      <c r="W10" s="610"/>
      <c r="X10" s="611" t="s">
        <v>384</v>
      </c>
      <c r="Y10" s="609" t="s">
        <v>381</v>
      </c>
      <c r="Z10" s="609" t="s">
        <v>403</v>
      </c>
      <c r="AA10" s="609" t="s">
        <v>1120</v>
      </c>
      <c r="AB10" s="594" t="s">
        <v>78</v>
      </c>
      <c r="AC10" s="850" t="s">
        <v>350</v>
      </c>
      <c r="AD10" s="607" t="s">
        <v>385</v>
      </c>
      <c r="AE10" s="612" t="s">
        <v>386</v>
      </c>
    </row>
    <row r="11" spans="1:34" ht="13">
      <c r="A11" s="134"/>
      <c r="B11" s="470"/>
      <c r="C11" s="471"/>
      <c r="D11" s="859">
        <f>VLOOKUP(E11,'1.1a-Jaarprijzen'!B:G,6,FALSE)</f>
        <v>2</v>
      </c>
      <c r="E11" s="845" t="s">
        <v>892</v>
      </c>
      <c r="F11" s="798" t="s">
        <v>469</v>
      </c>
      <c r="G11" s="799" t="s">
        <v>437</v>
      </c>
      <c r="H11" s="573" t="s">
        <v>869</v>
      </c>
      <c r="I11" s="573" t="str">
        <f t="shared" ref="I11:I39" si="3">IF($M11="",0,VLOOKUP($M11,Kengetal,4,FALSE))</f>
        <v>niet van toepassing</v>
      </c>
      <c r="J11" s="800"/>
      <c r="K11" s="800"/>
      <c r="L11" s="800"/>
      <c r="M11" s="867" t="s">
        <v>19</v>
      </c>
      <c r="N11" s="868"/>
      <c r="O11" s="869"/>
      <c r="P11" s="869"/>
      <c r="Q11" s="866">
        <f t="shared" ref="Q11:Q40" si="4">VLOOKUP(M11,Kengetal,3,FALSE)+VLOOKUP(N11,Kengetal,3,FALSE)+VLOOKUP(O11,Kengetal,3,FALSE)</f>
        <v>0</v>
      </c>
      <c r="R11" s="600">
        <v>1</v>
      </c>
      <c r="S11" s="600">
        <v>1</v>
      </c>
      <c r="T11" s="468">
        <f t="shared" ref="T11:T40" si="5">X11*K11*R11</f>
        <v>0</v>
      </c>
      <c r="U11" s="468">
        <f t="shared" ref="U11:U40" si="6">Y11*K11*S11</f>
        <v>0</v>
      </c>
      <c r="V11" s="468">
        <f t="shared" ref="V11:V40" si="7">Z11*K11*R11</f>
        <v>0</v>
      </c>
      <c r="W11" s="468">
        <f t="shared" ref="W11:W40" si="8">AA11*K11*U11</f>
        <v>0</v>
      </c>
      <c r="X11" s="601">
        <f t="shared" ref="X11:X39" si="9">IF($M11=0,0,VLOOKUP($M11,Kengetal,6,FALSE))</f>
        <v>0</v>
      </c>
      <c r="Y11" s="601">
        <f t="shared" ref="Y11:Y39" si="10">IF($M11=0,0,VLOOKUP($M11,Kengetal,8,FALSE))</f>
        <v>0</v>
      </c>
      <c r="Z11" s="601">
        <f t="shared" ref="Z11:Z39" si="11">IF($N11=0,0,VLOOKUP($N11,Kengetal,6,FALSE))</f>
        <v>0</v>
      </c>
      <c r="AA11" s="601">
        <f t="shared" ref="AA11:AA39" si="12">IF($O11=0,0,VLOOKUP($O11,Kengetal,6,FALSE))</f>
        <v>0</v>
      </c>
      <c r="AB11" s="602">
        <f t="shared" ref="AB11:AB39" si="13">IF(M11="","",VLOOKUP(M11,Kengetal,15,FALSE))</f>
        <v>0</v>
      </c>
      <c r="AC11" s="847"/>
      <c r="AD11" s="603">
        <f>(T11+U11+V11)*'1.0-Contractblad'!$K$69</f>
        <v>0</v>
      </c>
      <c r="AE11" s="603"/>
      <c r="AF11" s="58">
        <f t="shared" ref="AF11:AF39" si="14">IF(M11=8255,T11+U11,0)</f>
        <v>0</v>
      </c>
      <c r="AG11" s="58">
        <f t="shared" ref="AG11:AG40" si="15">K11*Q11</f>
        <v>0</v>
      </c>
      <c r="AH11" s="58" t="str">
        <f t="shared" ref="AH11:AH40" si="16">CONCATENATE(M11,"-",Q11)</f>
        <v>nvt-0</v>
      </c>
    </row>
    <row r="12" spans="1:34" ht="13">
      <c r="A12" s="134"/>
      <c r="B12" s="470"/>
      <c r="C12" s="471"/>
      <c r="D12" s="859">
        <f>VLOOKUP(E12,'1.1a-Jaarprijzen'!B:G,6,FALSE)</f>
        <v>2</v>
      </c>
      <c r="E12" s="845" t="s">
        <v>892</v>
      </c>
      <c r="F12" s="798" t="s">
        <v>469</v>
      </c>
      <c r="G12" s="799" t="s">
        <v>438</v>
      </c>
      <c r="H12" s="573" t="s">
        <v>528</v>
      </c>
      <c r="I12" s="573" t="str">
        <f t="shared" si="3"/>
        <v>entree, gang, hal, repro, kopieer</v>
      </c>
      <c r="J12" s="694" t="s">
        <v>804</v>
      </c>
      <c r="K12" s="800">
        <v>6.2</v>
      </c>
      <c r="L12" s="800"/>
      <c r="M12" s="867">
        <v>3253</v>
      </c>
      <c r="N12" s="868"/>
      <c r="O12" s="869"/>
      <c r="P12" s="869"/>
      <c r="Q12" s="866">
        <f t="shared" si="4"/>
        <v>253</v>
      </c>
      <c r="R12" s="600">
        <v>1</v>
      </c>
      <c r="S12" s="600">
        <v>1</v>
      </c>
      <c r="T12" s="468">
        <f t="shared" si="5"/>
        <v>0</v>
      </c>
      <c r="U12" s="468">
        <f t="shared" si="6"/>
        <v>0</v>
      </c>
      <c r="V12" s="468">
        <f t="shared" si="7"/>
        <v>0</v>
      </c>
      <c r="W12" s="468">
        <f t="shared" si="8"/>
        <v>0</v>
      </c>
      <c r="X12" s="601">
        <f t="shared" si="9"/>
        <v>0</v>
      </c>
      <c r="Y12" s="601">
        <f t="shared" si="10"/>
        <v>0</v>
      </c>
      <c r="Z12" s="601">
        <f t="shared" si="11"/>
        <v>0</v>
      </c>
      <c r="AA12" s="601">
        <f t="shared" si="12"/>
        <v>0</v>
      </c>
      <c r="AB12" s="602" t="str">
        <f t="shared" si="13"/>
        <v>V</v>
      </c>
      <c r="AC12" s="847"/>
      <c r="AD12" s="603">
        <f>(T12+U12+V12)*'1.0-Contractblad'!$K$69</f>
        <v>0</v>
      </c>
      <c r="AE12" s="603"/>
      <c r="AF12" s="58">
        <f t="shared" si="14"/>
        <v>0</v>
      </c>
      <c r="AG12" s="58">
        <f t="shared" si="15"/>
        <v>1568.6000000000001</v>
      </c>
      <c r="AH12" s="58" t="str">
        <f t="shared" si="16"/>
        <v>3253-253</v>
      </c>
    </row>
    <row r="13" spans="1:34" ht="13">
      <c r="A13" s="134"/>
      <c r="B13" s="470"/>
      <c r="C13" s="471"/>
      <c r="D13" s="859">
        <f>VLOOKUP(E13,'1.1a-Jaarprijzen'!B:G,6,FALSE)</f>
        <v>2</v>
      </c>
      <c r="E13" s="845" t="s">
        <v>892</v>
      </c>
      <c r="F13" s="798" t="s">
        <v>469</v>
      </c>
      <c r="G13" s="799" t="s">
        <v>439</v>
      </c>
      <c r="H13" s="573" t="s">
        <v>895</v>
      </c>
      <c r="I13" s="573" t="str">
        <f t="shared" si="3"/>
        <v>entree, gang, hal, repro, kopieer</v>
      </c>
      <c r="J13" s="694" t="s">
        <v>890</v>
      </c>
      <c r="K13" s="800">
        <v>17.75</v>
      </c>
      <c r="L13" s="800"/>
      <c r="M13" s="867">
        <v>3253</v>
      </c>
      <c r="N13" s="868"/>
      <c r="O13" s="869"/>
      <c r="P13" s="869"/>
      <c r="Q13" s="866">
        <f t="shared" si="4"/>
        <v>253</v>
      </c>
      <c r="R13" s="600">
        <v>1</v>
      </c>
      <c r="S13" s="600">
        <v>1</v>
      </c>
      <c r="T13" s="468">
        <f t="shared" si="5"/>
        <v>0</v>
      </c>
      <c r="U13" s="468">
        <f t="shared" si="6"/>
        <v>0</v>
      </c>
      <c r="V13" s="468">
        <f t="shared" si="7"/>
        <v>0</v>
      </c>
      <c r="W13" s="468">
        <f t="shared" si="8"/>
        <v>0</v>
      </c>
      <c r="X13" s="601">
        <f t="shared" si="9"/>
        <v>0</v>
      </c>
      <c r="Y13" s="601">
        <f t="shared" si="10"/>
        <v>0</v>
      </c>
      <c r="Z13" s="601">
        <f t="shared" si="11"/>
        <v>0</v>
      </c>
      <c r="AA13" s="601">
        <f t="shared" si="12"/>
        <v>0</v>
      </c>
      <c r="AB13" s="602" t="str">
        <f t="shared" si="13"/>
        <v>V</v>
      </c>
      <c r="AC13" s="847"/>
      <c r="AD13" s="603">
        <f>(T13+U13+V13)*'1.0-Contractblad'!$K$69</f>
        <v>0</v>
      </c>
      <c r="AE13" s="603"/>
      <c r="AF13" s="58">
        <f t="shared" si="14"/>
        <v>0</v>
      </c>
      <c r="AG13" s="58">
        <f t="shared" si="15"/>
        <v>4490.75</v>
      </c>
      <c r="AH13" s="58" t="str">
        <f t="shared" si="16"/>
        <v>3253-253</v>
      </c>
    </row>
    <row r="14" spans="1:34" ht="13">
      <c r="A14" s="134"/>
      <c r="B14" s="470"/>
      <c r="C14" s="471"/>
      <c r="D14" s="859">
        <f>VLOOKUP(E14,'1.1a-Jaarprijzen'!B:G,6,FALSE)</f>
        <v>2</v>
      </c>
      <c r="E14" s="845" t="s">
        <v>892</v>
      </c>
      <c r="F14" s="798" t="s">
        <v>469</v>
      </c>
      <c r="G14" s="799" t="s">
        <v>440</v>
      </c>
      <c r="H14" s="573" t="s">
        <v>896</v>
      </c>
      <c r="I14" s="573" t="str">
        <f t="shared" si="3"/>
        <v>entree, gang, hal, repro, kopieer</v>
      </c>
      <c r="J14" s="694" t="s">
        <v>890</v>
      </c>
      <c r="K14" s="800">
        <v>29.05</v>
      </c>
      <c r="L14" s="800"/>
      <c r="M14" s="867">
        <v>3253</v>
      </c>
      <c r="N14" s="868"/>
      <c r="O14" s="869"/>
      <c r="P14" s="869"/>
      <c r="Q14" s="866">
        <f t="shared" si="4"/>
        <v>253</v>
      </c>
      <c r="R14" s="600">
        <v>1</v>
      </c>
      <c r="S14" s="600">
        <v>1</v>
      </c>
      <c r="T14" s="468">
        <f t="shared" si="5"/>
        <v>0</v>
      </c>
      <c r="U14" s="468">
        <f t="shared" si="6"/>
        <v>0</v>
      </c>
      <c r="V14" s="468">
        <f t="shared" si="7"/>
        <v>0</v>
      </c>
      <c r="W14" s="468">
        <f t="shared" si="8"/>
        <v>0</v>
      </c>
      <c r="X14" s="601">
        <f t="shared" si="9"/>
        <v>0</v>
      </c>
      <c r="Y14" s="601">
        <f t="shared" si="10"/>
        <v>0</v>
      </c>
      <c r="Z14" s="601">
        <f t="shared" si="11"/>
        <v>0</v>
      </c>
      <c r="AA14" s="601">
        <f t="shared" si="12"/>
        <v>0</v>
      </c>
      <c r="AB14" s="602" t="str">
        <f t="shared" si="13"/>
        <v>V</v>
      </c>
      <c r="AC14" s="847"/>
      <c r="AD14" s="603">
        <f>(T14+U14+V14)*'1.0-Contractblad'!$K$69</f>
        <v>0</v>
      </c>
      <c r="AE14" s="603"/>
      <c r="AF14" s="58">
        <f t="shared" si="14"/>
        <v>0</v>
      </c>
      <c r="AG14" s="58">
        <f t="shared" si="15"/>
        <v>7349.6500000000005</v>
      </c>
      <c r="AH14" s="58" t="str">
        <f t="shared" si="16"/>
        <v>3253-253</v>
      </c>
    </row>
    <row r="15" spans="1:34" ht="13">
      <c r="A15" s="134"/>
      <c r="B15" s="470"/>
      <c r="C15" s="471"/>
      <c r="D15" s="859">
        <f>VLOOKUP(E15,'1.1a-Jaarprijzen'!B:G,6,FALSE)</f>
        <v>2</v>
      </c>
      <c r="E15" s="845" t="s">
        <v>892</v>
      </c>
      <c r="F15" s="798" t="s">
        <v>469</v>
      </c>
      <c r="G15" s="799" t="s">
        <v>441</v>
      </c>
      <c r="H15" s="573" t="s">
        <v>897</v>
      </c>
      <c r="I15" s="573" t="str">
        <f t="shared" si="3"/>
        <v>administratieve -, personeels- en vergaderruimte</v>
      </c>
      <c r="J15" s="694" t="s">
        <v>890</v>
      </c>
      <c r="K15" s="800">
        <v>56.75</v>
      </c>
      <c r="L15" s="800"/>
      <c r="M15" s="867">
        <v>1253</v>
      </c>
      <c r="N15" s="868"/>
      <c r="O15" s="869"/>
      <c r="P15" s="869"/>
      <c r="Q15" s="866">
        <f t="shared" si="4"/>
        <v>253</v>
      </c>
      <c r="R15" s="600">
        <v>1</v>
      </c>
      <c r="S15" s="600">
        <v>1</v>
      </c>
      <c r="T15" s="468">
        <f t="shared" si="5"/>
        <v>0</v>
      </c>
      <c r="U15" s="468">
        <f t="shared" si="6"/>
        <v>0</v>
      </c>
      <c r="V15" s="468">
        <f t="shared" si="7"/>
        <v>0</v>
      </c>
      <c r="W15" s="468">
        <f t="shared" si="8"/>
        <v>0</v>
      </c>
      <c r="X15" s="601">
        <f t="shared" si="9"/>
        <v>0</v>
      </c>
      <c r="Y15" s="601">
        <f t="shared" si="10"/>
        <v>0</v>
      </c>
      <c r="Z15" s="601">
        <f t="shared" si="11"/>
        <v>0</v>
      </c>
      <c r="AA15" s="601">
        <f t="shared" si="12"/>
        <v>0</v>
      </c>
      <c r="AB15" s="602" t="str">
        <f t="shared" si="13"/>
        <v>B</v>
      </c>
      <c r="AC15" s="847"/>
      <c r="AD15" s="603">
        <f>(T15+U15+V15)*'1.0-Contractblad'!$K$69</f>
        <v>0</v>
      </c>
      <c r="AE15" s="603"/>
      <c r="AF15" s="58">
        <f t="shared" si="14"/>
        <v>0</v>
      </c>
      <c r="AG15" s="58">
        <f t="shared" si="15"/>
        <v>14357.75</v>
      </c>
      <c r="AH15" s="58" t="str">
        <f t="shared" si="16"/>
        <v>1253-253</v>
      </c>
    </row>
    <row r="16" spans="1:34" ht="13">
      <c r="A16" s="134"/>
      <c r="B16" s="470"/>
      <c r="C16" s="471"/>
      <c r="D16" s="859">
        <f>VLOOKUP(E16,'1.1a-Jaarprijzen'!B:G,6,FALSE)</f>
        <v>2</v>
      </c>
      <c r="E16" s="845" t="s">
        <v>892</v>
      </c>
      <c r="F16" s="798" t="s">
        <v>469</v>
      </c>
      <c r="G16" s="799" t="s">
        <v>442</v>
      </c>
      <c r="H16" s="573" t="s">
        <v>502</v>
      </c>
      <c r="I16" s="573" t="str">
        <f t="shared" si="3"/>
        <v>pantry, keuken, koffiecorner</v>
      </c>
      <c r="J16" s="694" t="s">
        <v>898</v>
      </c>
      <c r="K16" s="800">
        <v>62.88</v>
      </c>
      <c r="L16" s="800"/>
      <c r="M16" s="867">
        <v>5253</v>
      </c>
      <c r="N16" s="868"/>
      <c r="O16" s="869"/>
      <c r="P16" s="869"/>
      <c r="Q16" s="866">
        <f t="shared" si="4"/>
        <v>253</v>
      </c>
      <c r="R16" s="600">
        <v>1</v>
      </c>
      <c r="S16" s="600">
        <v>1</v>
      </c>
      <c r="T16" s="468">
        <f t="shared" si="5"/>
        <v>0</v>
      </c>
      <c r="U16" s="468">
        <f t="shared" si="6"/>
        <v>0</v>
      </c>
      <c r="V16" s="468">
        <f t="shared" si="7"/>
        <v>0</v>
      </c>
      <c r="W16" s="468">
        <f t="shared" si="8"/>
        <v>0</v>
      </c>
      <c r="X16" s="601">
        <f t="shared" si="9"/>
        <v>0</v>
      </c>
      <c r="Y16" s="601">
        <f t="shared" si="10"/>
        <v>0</v>
      </c>
      <c r="Z16" s="601">
        <f t="shared" si="11"/>
        <v>0</v>
      </c>
      <c r="AA16" s="601">
        <f t="shared" si="12"/>
        <v>0</v>
      </c>
      <c r="AB16" s="602" t="str">
        <f t="shared" si="13"/>
        <v>V</v>
      </c>
      <c r="AC16" s="847"/>
      <c r="AD16" s="603">
        <f>(T16+U16+V16)*'1.0-Contractblad'!$K$69</f>
        <v>0</v>
      </c>
      <c r="AE16" s="603"/>
      <c r="AF16" s="58">
        <f t="shared" si="14"/>
        <v>0</v>
      </c>
      <c r="AG16" s="58">
        <f t="shared" si="15"/>
        <v>15908.640000000001</v>
      </c>
      <c r="AH16" s="58" t="str">
        <f t="shared" si="16"/>
        <v>5253-253</v>
      </c>
    </row>
    <row r="17" spans="1:34" ht="13">
      <c r="A17" s="134"/>
      <c r="B17" s="470"/>
      <c r="C17" s="471"/>
      <c r="D17" s="859">
        <f>VLOOKUP(E17,'1.1a-Jaarprijzen'!B:G,6,FALSE)</f>
        <v>2</v>
      </c>
      <c r="E17" s="845" t="s">
        <v>892</v>
      </c>
      <c r="F17" s="798" t="s">
        <v>469</v>
      </c>
      <c r="G17" s="799" t="s">
        <v>443</v>
      </c>
      <c r="H17" s="573" t="s">
        <v>870</v>
      </c>
      <c r="I17" s="573" t="str">
        <f t="shared" si="3"/>
        <v>administratieve -, personeels- en vergaderruimte</v>
      </c>
      <c r="J17" s="694" t="s">
        <v>890</v>
      </c>
      <c r="K17" s="800">
        <v>6.3</v>
      </c>
      <c r="L17" s="800"/>
      <c r="M17" s="867">
        <v>1253</v>
      </c>
      <c r="N17" s="868"/>
      <c r="O17" s="869"/>
      <c r="P17" s="869"/>
      <c r="Q17" s="866">
        <f t="shared" si="4"/>
        <v>253</v>
      </c>
      <c r="R17" s="600">
        <v>1</v>
      </c>
      <c r="S17" s="600">
        <v>1</v>
      </c>
      <c r="T17" s="468">
        <f t="shared" si="5"/>
        <v>0</v>
      </c>
      <c r="U17" s="468">
        <f t="shared" si="6"/>
        <v>0</v>
      </c>
      <c r="V17" s="468">
        <f t="shared" si="7"/>
        <v>0</v>
      </c>
      <c r="W17" s="468">
        <f t="shared" si="8"/>
        <v>0</v>
      </c>
      <c r="X17" s="601">
        <f t="shared" si="9"/>
        <v>0</v>
      </c>
      <c r="Y17" s="601">
        <f t="shared" si="10"/>
        <v>0</v>
      </c>
      <c r="Z17" s="601">
        <f t="shared" si="11"/>
        <v>0</v>
      </c>
      <c r="AA17" s="601">
        <f t="shared" si="12"/>
        <v>0</v>
      </c>
      <c r="AB17" s="602" t="str">
        <f t="shared" si="13"/>
        <v>B</v>
      </c>
      <c r="AC17" s="847"/>
      <c r="AD17" s="603">
        <f>(T17+U17+V17)*'1.0-Contractblad'!$K$69</f>
        <v>0</v>
      </c>
      <c r="AE17" s="603"/>
      <c r="AF17" s="58">
        <f t="shared" si="14"/>
        <v>0</v>
      </c>
      <c r="AG17" s="58">
        <f t="shared" si="15"/>
        <v>1593.8999999999999</v>
      </c>
      <c r="AH17" s="58" t="str">
        <f t="shared" si="16"/>
        <v>1253-253</v>
      </c>
    </row>
    <row r="18" spans="1:34" ht="13">
      <c r="A18" s="134"/>
      <c r="B18" s="470"/>
      <c r="C18" s="471"/>
      <c r="D18" s="859">
        <f>VLOOKUP(E18,'1.1a-Jaarprijzen'!B:G,6,FALSE)</f>
        <v>2</v>
      </c>
      <c r="E18" s="845" t="s">
        <v>892</v>
      </c>
      <c r="F18" s="798" t="s">
        <v>469</v>
      </c>
      <c r="G18" s="799" t="s">
        <v>444</v>
      </c>
      <c r="H18" s="573" t="s">
        <v>514</v>
      </c>
      <c r="I18" s="573" t="str">
        <f t="shared" si="3"/>
        <v>administratieve -, personeels- en vergaderruimte</v>
      </c>
      <c r="J18" s="694" t="s">
        <v>890</v>
      </c>
      <c r="K18" s="800">
        <v>20.5</v>
      </c>
      <c r="L18" s="800"/>
      <c r="M18" s="867">
        <v>1253</v>
      </c>
      <c r="N18" s="868"/>
      <c r="O18" s="869"/>
      <c r="P18" s="869"/>
      <c r="Q18" s="866">
        <f t="shared" si="4"/>
        <v>253</v>
      </c>
      <c r="R18" s="600">
        <v>1</v>
      </c>
      <c r="S18" s="600">
        <v>1</v>
      </c>
      <c r="T18" s="468">
        <f t="shared" si="5"/>
        <v>0</v>
      </c>
      <c r="U18" s="468">
        <f t="shared" si="6"/>
        <v>0</v>
      </c>
      <c r="V18" s="468">
        <f t="shared" si="7"/>
        <v>0</v>
      </c>
      <c r="W18" s="468">
        <f t="shared" si="8"/>
        <v>0</v>
      </c>
      <c r="X18" s="601">
        <f t="shared" si="9"/>
        <v>0</v>
      </c>
      <c r="Y18" s="601">
        <f t="shared" si="10"/>
        <v>0</v>
      </c>
      <c r="Z18" s="601">
        <f t="shared" si="11"/>
        <v>0</v>
      </c>
      <c r="AA18" s="601">
        <f t="shared" si="12"/>
        <v>0</v>
      </c>
      <c r="AB18" s="602" t="str">
        <f t="shared" si="13"/>
        <v>B</v>
      </c>
      <c r="AC18" s="847"/>
      <c r="AD18" s="603">
        <f>(T18+U18+V18)*'1.0-Contractblad'!$K$69</f>
        <v>0</v>
      </c>
      <c r="AE18" s="603"/>
      <c r="AF18" s="58">
        <f t="shared" si="14"/>
        <v>0</v>
      </c>
      <c r="AG18" s="58">
        <f t="shared" si="15"/>
        <v>5186.5</v>
      </c>
      <c r="AH18" s="58" t="str">
        <f t="shared" si="16"/>
        <v>1253-253</v>
      </c>
    </row>
    <row r="19" spans="1:34" ht="13">
      <c r="A19" s="134"/>
      <c r="B19" s="470"/>
      <c r="C19" s="471"/>
      <c r="D19" s="859">
        <f>VLOOKUP(E19,'1.1a-Jaarprijzen'!B:G,6,FALSE)</f>
        <v>2</v>
      </c>
      <c r="E19" s="845" t="s">
        <v>892</v>
      </c>
      <c r="F19" s="798" t="s">
        <v>469</v>
      </c>
      <c r="G19" s="799" t="s">
        <v>445</v>
      </c>
      <c r="H19" s="573" t="s">
        <v>899</v>
      </c>
      <c r="I19" s="573" t="str">
        <f t="shared" si="3"/>
        <v>sanitaire ruimte (toilet-/doucheruimte)</v>
      </c>
      <c r="J19" s="694" t="s">
        <v>900</v>
      </c>
      <c r="K19" s="800">
        <v>6.95</v>
      </c>
      <c r="L19" s="800"/>
      <c r="M19" s="867">
        <v>4253</v>
      </c>
      <c r="N19" s="868"/>
      <c r="O19" s="869"/>
      <c r="P19" s="869"/>
      <c r="Q19" s="866">
        <f t="shared" si="4"/>
        <v>253</v>
      </c>
      <c r="R19" s="600">
        <v>1</v>
      </c>
      <c r="S19" s="600">
        <v>1</v>
      </c>
      <c r="T19" s="468">
        <f t="shared" si="5"/>
        <v>0</v>
      </c>
      <c r="U19" s="468">
        <f t="shared" si="6"/>
        <v>0</v>
      </c>
      <c r="V19" s="468">
        <f t="shared" si="7"/>
        <v>0</v>
      </c>
      <c r="W19" s="468">
        <f t="shared" si="8"/>
        <v>0</v>
      </c>
      <c r="X19" s="601">
        <f t="shared" si="9"/>
        <v>0</v>
      </c>
      <c r="Y19" s="601">
        <f t="shared" si="10"/>
        <v>0</v>
      </c>
      <c r="Z19" s="601">
        <f t="shared" si="11"/>
        <v>0</v>
      </c>
      <c r="AA19" s="601">
        <f t="shared" si="12"/>
        <v>0</v>
      </c>
      <c r="AB19" s="602" t="str">
        <f t="shared" si="13"/>
        <v>S</v>
      </c>
      <c r="AC19" s="847"/>
      <c r="AD19" s="603">
        <f>(T19+U19+V19)*'1.0-Contractblad'!$K$69</f>
        <v>0</v>
      </c>
      <c r="AE19" s="603"/>
      <c r="AF19" s="58">
        <f t="shared" si="14"/>
        <v>0</v>
      </c>
      <c r="AG19" s="58">
        <f t="shared" si="15"/>
        <v>1758.3500000000001</v>
      </c>
      <c r="AH19" s="58" t="str">
        <f t="shared" si="16"/>
        <v>4253-253</v>
      </c>
    </row>
    <row r="20" spans="1:34" ht="13">
      <c r="A20" s="134"/>
      <c r="B20" s="470"/>
      <c r="C20" s="471"/>
      <c r="D20" s="859">
        <f>VLOOKUP(E20,'1.1a-Jaarprijzen'!B:G,6,FALSE)</f>
        <v>2</v>
      </c>
      <c r="E20" s="845" t="s">
        <v>892</v>
      </c>
      <c r="F20" s="798" t="s">
        <v>469</v>
      </c>
      <c r="G20" s="799" t="s">
        <v>848</v>
      </c>
      <c r="H20" s="573" t="s">
        <v>901</v>
      </c>
      <c r="I20" s="573" t="str">
        <f t="shared" si="3"/>
        <v>entree, gang, hal, repro, kopieer</v>
      </c>
      <c r="J20" s="694" t="s">
        <v>900</v>
      </c>
      <c r="K20" s="800">
        <v>5.3</v>
      </c>
      <c r="L20" s="800"/>
      <c r="M20" s="867">
        <v>3253</v>
      </c>
      <c r="N20" s="868"/>
      <c r="O20" s="869"/>
      <c r="P20" s="869"/>
      <c r="Q20" s="866">
        <f t="shared" si="4"/>
        <v>253</v>
      </c>
      <c r="R20" s="600">
        <v>1</v>
      </c>
      <c r="S20" s="600">
        <v>1</v>
      </c>
      <c r="T20" s="468">
        <f t="shared" si="5"/>
        <v>0</v>
      </c>
      <c r="U20" s="468">
        <f t="shared" si="6"/>
        <v>0</v>
      </c>
      <c r="V20" s="468">
        <f t="shared" si="7"/>
        <v>0</v>
      </c>
      <c r="W20" s="468">
        <f t="shared" si="8"/>
        <v>0</v>
      </c>
      <c r="X20" s="601">
        <f t="shared" si="9"/>
        <v>0</v>
      </c>
      <c r="Y20" s="601">
        <f t="shared" si="10"/>
        <v>0</v>
      </c>
      <c r="Z20" s="601">
        <f t="shared" si="11"/>
        <v>0</v>
      </c>
      <c r="AA20" s="601">
        <f t="shared" si="12"/>
        <v>0</v>
      </c>
      <c r="AB20" s="602" t="str">
        <f t="shared" si="13"/>
        <v>V</v>
      </c>
      <c r="AC20" s="847"/>
      <c r="AD20" s="603">
        <f>(T20+U20+V20)*'1.0-Contractblad'!$K$69</f>
        <v>0</v>
      </c>
      <c r="AE20" s="603"/>
      <c r="AF20" s="58">
        <f t="shared" si="14"/>
        <v>0</v>
      </c>
      <c r="AG20" s="58">
        <f t="shared" si="15"/>
        <v>1340.8999999999999</v>
      </c>
      <c r="AH20" s="58" t="str">
        <f t="shared" si="16"/>
        <v>3253-253</v>
      </c>
    </row>
    <row r="21" spans="1:34" ht="13">
      <c r="A21" s="134"/>
      <c r="B21" s="470"/>
      <c r="C21" s="471"/>
      <c r="D21" s="859">
        <f>VLOOKUP(E21,'1.1a-Jaarprijzen'!B:G,6,FALSE)</f>
        <v>2</v>
      </c>
      <c r="E21" s="845" t="s">
        <v>892</v>
      </c>
      <c r="F21" s="798" t="s">
        <v>469</v>
      </c>
      <c r="G21" s="799" t="s">
        <v>849</v>
      </c>
      <c r="H21" s="573" t="s">
        <v>902</v>
      </c>
      <c r="I21" s="573" t="str">
        <f t="shared" si="3"/>
        <v>sanitaire ruimte (toilet-/doucheruimte)</v>
      </c>
      <c r="J21" s="694" t="s">
        <v>900</v>
      </c>
      <c r="K21" s="800"/>
      <c r="L21" s="800"/>
      <c r="M21" s="867">
        <v>4253</v>
      </c>
      <c r="N21" s="868"/>
      <c r="O21" s="869"/>
      <c r="P21" s="869"/>
      <c r="Q21" s="866">
        <f t="shared" si="4"/>
        <v>253</v>
      </c>
      <c r="R21" s="600">
        <v>1</v>
      </c>
      <c r="S21" s="600">
        <v>1</v>
      </c>
      <c r="T21" s="468">
        <f t="shared" si="5"/>
        <v>0</v>
      </c>
      <c r="U21" s="468">
        <f t="shared" si="6"/>
        <v>0</v>
      </c>
      <c r="V21" s="468">
        <f t="shared" si="7"/>
        <v>0</v>
      </c>
      <c r="W21" s="468">
        <f t="shared" si="8"/>
        <v>0</v>
      </c>
      <c r="X21" s="601">
        <f t="shared" si="9"/>
        <v>0</v>
      </c>
      <c r="Y21" s="601">
        <f t="shared" si="10"/>
        <v>0</v>
      </c>
      <c r="Z21" s="601">
        <f t="shared" si="11"/>
        <v>0</v>
      </c>
      <c r="AA21" s="601">
        <f t="shared" si="12"/>
        <v>0</v>
      </c>
      <c r="AB21" s="602" t="str">
        <f t="shared" si="13"/>
        <v>S</v>
      </c>
      <c r="AC21" s="847" t="s">
        <v>1112</v>
      </c>
      <c r="AD21" s="603">
        <f>(T21+U21+V21)*'1.0-Contractblad'!$K$69</f>
        <v>0</v>
      </c>
      <c r="AE21" s="603"/>
      <c r="AF21" s="58">
        <f t="shared" si="14"/>
        <v>0</v>
      </c>
      <c r="AG21" s="58">
        <f t="shared" si="15"/>
        <v>0</v>
      </c>
      <c r="AH21" s="58" t="str">
        <f t="shared" si="16"/>
        <v>4253-253</v>
      </c>
    </row>
    <row r="22" spans="1:34" ht="13">
      <c r="A22" s="134"/>
      <c r="B22" s="470"/>
      <c r="C22" s="471"/>
      <c r="D22" s="859">
        <f>VLOOKUP(E22,'1.1a-Jaarprijzen'!B:G,6,FALSE)</f>
        <v>2</v>
      </c>
      <c r="E22" s="845" t="s">
        <v>892</v>
      </c>
      <c r="F22" s="798" t="s">
        <v>469</v>
      </c>
      <c r="G22" s="799" t="s">
        <v>447</v>
      </c>
      <c r="H22" s="573" t="s">
        <v>903</v>
      </c>
      <c r="I22" s="573" t="str">
        <f t="shared" si="3"/>
        <v>sanitaire ruimte (toilet-/doucheruimte)</v>
      </c>
      <c r="J22" s="694" t="s">
        <v>900</v>
      </c>
      <c r="K22" s="800">
        <v>10.5</v>
      </c>
      <c r="L22" s="800"/>
      <c r="M22" s="867">
        <v>4253</v>
      </c>
      <c r="N22" s="868"/>
      <c r="O22" s="869"/>
      <c r="P22" s="869"/>
      <c r="Q22" s="866">
        <f t="shared" si="4"/>
        <v>253</v>
      </c>
      <c r="R22" s="600">
        <v>1</v>
      </c>
      <c r="S22" s="600">
        <v>1</v>
      </c>
      <c r="T22" s="468">
        <f t="shared" si="5"/>
        <v>0</v>
      </c>
      <c r="U22" s="468">
        <f t="shared" si="6"/>
        <v>0</v>
      </c>
      <c r="V22" s="468">
        <f t="shared" si="7"/>
        <v>0</v>
      </c>
      <c r="W22" s="468">
        <f t="shared" si="8"/>
        <v>0</v>
      </c>
      <c r="X22" s="601">
        <f t="shared" si="9"/>
        <v>0</v>
      </c>
      <c r="Y22" s="601">
        <f t="shared" si="10"/>
        <v>0</v>
      </c>
      <c r="Z22" s="601">
        <f t="shared" si="11"/>
        <v>0</v>
      </c>
      <c r="AA22" s="601">
        <f t="shared" si="12"/>
        <v>0</v>
      </c>
      <c r="AB22" s="602" t="str">
        <f t="shared" si="13"/>
        <v>S</v>
      </c>
      <c r="AC22" s="847"/>
      <c r="AD22" s="603">
        <f>(T22+U22+V22)*'1.0-Contractblad'!$K$69</f>
        <v>0</v>
      </c>
      <c r="AE22" s="603"/>
      <c r="AF22" s="58">
        <f t="shared" si="14"/>
        <v>0</v>
      </c>
      <c r="AG22" s="58">
        <f t="shared" si="15"/>
        <v>2656.5</v>
      </c>
      <c r="AH22" s="58" t="str">
        <f t="shared" si="16"/>
        <v>4253-253</v>
      </c>
    </row>
    <row r="23" spans="1:34" ht="13">
      <c r="A23" s="134"/>
      <c r="B23" s="470"/>
      <c r="C23" s="471"/>
      <c r="D23" s="859">
        <f>VLOOKUP(E23,'1.1a-Jaarprijzen'!B:G,6,FALSE)</f>
        <v>2</v>
      </c>
      <c r="E23" s="845" t="s">
        <v>892</v>
      </c>
      <c r="F23" s="798" t="s">
        <v>469</v>
      </c>
      <c r="G23" s="799" t="s">
        <v>904</v>
      </c>
      <c r="H23" s="573" t="s">
        <v>905</v>
      </c>
      <c r="I23" s="573" t="str">
        <f t="shared" si="3"/>
        <v>sanitaire ruimte (toilet-/doucheruimte)</v>
      </c>
      <c r="J23" s="694" t="s">
        <v>900</v>
      </c>
      <c r="K23" s="800">
        <v>1.6</v>
      </c>
      <c r="L23" s="800"/>
      <c r="M23" s="867">
        <v>4253</v>
      </c>
      <c r="N23" s="868"/>
      <c r="O23" s="869"/>
      <c r="P23" s="869"/>
      <c r="Q23" s="866">
        <f t="shared" si="4"/>
        <v>253</v>
      </c>
      <c r="R23" s="600">
        <v>1</v>
      </c>
      <c r="S23" s="600">
        <v>1</v>
      </c>
      <c r="T23" s="468">
        <f t="shared" si="5"/>
        <v>0</v>
      </c>
      <c r="U23" s="468">
        <f t="shared" si="6"/>
        <v>0</v>
      </c>
      <c r="V23" s="468">
        <f t="shared" si="7"/>
        <v>0</v>
      </c>
      <c r="W23" s="468">
        <f t="shared" si="8"/>
        <v>0</v>
      </c>
      <c r="X23" s="601">
        <f t="shared" si="9"/>
        <v>0</v>
      </c>
      <c r="Y23" s="601">
        <f t="shared" si="10"/>
        <v>0</v>
      </c>
      <c r="Z23" s="601">
        <f t="shared" si="11"/>
        <v>0</v>
      </c>
      <c r="AA23" s="601">
        <f t="shared" si="12"/>
        <v>0</v>
      </c>
      <c r="AB23" s="602" t="str">
        <f t="shared" si="13"/>
        <v>S</v>
      </c>
      <c r="AC23" s="847"/>
      <c r="AD23" s="603">
        <f>(T23+U23+V23)*'1.0-Contractblad'!$K$69</f>
        <v>0</v>
      </c>
      <c r="AE23" s="603"/>
      <c r="AF23" s="58">
        <f t="shared" si="14"/>
        <v>0</v>
      </c>
      <c r="AG23" s="58">
        <f t="shared" si="15"/>
        <v>404.8</v>
      </c>
      <c r="AH23" s="58" t="str">
        <f t="shared" si="16"/>
        <v>4253-253</v>
      </c>
    </row>
    <row r="24" spans="1:34" ht="13">
      <c r="A24" s="134"/>
      <c r="B24" s="470"/>
      <c r="C24" s="471"/>
      <c r="D24" s="859">
        <f>VLOOKUP(E24,'1.1a-Jaarprijzen'!B:G,6,FALSE)</f>
        <v>2</v>
      </c>
      <c r="E24" s="845" t="s">
        <v>892</v>
      </c>
      <c r="F24" s="798" t="s">
        <v>469</v>
      </c>
      <c r="G24" s="799" t="s">
        <v>906</v>
      </c>
      <c r="H24" s="573" t="s">
        <v>882</v>
      </c>
      <c r="I24" s="573" t="str">
        <f t="shared" si="3"/>
        <v>sanitaire ruimte (toilet-/doucheruimte)</v>
      </c>
      <c r="J24" s="694" t="s">
        <v>900</v>
      </c>
      <c r="K24" s="800">
        <v>1.56</v>
      </c>
      <c r="L24" s="800"/>
      <c r="M24" s="867">
        <v>4253</v>
      </c>
      <c r="N24" s="868"/>
      <c r="O24" s="869"/>
      <c r="P24" s="869"/>
      <c r="Q24" s="866">
        <f t="shared" si="4"/>
        <v>253</v>
      </c>
      <c r="R24" s="600">
        <v>1</v>
      </c>
      <c r="S24" s="600">
        <v>1</v>
      </c>
      <c r="T24" s="468">
        <f t="shared" si="5"/>
        <v>0</v>
      </c>
      <c r="U24" s="468">
        <f t="shared" si="6"/>
        <v>0</v>
      </c>
      <c r="V24" s="468">
        <f t="shared" si="7"/>
        <v>0</v>
      </c>
      <c r="W24" s="468">
        <f t="shared" si="8"/>
        <v>0</v>
      </c>
      <c r="X24" s="601">
        <f t="shared" si="9"/>
        <v>0</v>
      </c>
      <c r="Y24" s="601">
        <f t="shared" si="10"/>
        <v>0</v>
      </c>
      <c r="Z24" s="601">
        <f t="shared" si="11"/>
        <v>0</v>
      </c>
      <c r="AA24" s="601">
        <f t="shared" si="12"/>
        <v>0</v>
      </c>
      <c r="AB24" s="602" t="str">
        <f t="shared" si="13"/>
        <v>S</v>
      </c>
      <c r="AC24" s="847"/>
      <c r="AD24" s="603">
        <f>(T24+U24+V24)*'1.0-Contractblad'!$K$69</f>
        <v>0</v>
      </c>
      <c r="AE24" s="603"/>
      <c r="AF24" s="58">
        <f t="shared" si="14"/>
        <v>0</v>
      </c>
      <c r="AG24" s="58">
        <f t="shared" si="15"/>
        <v>394.68</v>
      </c>
      <c r="AH24" s="58" t="str">
        <f t="shared" si="16"/>
        <v>4253-253</v>
      </c>
    </row>
    <row r="25" spans="1:34" ht="13">
      <c r="A25" s="134"/>
      <c r="B25" s="470"/>
      <c r="C25" s="471"/>
      <c r="D25" s="859">
        <f>VLOOKUP(E25,'1.1a-Jaarprijzen'!B:G,6,FALSE)</f>
        <v>2</v>
      </c>
      <c r="E25" s="845" t="s">
        <v>892</v>
      </c>
      <c r="F25" s="798" t="s">
        <v>469</v>
      </c>
      <c r="G25" s="799" t="s">
        <v>449</v>
      </c>
      <c r="H25" s="573" t="s">
        <v>886</v>
      </c>
      <c r="I25" s="573" t="str">
        <f t="shared" si="3"/>
        <v>niet van toepassing</v>
      </c>
      <c r="J25" s="694" t="s">
        <v>900</v>
      </c>
      <c r="K25" s="800"/>
      <c r="L25" s="800"/>
      <c r="M25" s="867" t="s">
        <v>19</v>
      </c>
      <c r="N25" s="868"/>
      <c r="O25" s="869"/>
      <c r="P25" s="869"/>
      <c r="Q25" s="866">
        <f t="shared" si="4"/>
        <v>0</v>
      </c>
      <c r="R25" s="600">
        <v>1</v>
      </c>
      <c r="S25" s="600">
        <v>1</v>
      </c>
      <c r="T25" s="468">
        <f t="shared" si="5"/>
        <v>0</v>
      </c>
      <c r="U25" s="468">
        <f t="shared" si="6"/>
        <v>0</v>
      </c>
      <c r="V25" s="468">
        <f t="shared" si="7"/>
        <v>0</v>
      </c>
      <c r="W25" s="468">
        <f t="shared" si="8"/>
        <v>0</v>
      </c>
      <c r="X25" s="601">
        <f t="shared" si="9"/>
        <v>0</v>
      </c>
      <c r="Y25" s="601">
        <f t="shared" si="10"/>
        <v>0</v>
      </c>
      <c r="Z25" s="601">
        <f t="shared" si="11"/>
        <v>0</v>
      </c>
      <c r="AA25" s="601">
        <f t="shared" si="12"/>
        <v>0</v>
      </c>
      <c r="AB25" s="602">
        <f t="shared" si="13"/>
        <v>0</v>
      </c>
      <c r="AC25" s="847"/>
      <c r="AD25" s="603">
        <f>(T25+U25+V25)*'1.0-Contractblad'!$K$69</f>
        <v>0</v>
      </c>
      <c r="AE25" s="603"/>
      <c r="AF25" s="58">
        <f t="shared" si="14"/>
        <v>0</v>
      </c>
      <c r="AG25" s="58">
        <f t="shared" si="15"/>
        <v>0</v>
      </c>
      <c r="AH25" s="58" t="str">
        <f t="shared" si="16"/>
        <v>nvt-0</v>
      </c>
    </row>
    <row r="26" spans="1:34" ht="13">
      <c r="A26" s="134"/>
      <c r="B26" s="470"/>
      <c r="C26" s="471"/>
      <c r="D26" s="859">
        <f>VLOOKUP(E26,'1.1a-Jaarprijzen'!B:G,6,FALSE)</f>
        <v>2</v>
      </c>
      <c r="E26" s="845" t="s">
        <v>892</v>
      </c>
      <c r="F26" s="798" t="s">
        <v>469</v>
      </c>
      <c r="G26" s="799" t="s">
        <v>450</v>
      </c>
      <c r="H26" s="573" t="s">
        <v>907</v>
      </c>
      <c r="I26" s="573" t="str">
        <f t="shared" si="3"/>
        <v>kleedruimten</v>
      </c>
      <c r="J26" s="694" t="s">
        <v>900</v>
      </c>
      <c r="K26" s="800">
        <v>33.15</v>
      </c>
      <c r="L26" s="800"/>
      <c r="M26" s="867">
        <v>10253</v>
      </c>
      <c r="N26" s="868"/>
      <c r="O26" s="869"/>
      <c r="P26" s="869"/>
      <c r="Q26" s="866">
        <f t="shared" si="4"/>
        <v>253</v>
      </c>
      <c r="R26" s="600">
        <v>1</v>
      </c>
      <c r="S26" s="600">
        <v>1</v>
      </c>
      <c r="T26" s="468">
        <f t="shared" si="5"/>
        <v>0</v>
      </c>
      <c r="U26" s="468">
        <f t="shared" si="6"/>
        <v>0</v>
      </c>
      <c r="V26" s="468">
        <f t="shared" si="7"/>
        <v>0</v>
      </c>
      <c r="W26" s="468">
        <f t="shared" si="8"/>
        <v>0</v>
      </c>
      <c r="X26" s="601">
        <f t="shared" si="9"/>
        <v>0</v>
      </c>
      <c r="Y26" s="601">
        <f t="shared" si="10"/>
        <v>0</v>
      </c>
      <c r="Z26" s="601">
        <f t="shared" si="11"/>
        <v>0</v>
      </c>
      <c r="AA26" s="601">
        <f t="shared" si="12"/>
        <v>0</v>
      </c>
      <c r="AB26" s="602" t="str">
        <f t="shared" si="13"/>
        <v>V</v>
      </c>
      <c r="AC26" s="847"/>
      <c r="AD26" s="603">
        <f>(T26+U26+V26)*'1.0-Contractblad'!$K$69</f>
        <v>0</v>
      </c>
      <c r="AE26" s="603"/>
      <c r="AF26" s="58">
        <f t="shared" si="14"/>
        <v>0</v>
      </c>
      <c r="AG26" s="58">
        <f t="shared" si="15"/>
        <v>8386.9499999999989</v>
      </c>
      <c r="AH26" s="58" t="str">
        <f t="shared" si="16"/>
        <v>10253-253</v>
      </c>
    </row>
    <row r="27" spans="1:34" ht="13">
      <c r="A27" s="134"/>
      <c r="B27" s="470"/>
      <c r="C27" s="471"/>
      <c r="D27" s="859">
        <f>VLOOKUP(E27,'1.1a-Jaarprijzen'!B:G,6,FALSE)</f>
        <v>2</v>
      </c>
      <c r="E27" s="845" t="s">
        <v>892</v>
      </c>
      <c r="F27" s="798" t="s">
        <v>469</v>
      </c>
      <c r="G27" s="799" t="s">
        <v>908</v>
      </c>
      <c r="H27" s="870" t="s">
        <v>909</v>
      </c>
      <c r="I27" s="573" t="str">
        <f t="shared" si="3"/>
        <v>entree, gang, hal, repro, kopieer</v>
      </c>
      <c r="J27" s="694" t="s">
        <v>900</v>
      </c>
      <c r="K27" s="800">
        <v>11.1</v>
      </c>
      <c r="L27" s="800"/>
      <c r="M27" s="867">
        <v>3253</v>
      </c>
      <c r="N27" s="868"/>
      <c r="O27" s="869"/>
      <c r="P27" s="869"/>
      <c r="Q27" s="866">
        <f t="shared" si="4"/>
        <v>253</v>
      </c>
      <c r="R27" s="600">
        <v>1</v>
      </c>
      <c r="S27" s="600">
        <v>1</v>
      </c>
      <c r="T27" s="468">
        <f t="shared" si="5"/>
        <v>0</v>
      </c>
      <c r="U27" s="468">
        <f t="shared" si="6"/>
        <v>0</v>
      </c>
      <c r="V27" s="468">
        <f t="shared" si="7"/>
        <v>0</v>
      </c>
      <c r="W27" s="468">
        <f t="shared" si="8"/>
        <v>0</v>
      </c>
      <c r="X27" s="601">
        <f t="shared" si="9"/>
        <v>0</v>
      </c>
      <c r="Y27" s="601">
        <f t="shared" si="10"/>
        <v>0</v>
      </c>
      <c r="Z27" s="601">
        <f t="shared" si="11"/>
        <v>0</v>
      </c>
      <c r="AA27" s="601">
        <f t="shared" si="12"/>
        <v>0</v>
      </c>
      <c r="AB27" s="602" t="str">
        <f t="shared" si="13"/>
        <v>V</v>
      </c>
      <c r="AC27" s="847"/>
      <c r="AD27" s="603">
        <f>(T27+U27+V27)*'1.0-Contractblad'!$K$69</f>
        <v>0</v>
      </c>
      <c r="AE27" s="603"/>
      <c r="AF27" s="58">
        <f t="shared" si="14"/>
        <v>0</v>
      </c>
      <c r="AG27" s="58">
        <f t="shared" si="15"/>
        <v>2808.2999999999997</v>
      </c>
      <c r="AH27" s="58" t="str">
        <f t="shared" si="16"/>
        <v>3253-253</v>
      </c>
    </row>
    <row r="28" spans="1:34" ht="13">
      <c r="A28" s="134"/>
      <c r="B28" s="470"/>
      <c r="C28" s="471"/>
      <c r="D28" s="859">
        <f>VLOOKUP(E28,'1.1a-Jaarprijzen'!B:G,6,FALSE)</f>
        <v>2</v>
      </c>
      <c r="E28" s="845" t="s">
        <v>892</v>
      </c>
      <c r="F28" s="798" t="s">
        <v>469</v>
      </c>
      <c r="G28" s="799" t="s">
        <v>910</v>
      </c>
      <c r="H28" s="870" t="s">
        <v>911</v>
      </c>
      <c r="I28" s="573" t="str">
        <f t="shared" si="3"/>
        <v>sanitaire ruimte (toilet-/doucheruimte)</v>
      </c>
      <c r="J28" s="694" t="s">
        <v>900</v>
      </c>
      <c r="K28" s="800"/>
      <c r="L28" s="800"/>
      <c r="M28" s="867">
        <v>4253</v>
      </c>
      <c r="N28" s="868"/>
      <c r="O28" s="869"/>
      <c r="P28" s="869"/>
      <c r="Q28" s="866">
        <f t="shared" si="4"/>
        <v>253</v>
      </c>
      <c r="R28" s="600">
        <v>1</v>
      </c>
      <c r="S28" s="600">
        <v>1</v>
      </c>
      <c r="T28" s="468">
        <f t="shared" si="5"/>
        <v>0</v>
      </c>
      <c r="U28" s="468">
        <f t="shared" si="6"/>
        <v>0</v>
      </c>
      <c r="V28" s="468">
        <f t="shared" si="7"/>
        <v>0</v>
      </c>
      <c r="W28" s="468">
        <f t="shared" si="8"/>
        <v>0</v>
      </c>
      <c r="X28" s="601">
        <f t="shared" si="9"/>
        <v>0</v>
      </c>
      <c r="Y28" s="601">
        <f t="shared" si="10"/>
        <v>0</v>
      </c>
      <c r="Z28" s="601">
        <f t="shared" si="11"/>
        <v>0</v>
      </c>
      <c r="AA28" s="601">
        <f t="shared" si="12"/>
        <v>0</v>
      </c>
      <c r="AB28" s="602" t="str">
        <f t="shared" si="13"/>
        <v>S</v>
      </c>
      <c r="AC28" s="847" t="s">
        <v>1113</v>
      </c>
      <c r="AD28" s="603">
        <f>(T28+U28+V28)*'1.0-Contractblad'!$K$69</f>
        <v>0</v>
      </c>
      <c r="AE28" s="603"/>
      <c r="AF28" s="58">
        <f t="shared" si="14"/>
        <v>0</v>
      </c>
      <c r="AG28" s="58">
        <f t="shared" si="15"/>
        <v>0</v>
      </c>
      <c r="AH28" s="58" t="str">
        <f t="shared" si="16"/>
        <v>4253-253</v>
      </c>
    </row>
    <row r="29" spans="1:34" ht="13">
      <c r="A29" s="134"/>
      <c r="B29" s="470"/>
      <c r="C29" s="471"/>
      <c r="D29" s="859">
        <f>VLOOKUP(E29,'1.1a-Jaarprijzen'!B:G,6,FALSE)</f>
        <v>2</v>
      </c>
      <c r="E29" s="845" t="s">
        <v>892</v>
      </c>
      <c r="F29" s="798" t="s">
        <v>469</v>
      </c>
      <c r="G29" s="799" t="s">
        <v>912</v>
      </c>
      <c r="H29" s="870" t="s">
        <v>911</v>
      </c>
      <c r="I29" s="573" t="str">
        <f t="shared" si="3"/>
        <v>sanitaire ruimte (toilet-/doucheruimte)</v>
      </c>
      <c r="J29" s="694" t="s">
        <v>900</v>
      </c>
      <c r="K29" s="800"/>
      <c r="L29" s="800"/>
      <c r="M29" s="867">
        <v>4253</v>
      </c>
      <c r="N29" s="868"/>
      <c r="O29" s="869"/>
      <c r="P29" s="869"/>
      <c r="Q29" s="866">
        <f t="shared" si="4"/>
        <v>253</v>
      </c>
      <c r="R29" s="600">
        <v>1</v>
      </c>
      <c r="S29" s="600">
        <v>1</v>
      </c>
      <c r="T29" s="468">
        <f t="shared" si="5"/>
        <v>0</v>
      </c>
      <c r="U29" s="468">
        <f t="shared" si="6"/>
        <v>0</v>
      </c>
      <c r="V29" s="468">
        <f t="shared" si="7"/>
        <v>0</v>
      </c>
      <c r="W29" s="468">
        <f t="shared" si="8"/>
        <v>0</v>
      </c>
      <c r="X29" s="601">
        <f t="shared" si="9"/>
        <v>0</v>
      </c>
      <c r="Y29" s="601">
        <f t="shared" si="10"/>
        <v>0</v>
      </c>
      <c r="Z29" s="601">
        <f t="shared" si="11"/>
        <v>0</v>
      </c>
      <c r="AA29" s="601">
        <f t="shared" si="12"/>
        <v>0</v>
      </c>
      <c r="AB29" s="602" t="str">
        <f t="shared" si="13"/>
        <v>S</v>
      </c>
      <c r="AC29" s="847" t="s">
        <v>1113</v>
      </c>
      <c r="AD29" s="603">
        <f>(T29+U29+V29)*'1.0-Contractblad'!$K$69</f>
        <v>0</v>
      </c>
      <c r="AE29" s="603"/>
      <c r="AF29" s="58">
        <f t="shared" si="14"/>
        <v>0</v>
      </c>
      <c r="AG29" s="58">
        <f t="shared" si="15"/>
        <v>0</v>
      </c>
      <c r="AH29" s="58" t="str">
        <f t="shared" si="16"/>
        <v>4253-253</v>
      </c>
    </row>
    <row r="30" spans="1:34" ht="13">
      <c r="A30" s="134"/>
      <c r="B30" s="470"/>
      <c r="C30" s="471"/>
      <c r="D30" s="859">
        <f>VLOOKUP(E30,'1.1a-Jaarprijzen'!B:G,6,FALSE)</f>
        <v>2</v>
      </c>
      <c r="E30" s="845" t="s">
        <v>892</v>
      </c>
      <c r="F30" s="798" t="s">
        <v>469</v>
      </c>
      <c r="G30" s="799" t="s">
        <v>913</v>
      </c>
      <c r="H30" s="573" t="s">
        <v>493</v>
      </c>
      <c r="I30" s="573" t="str">
        <f t="shared" si="3"/>
        <v>sanitaire ruimte (toilet-/doucheruimte)</v>
      </c>
      <c r="J30" s="694" t="s">
        <v>900</v>
      </c>
      <c r="K30" s="800"/>
      <c r="L30" s="800"/>
      <c r="M30" s="867">
        <v>4253</v>
      </c>
      <c r="N30" s="868"/>
      <c r="O30" s="869"/>
      <c r="P30" s="869"/>
      <c r="Q30" s="866">
        <f t="shared" si="4"/>
        <v>253</v>
      </c>
      <c r="R30" s="600">
        <v>1</v>
      </c>
      <c r="S30" s="600">
        <v>1</v>
      </c>
      <c r="T30" s="468">
        <f t="shared" si="5"/>
        <v>0</v>
      </c>
      <c r="U30" s="468">
        <f t="shared" si="6"/>
        <v>0</v>
      </c>
      <c r="V30" s="468">
        <f t="shared" si="7"/>
        <v>0</v>
      </c>
      <c r="W30" s="468">
        <f t="shared" si="8"/>
        <v>0</v>
      </c>
      <c r="X30" s="601">
        <f t="shared" si="9"/>
        <v>0</v>
      </c>
      <c r="Y30" s="601">
        <f t="shared" si="10"/>
        <v>0</v>
      </c>
      <c r="Z30" s="601">
        <f t="shared" si="11"/>
        <v>0</v>
      </c>
      <c r="AA30" s="601">
        <f t="shared" si="12"/>
        <v>0</v>
      </c>
      <c r="AB30" s="602" t="str">
        <f t="shared" si="13"/>
        <v>S</v>
      </c>
      <c r="AC30" s="847" t="s">
        <v>1113</v>
      </c>
      <c r="AD30" s="603">
        <f>(T30+U30+V30)*'1.0-Contractblad'!$K$69</f>
        <v>0</v>
      </c>
      <c r="AE30" s="603"/>
      <c r="AF30" s="58">
        <f t="shared" si="14"/>
        <v>0</v>
      </c>
      <c r="AG30" s="58">
        <f t="shared" si="15"/>
        <v>0</v>
      </c>
      <c r="AH30" s="58" t="str">
        <f t="shared" si="16"/>
        <v>4253-253</v>
      </c>
    </row>
    <row r="31" spans="1:34" ht="13">
      <c r="A31" s="134"/>
      <c r="B31" s="470"/>
      <c r="C31" s="471"/>
      <c r="D31" s="859">
        <f>VLOOKUP(E31,'1.1a-Jaarprijzen'!B:G,6,FALSE)</f>
        <v>2</v>
      </c>
      <c r="E31" s="845" t="s">
        <v>892</v>
      </c>
      <c r="F31" s="798" t="s">
        <v>469</v>
      </c>
      <c r="G31" s="799" t="s">
        <v>914</v>
      </c>
      <c r="H31" s="573" t="s">
        <v>493</v>
      </c>
      <c r="I31" s="573" t="str">
        <f t="shared" si="3"/>
        <v>sanitaire ruimte (toilet-/doucheruimte)</v>
      </c>
      <c r="J31" s="694" t="s">
        <v>900</v>
      </c>
      <c r="K31" s="800"/>
      <c r="L31" s="800"/>
      <c r="M31" s="867">
        <v>4253</v>
      </c>
      <c r="N31" s="868"/>
      <c r="O31" s="869"/>
      <c r="P31" s="869"/>
      <c r="Q31" s="866">
        <f t="shared" si="4"/>
        <v>253</v>
      </c>
      <c r="R31" s="600">
        <v>1</v>
      </c>
      <c r="S31" s="600">
        <v>1</v>
      </c>
      <c r="T31" s="468">
        <f t="shared" si="5"/>
        <v>0</v>
      </c>
      <c r="U31" s="468">
        <f t="shared" si="6"/>
        <v>0</v>
      </c>
      <c r="V31" s="468">
        <f t="shared" si="7"/>
        <v>0</v>
      </c>
      <c r="W31" s="468">
        <f t="shared" si="8"/>
        <v>0</v>
      </c>
      <c r="X31" s="601">
        <f t="shared" si="9"/>
        <v>0</v>
      </c>
      <c r="Y31" s="601">
        <f t="shared" si="10"/>
        <v>0</v>
      </c>
      <c r="Z31" s="601">
        <f t="shared" si="11"/>
        <v>0</v>
      </c>
      <c r="AA31" s="601">
        <f t="shared" si="12"/>
        <v>0</v>
      </c>
      <c r="AB31" s="602" t="str">
        <f t="shared" si="13"/>
        <v>S</v>
      </c>
      <c r="AC31" s="847" t="s">
        <v>1113</v>
      </c>
      <c r="AD31" s="603">
        <f>(T31+U31+V31)*'1.0-Contractblad'!$K$69</f>
        <v>0</v>
      </c>
      <c r="AE31" s="603"/>
      <c r="AF31" s="58">
        <f t="shared" si="14"/>
        <v>0</v>
      </c>
      <c r="AG31" s="58">
        <f t="shared" si="15"/>
        <v>0</v>
      </c>
      <c r="AH31" s="58" t="str">
        <f t="shared" si="16"/>
        <v>4253-253</v>
      </c>
    </row>
    <row r="32" spans="1:34" ht="13">
      <c r="A32" s="134"/>
      <c r="B32" s="470"/>
      <c r="C32" s="471"/>
      <c r="D32" s="859">
        <f>VLOOKUP(E32,'1.1a-Jaarprijzen'!B:G,6,FALSE)</f>
        <v>2</v>
      </c>
      <c r="E32" s="845" t="s">
        <v>892</v>
      </c>
      <c r="F32" s="798" t="s">
        <v>469</v>
      </c>
      <c r="G32" s="799" t="s">
        <v>611</v>
      </c>
      <c r="H32" s="573" t="s">
        <v>915</v>
      </c>
      <c r="I32" s="573" t="str">
        <f t="shared" si="3"/>
        <v>niet van toepassing</v>
      </c>
      <c r="J32" s="694" t="s">
        <v>900</v>
      </c>
      <c r="K32" s="800"/>
      <c r="L32" s="800"/>
      <c r="M32" s="867" t="s">
        <v>19</v>
      </c>
      <c r="N32" s="868"/>
      <c r="O32" s="869"/>
      <c r="P32" s="869"/>
      <c r="Q32" s="866">
        <f t="shared" si="4"/>
        <v>0</v>
      </c>
      <c r="R32" s="600">
        <v>1</v>
      </c>
      <c r="S32" s="600">
        <v>1</v>
      </c>
      <c r="T32" s="468">
        <f t="shared" si="5"/>
        <v>0</v>
      </c>
      <c r="U32" s="468">
        <f t="shared" si="6"/>
        <v>0</v>
      </c>
      <c r="V32" s="468">
        <f t="shared" si="7"/>
        <v>0</v>
      </c>
      <c r="W32" s="468">
        <f t="shared" si="8"/>
        <v>0</v>
      </c>
      <c r="X32" s="601">
        <f t="shared" si="9"/>
        <v>0</v>
      </c>
      <c r="Y32" s="601">
        <f t="shared" si="10"/>
        <v>0</v>
      </c>
      <c r="Z32" s="601">
        <f t="shared" si="11"/>
        <v>0</v>
      </c>
      <c r="AA32" s="601">
        <f t="shared" si="12"/>
        <v>0</v>
      </c>
      <c r="AB32" s="602">
        <f t="shared" si="13"/>
        <v>0</v>
      </c>
      <c r="AC32" s="847"/>
      <c r="AD32" s="603">
        <f>(T32+U32+V32)*'1.0-Contractblad'!$K$69</f>
        <v>0</v>
      </c>
      <c r="AE32" s="603"/>
      <c r="AF32" s="58">
        <f t="shared" si="14"/>
        <v>0</v>
      </c>
      <c r="AG32" s="58">
        <f t="shared" si="15"/>
        <v>0</v>
      </c>
      <c r="AH32" s="58" t="str">
        <f t="shared" si="16"/>
        <v>nvt-0</v>
      </c>
    </row>
    <row r="33" spans="1:34" ht="13">
      <c r="A33" s="134"/>
      <c r="B33" s="470"/>
      <c r="C33" s="471"/>
      <c r="D33" s="859">
        <f>VLOOKUP(E33,'1.1a-Jaarprijzen'!B:G,6,FALSE)</f>
        <v>2</v>
      </c>
      <c r="E33" s="845" t="s">
        <v>892</v>
      </c>
      <c r="F33" s="798" t="s">
        <v>469</v>
      </c>
      <c r="G33" s="799" t="s">
        <v>619</v>
      </c>
      <c r="H33" s="573" t="s">
        <v>916</v>
      </c>
      <c r="I33" s="573" t="str">
        <f t="shared" si="3"/>
        <v>niet van toepassing</v>
      </c>
      <c r="J33" s="800"/>
      <c r="K33" s="800"/>
      <c r="L33" s="800"/>
      <c r="M33" s="867" t="s">
        <v>19</v>
      </c>
      <c r="N33" s="868"/>
      <c r="O33" s="869"/>
      <c r="P33" s="869"/>
      <c r="Q33" s="866">
        <f t="shared" si="4"/>
        <v>0</v>
      </c>
      <c r="R33" s="600">
        <v>1</v>
      </c>
      <c r="S33" s="600">
        <v>1</v>
      </c>
      <c r="T33" s="468">
        <f t="shared" si="5"/>
        <v>0</v>
      </c>
      <c r="U33" s="468">
        <f t="shared" si="6"/>
        <v>0</v>
      </c>
      <c r="V33" s="468">
        <f t="shared" si="7"/>
        <v>0</v>
      </c>
      <c r="W33" s="468">
        <f t="shared" si="8"/>
        <v>0</v>
      </c>
      <c r="X33" s="601">
        <f t="shared" si="9"/>
        <v>0</v>
      </c>
      <c r="Y33" s="601">
        <f t="shared" si="10"/>
        <v>0</v>
      </c>
      <c r="Z33" s="601">
        <f t="shared" si="11"/>
        <v>0</v>
      </c>
      <c r="AA33" s="601">
        <f t="shared" si="12"/>
        <v>0</v>
      </c>
      <c r="AB33" s="602">
        <f t="shared" si="13"/>
        <v>0</v>
      </c>
      <c r="AC33" s="847"/>
      <c r="AD33" s="603">
        <f>(T33+U33+V33)*'1.0-Contractblad'!$K$69</f>
        <v>0</v>
      </c>
      <c r="AE33" s="603"/>
      <c r="AF33" s="58">
        <f t="shared" si="14"/>
        <v>0</v>
      </c>
      <c r="AG33" s="58">
        <f t="shared" si="15"/>
        <v>0</v>
      </c>
      <c r="AH33" s="58" t="str">
        <f t="shared" si="16"/>
        <v>nvt-0</v>
      </c>
    </row>
    <row r="34" spans="1:34" ht="13">
      <c r="A34" s="134"/>
      <c r="B34" s="470"/>
      <c r="C34" s="471"/>
      <c r="D34" s="859">
        <f>VLOOKUP(E34,'1.1a-Jaarprijzen'!B:G,6,FALSE)</f>
        <v>2</v>
      </c>
      <c r="E34" s="845" t="s">
        <v>892</v>
      </c>
      <c r="F34" s="798" t="s">
        <v>469</v>
      </c>
      <c r="G34" s="799" t="s">
        <v>621</v>
      </c>
      <c r="H34" s="573" t="s">
        <v>883</v>
      </c>
      <c r="I34" s="573" t="str">
        <f t="shared" si="3"/>
        <v>sanitaire ruimte (toilet-/doucheruimte)</v>
      </c>
      <c r="J34" s="694" t="s">
        <v>900</v>
      </c>
      <c r="K34" s="800">
        <v>8.8000000000000007</v>
      </c>
      <c r="L34" s="800"/>
      <c r="M34" s="867">
        <v>4253</v>
      </c>
      <c r="N34" s="868"/>
      <c r="O34" s="869"/>
      <c r="P34" s="869"/>
      <c r="Q34" s="866">
        <f t="shared" si="4"/>
        <v>253</v>
      </c>
      <c r="R34" s="600">
        <v>1</v>
      </c>
      <c r="S34" s="600">
        <v>1</v>
      </c>
      <c r="T34" s="468">
        <f t="shared" si="5"/>
        <v>0</v>
      </c>
      <c r="U34" s="468">
        <f t="shared" si="6"/>
        <v>0</v>
      </c>
      <c r="V34" s="468">
        <f t="shared" si="7"/>
        <v>0</v>
      </c>
      <c r="W34" s="468">
        <f t="shared" si="8"/>
        <v>0</v>
      </c>
      <c r="X34" s="601">
        <f t="shared" si="9"/>
        <v>0</v>
      </c>
      <c r="Y34" s="601">
        <f t="shared" si="10"/>
        <v>0</v>
      </c>
      <c r="Z34" s="601">
        <f t="shared" si="11"/>
        <v>0</v>
      </c>
      <c r="AA34" s="601">
        <f t="shared" si="12"/>
        <v>0</v>
      </c>
      <c r="AB34" s="602" t="str">
        <f t="shared" si="13"/>
        <v>S</v>
      </c>
      <c r="AC34" s="847"/>
      <c r="AD34" s="603">
        <f>(T34+U34+V34)*'1.0-Contractblad'!$K$69</f>
        <v>0</v>
      </c>
      <c r="AE34" s="603"/>
      <c r="AF34" s="58">
        <f t="shared" si="14"/>
        <v>0</v>
      </c>
      <c r="AG34" s="58">
        <f t="shared" si="15"/>
        <v>2226.4</v>
      </c>
      <c r="AH34" s="58" t="str">
        <f t="shared" si="16"/>
        <v>4253-253</v>
      </c>
    </row>
    <row r="35" spans="1:34" ht="13">
      <c r="A35" s="134"/>
      <c r="B35" s="470"/>
      <c r="C35" s="471"/>
      <c r="D35" s="859">
        <f>VLOOKUP(E35,'1.1a-Jaarprijzen'!B:G,6,FALSE)</f>
        <v>2</v>
      </c>
      <c r="E35" s="845" t="s">
        <v>892</v>
      </c>
      <c r="F35" s="798" t="s">
        <v>469</v>
      </c>
      <c r="G35" s="799" t="s">
        <v>623</v>
      </c>
      <c r="H35" s="573" t="s">
        <v>917</v>
      </c>
      <c r="I35" s="573" t="str">
        <f t="shared" si="3"/>
        <v>niet van toepassing</v>
      </c>
      <c r="J35" s="694" t="s">
        <v>900</v>
      </c>
      <c r="K35" s="800"/>
      <c r="L35" s="800"/>
      <c r="M35" s="867" t="s">
        <v>19</v>
      </c>
      <c r="N35" s="868"/>
      <c r="O35" s="869"/>
      <c r="P35" s="869"/>
      <c r="Q35" s="866">
        <f t="shared" si="4"/>
        <v>0</v>
      </c>
      <c r="R35" s="600">
        <v>1</v>
      </c>
      <c r="S35" s="600">
        <v>1</v>
      </c>
      <c r="T35" s="468">
        <f t="shared" si="5"/>
        <v>0</v>
      </c>
      <c r="U35" s="468">
        <f t="shared" si="6"/>
        <v>0</v>
      </c>
      <c r="V35" s="468">
        <f t="shared" si="7"/>
        <v>0</v>
      </c>
      <c r="W35" s="468">
        <f t="shared" si="8"/>
        <v>0</v>
      </c>
      <c r="X35" s="601">
        <f t="shared" si="9"/>
        <v>0</v>
      </c>
      <c r="Y35" s="601">
        <f t="shared" si="10"/>
        <v>0</v>
      </c>
      <c r="Z35" s="601">
        <f t="shared" si="11"/>
        <v>0</v>
      </c>
      <c r="AA35" s="601">
        <f t="shared" si="12"/>
        <v>0</v>
      </c>
      <c r="AB35" s="602">
        <f t="shared" si="13"/>
        <v>0</v>
      </c>
      <c r="AC35" s="847"/>
      <c r="AD35" s="603">
        <f>(T35+U35+V35)*'1.0-Contractblad'!$K$69</f>
        <v>0</v>
      </c>
      <c r="AE35" s="603"/>
      <c r="AF35" s="58">
        <f t="shared" si="14"/>
        <v>0</v>
      </c>
      <c r="AG35" s="58">
        <f t="shared" si="15"/>
        <v>0</v>
      </c>
      <c r="AH35" s="58" t="str">
        <f t="shared" si="16"/>
        <v>nvt-0</v>
      </c>
    </row>
    <row r="36" spans="1:34" ht="13">
      <c r="A36" s="134"/>
      <c r="B36" s="470"/>
      <c r="C36" s="471"/>
      <c r="D36" s="859">
        <f>VLOOKUP(E36,'1.1a-Jaarprijzen'!B:G,6,FALSE)</f>
        <v>2</v>
      </c>
      <c r="E36" s="845" t="s">
        <v>892</v>
      </c>
      <c r="F36" s="798" t="s">
        <v>469</v>
      </c>
      <c r="G36" s="799" t="s">
        <v>624</v>
      </c>
      <c r="H36" s="573" t="s">
        <v>918</v>
      </c>
      <c r="I36" s="573" t="str">
        <f t="shared" si="3"/>
        <v>niet van toepassing</v>
      </c>
      <c r="J36" s="800"/>
      <c r="K36" s="800"/>
      <c r="L36" s="800"/>
      <c r="M36" s="867" t="s">
        <v>19</v>
      </c>
      <c r="N36" s="868"/>
      <c r="O36" s="869"/>
      <c r="P36" s="869"/>
      <c r="Q36" s="866">
        <f t="shared" si="4"/>
        <v>0</v>
      </c>
      <c r="R36" s="600">
        <v>1</v>
      </c>
      <c r="S36" s="600">
        <v>1</v>
      </c>
      <c r="T36" s="468">
        <f t="shared" si="5"/>
        <v>0</v>
      </c>
      <c r="U36" s="468">
        <f t="shared" si="6"/>
        <v>0</v>
      </c>
      <c r="V36" s="468">
        <f t="shared" si="7"/>
        <v>0</v>
      </c>
      <c r="W36" s="468">
        <f t="shared" si="8"/>
        <v>0</v>
      </c>
      <c r="X36" s="601">
        <f t="shared" si="9"/>
        <v>0</v>
      </c>
      <c r="Y36" s="601">
        <f t="shared" si="10"/>
        <v>0</v>
      </c>
      <c r="Z36" s="601">
        <f t="shared" si="11"/>
        <v>0</v>
      </c>
      <c r="AA36" s="601">
        <f t="shared" si="12"/>
        <v>0</v>
      </c>
      <c r="AB36" s="602">
        <f t="shared" si="13"/>
        <v>0</v>
      </c>
      <c r="AC36" s="847"/>
      <c r="AD36" s="603">
        <f>(T36+U36+V36)*'1.0-Contractblad'!$K$69</f>
        <v>0</v>
      </c>
      <c r="AE36" s="603"/>
      <c r="AF36" s="58">
        <f t="shared" si="14"/>
        <v>0</v>
      </c>
      <c r="AG36" s="58">
        <f t="shared" si="15"/>
        <v>0</v>
      </c>
      <c r="AH36" s="58" t="str">
        <f t="shared" si="16"/>
        <v>nvt-0</v>
      </c>
    </row>
    <row r="37" spans="1:34" ht="13">
      <c r="A37" s="134"/>
      <c r="B37" s="470"/>
      <c r="C37" s="471"/>
      <c r="D37" s="859">
        <f>VLOOKUP(E37,'1.1a-Jaarprijzen'!B:G,6,FALSE)</f>
        <v>2</v>
      </c>
      <c r="E37" s="845" t="s">
        <v>892</v>
      </c>
      <c r="F37" s="798" t="s">
        <v>469</v>
      </c>
      <c r="G37" s="799" t="s">
        <v>625</v>
      </c>
      <c r="H37" s="573" t="s">
        <v>871</v>
      </c>
      <c r="I37" s="573" t="str">
        <f t="shared" si="3"/>
        <v>niet van toepassing</v>
      </c>
      <c r="J37" s="800"/>
      <c r="K37" s="800"/>
      <c r="L37" s="800"/>
      <c r="M37" s="867" t="s">
        <v>19</v>
      </c>
      <c r="N37" s="868"/>
      <c r="O37" s="869"/>
      <c r="P37" s="869"/>
      <c r="Q37" s="866">
        <f t="shared" si="4"/>
        <v>0</v>
      </c>
      <c r="R37" s="600">
        <v>1</v>
      </c>
      <c r="S37" s="600">
        <v>1</v>
      </c>
      <c r="T37" s="468">
        <f t="shared" si="5"/>
        <v>0</v>
      </c>
      <c r="U37" s="468">
        <f t="shared" si="6"/>
        <v>0</v>
      </c>
      <c r="V37" s="468">
        <f t="shared" si="7"/>
        <v>0</v>
      </c>
      <c r="W37" s="468">
        <f t="shared" si="8"/>
        <v>0</v>
      </c>
      <c r="X37" s="601">
        <f t="shared" si="9"/>
        <v>0</v>
      </c>
      <c r="Y37" s="601">
        <f t="shared" si="10"/>
        <v>0</v>
      </c>
      <c r="Z37" s="601">
        <f t="shared" si="11"/>
        <v>0</v>
      </c>
      <c r="AA37" s="601">
        <f t="shared" si="12"/>
        <v>0</v>
      </c>
      <c r="AB37" s="602">
        <f t="shared" si="13"/>
        <v>0</v>
      </c>
      <c r="AC37" s="847"/>
      <c r="AD37" s="603">
        <f>(T37+U37+V37)*'1.0-Contractblad'!$K$69</f>
        <v>0</v>
      </c>
      <c r="AE37" s="603"/>
      <c r="AF37" s="58">
        <f t="shared" si="14"/>
        <v>0</v>
      </c>
      <c r="AG37" s="58">
        <f t="shared" si="15"/>
        <v>0</v>
      </c>
      <c r="AH37" s="58" t="str">
        <f t="shared" si="16"/>
        <v>nvt-0</v>
      </c>
    </row>
    <row r="38" spans="1:34" ht="13">
      <c r="A38" s="134"/>
      <c r="B38" s="470"/>
      <c r="C38" s="471"/>
      <c r="D38" s="859">
        <f>VLOOKUP(E38,'1.1a-Jaarprijzen'!B:G,6,FALSE)</f>
        <v>2</v>
      </c>
      <c r="E38" s="845" t="s">
        <v>892</v>
      </c>
      <c r="F38" s="798" t="s">
        <v>469</v>
      </c>
      <c r="G38" s="799" t="s">
        <v>626</v>
      </c>
      <c r="H38" s="573" t="s">
        <v>919</v>
      </c>
      <c r="I38" s="573" t="str">
        <f t="shared" si="3"/>
        <v>niet van toepassing</v>
      </c>
      <c r="J38" s="800"/>
      <c r="K38" s="800"/>
      <c r="L38" s="800"/>
      <c r="M38" s="867" t="s">
        <v>19</v>
      </c>
      <c r="N38" s="868"/>
      <c r="O38" s="869"/>
      <c r="P38" s="869"/>
      <c r="Q38" s="866">
        <f t="shared" si="4"/>
        <v>0</v>
      </c>
      <c r="R38" s="600">
        <v>1</v>
      </c>
      <c r="S38" s="600">
        <v>1</v>
      </c>
      <c r="T38" s="468">
        <f t="shared" si="5"/>
        <v>0</v>
      </c>
      <c r="U38" s="468">
        <f t="shared" si="6"/>
        <v>0</v>
      </c>
      <c r="V38" s="468">
        <f t="shared" si="7"/>
        <v>0</v>
      </c>
      <c r="W38" s="468">
        <f t="shared" si="8"/>
        <v>0</v>
      </c>
      <c r="X38" s="601">
        <f t="shared" si="9"/>
        <v>0</v>
      </c>
      <c r="Y38" s="601">
        <f t="shared" si="10"/>
        <v>0</v>
      </c>
      <c r="Z38" s="601">
        <f t="shared" si="11"/>
        <v>0</v>
      </c>
      <c r="AA38" s="601">
        <f t="shared" si="12"/>
        <v>0</v>
      </c>
      <c r="AB38" s="602">
        <f t="shared" si="13"/>
        <v>0</v>
      </c>
      <c r="AC38" s="847" t="s">
        <v>1114</v>
      </c>
      <c r="AD38" s="603">
        <f>(T38+U38+V38)*'1.0-Contractblad'!$K$69</f>
        <v>0</v>
      </c>
      <c r="AE38" s="603"/>
      <c r="AF38" s="58">
        <f t="shared" si="14"/>
        <v>0</v>
      </c>
      <c r="AG38" s="58">
        <f t="shared" si="15"/>
        <v>0</v>
      </c>
      <c r="AH38" s="58" t="str">
        <f t="shared" si="16"/>
        <v>nvt-0</v>
      </c>
    </row>
    <row r="39" spans="1:34" ht="13">
      <c r="A39" s="134"/>
      <c r="B39" s="470"/>
      <c r="C39" s="471"/>
      <c r="D39" s="859">
        <f>VLOOKUP(E39,'1.1a-Jaarprijzen'!B:G,6,FALSE)</f>
        <v>2</v>
      </c>
      <c r="E39" s="845" t="s">
        <v>629</v>
      </c>
      <c r="F39" s="798" t="s">
        <v>469</v>
      </c>
      <c r="G39" s="799" t="s">
        <v>570</v>
      </c>
      <c r="H39" s="573" t="s">
        <v>526</v>
      </c>
      <c r="I39" s="573" t="str">
        <f t="shared" si="3"/>
        <v>buitenbordes</v>
      </c>
      <c r="J39" s="694" t="s">
        <v>600</v>
      </c>
      <c r="K39" s="800">
        <v>9.1999999999999993</v>
      </c>
      <c r="L39" s="800"/>
      <c r="M39" s="867">
        <v>16156</v>
      </c>
      <c r="N39" s="868"/>
      <c r="O39" s="869"/>
      <c r="P39" s="869"/>
      <c r="Q39" s="866">
        <f t="shared" si="4"/>
        <v>156</v>
      </c>
      <c r="R39" s="600">
        <v>1</v>
      </c>
      <c r="S39" s="600">
        <v>1</v>
      </c>
      <c r="T39" s="468">
        <f t="shared" si="5"/>
        <v>0</v>
      </c>
      <c r="U39" s="468">
        <f t="shared" si="6"/>
        <v>0</v>
      </c>
      <c r="V39" s="468">
        <f t="shared" si="7"/>
        <v>0</v>
      </c>
      <c r="W39" s="468">
        <f t="shared" si="8"/>
        <v>0</v>
      </c>
      <c r="X39" s="601">
        <f t="shared" si="9"/>
        <v>0</v>
      </c>
      <c r="Y39" s="601">
        <f t="shared" si="10"/>
        <v>0</v>
      </c>
      <c r="Z39" s="601">
        <f t="shared" si="11"/>
        <v>0</v>
      </c>
      <c r="AA39" s="601">
        <f t="shared" si="12"/>
        <v>0</v>
      </c>
      <c r="AB39" s="602" t="str">
        <f t="shared" si="13"/>
        <v>V</v>
      </c>
      <c r="AC39" s="847" t="s">
        <v>1235</v>
      </c>
      <c r="AD39" s="603">
        <f>(T39+U39+V39)*'1.0-Contractblad'!$K$69</f>
        <v>0</v>
      </c>
      <c r="AE39" s="603"/>
      <c r="AF39" s="58">
        <f t="shared" si="14"/>
        <v>0</v>
      </c>
      <c r="AG39" s="58">
        <f t="shared" si="15"/>
        <v>1435.1999999999998</v>
      </c>
      <c r="AH39" s="58" t="str">
        <f t="shared" si="16"/>
        <v>16156-156</v>
      </c>
    </row>
    <row r="40" spans="1:34" ht="13">
      <c r="A40" s="134"/>
      <c r="B40" s="470"/>
      <c r="C40" s="471"/>
      <c r="D40" s="859">
        <f>VLOOKUP(E40,'1.1a-Jaarprijzen'!B:G,6,FALSE)</f>
        <v>2</v>
      </c>
      <c r="E40" s="845" t="s">
        <v>629</v>
      </c>
      <c r="F40" s="798" t="s">
        <v>469</v>
      </c>
      <c r="G40" s="799" t="s">
        <v>437</v>
      </c>
      <c r="H40" s="573" t="s">
        <v>601</v>
      </c>
      <c r="I40" s="573" t="str">
        <f t="shared" ref="I40:I103" si="17">IF($M40="",0,VLOOKUP($M40,Kengetal,4,FALSE))</f>
        <v>entree, gang, hal, repro, kopieer</v>
      </c>
      <c r="J40" s="694" t="s">
        <v>602</v>
      </c>
      <c r="K40" s="800">
        <v>23.63</v>
      </c>
      <c r="L40" s="800"/>
      <c r="M40" s="867">
        <v>3156</v>
      </c>
      <c r="N40" s="868"/>
      <c r="O40" s="869"/>
      <c r="P40" s="869"/>
      <c r="Q40" s="866">
        <f t="shared" si="4"/>
        <v>156</v>
      </c>
      <c r="R40" s="600">
        <v>1</v>
      </c>
      <c r="S40" s="600">
        <v>1</v>
      </c>
      <c r="T40" s="468">
        <f t="shared" si="5"/>
        <v>0</v>
      </c>
      <c r="U40" s="468">
        <f t="shared" si="6"/>
        <v>0</v>
      </c>
      <c r="V40" s="468">
        <f t="shared" si="7"/>
        <v>0</v>
      </c>
      <c r="W40" s="468">
        <f t="shared" si="8"/>
        <v>0</v>
      </c>
      <c r="X40" s="601">
        <f t="shared" ref="X40:X103" si="18">IF($M40=0,0,VLOOKUP($M40,Kengetal,6,FALSE))</f>
        <v>0</v>
      </c>
      <c r="Y40" s="601">
        <f t="shared" ref="Y40:Y103" si="19">IF($M40=0,0,VLOOKUP($M40,Kengetal,8,FALSE))</f>
        <v>0</v>
      </c>
      <c r="Z40" s="601">
        <f t="shared" ref="Z40:Z103" si="20">IF($N40=0,0,VLOOKUP($N40,Kengetal,6,FALSE))</f>
        <v>0</v>
      </c>
      <c r="AA40" s="601">
        <f t="shared" ref="AA40:AA103" si="21">IF($O40=0,0,VLOOKUP($O40,Kengetal,6,FALSE))</f>
        <v>0</v>
      </c>
      <c r="AB40" s="602" t="str">
        <f t="shared" ref="AB40:AB103" si="22">IF(M40="","",VLOOKUP(M40,Kengetal,15,FALSE))</f>
        <v>V</v>
      </c>
      <c r="AC40" s="847" t="s">
        <v>1235</v>
      </c>
      <c r="AD40" s="603">
        <f>(T40+U40+V40)*'1.0-Contractblad'!$K$69</f>
        <v>0</v>
      </c>
      <c r="AE40" s="603"/>
      <c r="AF40" s="58">
        <f t="shared" ref="AF40:AF103" si="23">IF(M40=8255,T40+U40,0)</f>
        <v>0</v>
      </c>
      <c r="AG40" s="58">
        <f t="shared" si="15"/>
        <v>3686.2799999999997</v>
      </c>
      <c r="AH40" s="58" t="str">
        <f t="shared" si="16"/>
        <v>3156-156</v>
      </c>
    </row>
    <row r="41" spans="1:34" ht="13">
      <c r="A41" s="134"/>
      <c r="B41" s="470"/>
      <c r="C41" s="471"/>
      <c r="D41" s="859">
        <f>VLOOKUP(E41,'1.1a-Jaarprijzen'!B:G,6,FALSE)</f>
        <v>2</v>
      </c>
      <c r="E41" s="845" t="s">
        <v>629</v>
      </c>
      <c r="F41" s="798" t="s">
        <v>469</v>
      </c>
      <c r="G41" s="799" t="s">
        <v>438</v>
      </c>
      <c r="H41" s="845" t="s">
        <v>453</v>
      </c>
      <c r="I41" s="573" t="str">
        <f t="shared" si="17"/>
        <v>entree, gang, hal, repro, kopieer</v>
      </c>
      <c r="J41" s="694" t="s">
        <v>462</v>
      </c>
      <c r="K41" s="800">
        <v>24.82</v>
      </c>
      <c r="L41" s="800"/>
      <c r="M41" s="867">
        <v>3156</v>
      </c>
      <c r="N41" s="868"/>
      <c r="O41" s="869"/>
      <c r="P41" s="869"/>
      <c r="Q41" s="866">
        <f t="shared" ref="Q41:Q104" si="24">VLOOKUP(M41,Kengetal,3,FALSE)+VLOOKUP(N41,Kengetal,3,FALSE)+VLOOKUP(O41,Kengetal,3,FALSE)</f>
        <v>156</v>
      </c>
      <c r="R41" s="600">
        <v>1</v>
      </c>
      <c r="S41" s="600">
        <v>1</v>
      </c>
      <c r="T41" s="468">
        <f t="shared" ref="T41:T104" si="25">X41*K41*R41</f>
        <v>0</v>
      </c>
      <c r="U41" s="468">
        <f t="shared" ref="U41:U104" si="26">Y41*K41*S41</f>
        <v>0</v>
      </c>
      <c r="V41" s="468">
        <f t="shared" ref="V41:V104" si="27">Z41*K41*R41</f>
        <v>0</v>
      </c>
      <c r="W41" s="468">
        <f t="shared" ref="W41:W104" si="28">AA41*K41*U41</f>
        <v>0</v>
      </c>
      <c r="X41" s="601">
        <f t="shared" si="18"/>
        <v>0</v>
      </c>
      <c r="Y41" s="601">
        <f t="shared" si="19"/>
        <v>0</v>
      </c>
      <c r="Z41" s="601">
        <f t="shared" si="20"/>
        <v>0</v>
      </c>
      <c r="AA41" s="601">
        <f t="shared" si="21"/>
        <v>0</v>
      </c>
      <c r="AB41" s="602" t="str">
        <f t="shared" si="22"/>
        <v>V</v>
      </c>
      <c r="AC41" s="847" t="s">
        <v>1235</v>
      </c>
      <c r="AD41" s="603">
        <f>(T41+U41+V41)*'1.0-Contractblad'!$K$69</f>
        <v>0</v>
      </c>
      <c r="AE41" s="603"/>
      <c r="AF41" s="58">
        <f t="shared" si="23"/>
        <v>0</v>
      </c>
      <c r="AG41" s="58">
        <f t="shared" ref="AG41:AG104" si="29">K41*Q41</f>
        <v>3871.92</v>
      </c>
      <c r="AH41" s="58" t="str">
        <f t="shared" ref="AH41:AH104" si="30">CONCATENATE(M41,"-",Q41)</f>
        <v>3156-156</v>
      </c>
    </row>
    <row r="42" spans="1:34" ht="13">
      <c r="A42" s="134"/>
      <c r="B42" s="470"/>
      <c r="C42" s="471"/>
      <c r="D42" s="859">
        <f>VLOOKUP(E42,'1.1a-Jaarprijzen'!B:G,6,FALSE)</f>
        <v>2</v>
      </c>
      <c r="E42" s="845" t="s">
        <v>629</v>
      </c>
      <c r="F42" s="798" t="s">
        <v>469</v>
      </c>
      <c r="G42" s="799" t="s">
        <v>439</v>
      </c>
      <c r="H42" s="573" t="s">
        <v>545</v>
      </c>
      <c r="I42" s="573" t="str">
        <f t="shared" si="17"/>
        <v>labruimte</v>
      </c>
      <c r="J42" s="694" t="s">
        <v>477</v>
      </c>
      <c r="K42" s="800">
        <v>51.56</v>
      </c>
      <c r="L42" s="800"/>
      <c r="M42" s="867">
        <v>8156</v>
      </c>
      <c r="N42" s="868"/>
      <c r="O42" s="869"/>
      <c r="P42" s="869"/>
      <c r="Q42" s="866">
        <f t="shared" si="24"/>
        <v>156</v>
      </c>
      <c r="R42" s="600">
        <v>1</v>
      </c>
      <c r="S42" s="600">
        <v>1</v>
      </c>
      <c r="T42" s="468">
        <f t="shared" si="25"/>
        <v>0</v>
      </c>
      <c r="U42" s="468">
        <f t="shared" si="26"/>
        <v>0</v>
      </c>
      <c r="V42" s="468">
        <f t="shared" si="27"/>
        <v>0</v>
      </c>
      <c r="W42" s="468">
        <f t="shared" si="28"/>
        <v>0</v>
      </c>
      <c r="X42" s="601">
        <f t="shared" si="18"/>
        <v>0</v>
      </c>
      <c r="Y42" s="601">
        <f t="shared" si="19"/>
        <v>0</v>
      </c>
      <c r="Z42" s="601">
        <f t="shared" si="20"/>
        <v>0</v>
      </c>
      <c r="AA42" s="601">
        <f t="shared" si="21"/>
        <v>0</v>
      </c>
      <c r="AB42" s="602" t="str">
        <f t="shared" si="22"/>
        <v>V</v>
      </c>
      <c r="AC42" s="847" t="s">
        <v>1235</v>
      </c>
      <c r="AD42" s="603">
        <f>(T42+U42+V42)*'1.0-Contractblad'!$K$69</f>
        <v>0</v>
      </c>
      <c r="AE42" s="603"/>
      <c r="AF42" s="58">
        <f t="shared" si="23"/>
        <v>0</v>
      </c>
      <c r="AG42" s="58">
        <f t="shared" si="29"/>
        <v>8043.3600000000006</v>
      </c>
      <c r="AH42" s="58" t="str">
        <f t="shared" si="30"/>
        <v>8156-156</v>
      </c>
    </row>
    <row r="43" spans="1:34" ht="13">
      <c r="A43" s="134"/>
      <c r="B43" s="470"/>
      <c r="C43" s="471"/>
      <c r="D43" s="859">
        <f>VLOOKUP(E43,'1.1a-Jaarprijzen'!B:G,6,FALSE)</f>
        <v>2</v>
      </c>
      <c r="E43" s="845" t="s">
        <v>629</v>
      </c>
      <c r="F43" s="798" t="s">
        <v>469</v>
      </c>
      <c r="G43" s="799" t="s">
        <v>440</v>
      </c>
      <c r="H43" s="573" t="s">
        <v>603</v>
      </c>
      <c r="I43" s="573" t="str">
        <f t="shared" si="17"/>
        <v>niet van toepassing</v>
      </c>
      <c r="J43" s="694" t="s">
        <v>462</v>
      </c>
      <c r="K43" s="800"/>
      <c r="L43" s="800">
        <v>7.6</v>
      </c>
      <c r="M43" s="867" t="s">
        <v>19</v>
      </c>
      <c r="N43" s="868"/>
      <c r="O43" s="869"/>
      <c r="P43" s="869"/>
      <c r="Q43" s="866">
        <f t="shared" si="24"/>
        <v>0</v>
      </c>
      <c r="R43" s="600">
        <v>1</v>
      </c>
      <c r="S43" s="600">
        <v>1</v>
      </c>
      <c r="T43" s="468">
        <f t="shared" si="25"/>
        <v>0</v>
      </c>
      <c r="U43" s="468">
        <f t="shared" si="26"/>
        <v>0</v>
      </c>
      <c r="V43" s="468">
        <f t="shared" si="27"/>
        <v>0</v>
      </c>
      <c r="W43" s="468">
        <f t="shared" si="28"/>
        <v>0</v>
      </c>
      <c r="X43" s="601">
        <f t="shared" si="18"/>
        <v>0</v>
      </c>
      <c r="Y43" s="601">
        <f t="shared" si="19"/>
        <v>0</v>
      </c>
      <c r="Z43" s="601">
        <f t="shared" si="20"/>
        <v>0</v>
      </c>
      <c r="AA43" s="601">
        <f t="shared" si="21"/>
        <v>0</v>
      </c>
      <c r="AB43" s="602">
        <f t="shared" si="22"/>
        <v>0</v>
      </c>
      <c r="AC43" s="847"/>
      <c r="AD43" s="603">
        <f>(T43+U43+V43)*'1.0-Contractblad'!$K$69</f>
        <v>0</v>
      </c>
      <c r="AE43" s="603"/>
      <c r="AF43" s="58">
        <f t="shared" si="23"/>
        <v>0</v>
      </c>
      <c r="AG43" s="58">
        <f t="shared" si="29"/>
        <v>0</v>
      </c>
      <c r="AH43" s="58" t="str">
        <f t="shared" si="30"/>
        <v>nvt-0</v>
      </c>
    </row>
    <row r="44" spans="1:34" ht="13">
      <c r="A44" s="134"/>
      <c r="B44" s="470"/>
      <c r="C44" s="471"/>
      <c r="D44" s="859">
        <f>VLOOKUP(E44,'1.1a-Jaarprijzen'!B:G,6,FALSE)</f>
        <v>2</v>
      </c>
      <c r="E44" s="845" t="s">
        <v>629</v>
      </c>
      <c r="F44" s="798" t="s">
        <v>469</v>
      </c>
      <c r="G44" s="799" t="s">
        <v>441</v>
      </c>
      <c r="H44" s="573" t="s">
        <v>452</v>
      </c>
      <c r="I44" s="573" t="str">
        <f t="shared" si="17"/>
        <v>administratieve -, personeels- en vergaderruimte</v>
      </c>
      <c r="J44" s="694" t="s">
        <v>572</v>
      </c>
      <c r="K44" s="800">
        <v>10.220000000000001</v>
      </c>
      <c r="L44" s="800"/>
      <c r="M44" s="867">
        <v>1156</v>
      </c>
      <c r="N44" s="868"/>
      <c r="O44" s="869"/>
      <c r="P44" s="869"/>
      <c r="Q44" s="866">
        <f t="shared" si="24"/>
        <v>156</v>
      </c>
      <c r="R44" s="600">
        <v>1</v>
      </c>
      <c r="S44" s="600">
        <v>1</v>
      </c>
      <c r="T44" s="468">
        <f t="shared" si="25"/>
        <v>0</v>
      </c>
      <c r="U44" s="468">
        <f t="shared" si="26"/>
        <v>0</v>
      </c>
      <c r="V44" s="468">
        <f t="shared" si="27"/>
        <v>0</v>
      </c>
      <c r="W44" s="468">
        <f t="shared" si="28"/>
        <v>0</v>
      </c>
      <c r="X44" s="601">
        <f t="shared" si="18"/>
        <v>0</v>
      </c>
      <c r="Y44" s="601">
        <f t="shared" si="19"/>
        <v>0</v>
      </c>
      <c r="Z44" s="601">
        <f t="shared" si="20"/>
        <v>0</v>
      </c>
      <c r="AA44" s="601">
        <f t="shared" si="21"/>
        <v>0</v>
      </c>
      <c r="AB44" s="602" t="str">
        <f t="shared" si="22"/>
        <v>B</v>
      </c>
      <c r="AC44" s="847" t="s">
        <v>1235</v>
      </c>
      <c r="AD44" s="603">
        <f>(T44+U44+V44)*'1.0-Contractblad'!$K$69</f>
        <v>0</v>
      </c>
      <c r="AE44" s="603"/>
      <c r="AF44" s="58">
        <f t="shared" si="23"/>
        <v>0</v>
      </c>
      <c r="AG44" s="58">
        <f t="shared" si="29"/>
        <v>1594.3200000000002</v>
      </c>
      <c r="AH44" s="58" t="str">
        <f t="shared" si="30"/>
        <v>1156-156</v>
      </c>
    </row>
    <row r="45" spans="1:34" ht="13">
      <c r="A45" s="134"/>
      <c r="B45" s="470"/>
      <c r="C45" s="471"/>
      <c r="D45" s="859">
        <f>VLOOKUP(E45,'1.1a-Jaarprijzen'!B:G,6,FALSE)</f>
        <v>2</v>
      </c>
      <c r="E45" s="845" t="s">
        <v>629</v>
      </c>
      <c r="F45" s="798" t="s">
        <v>469</v>
      </c>
      <c r="G45" s="799" t="s">
        <v>442</v>
      </c>
      <c r="H45" s="573" t="s">
        <v>604</v>
      </c>
      <c r="I45" s="573" t="str">
        <f t="shared" si="17"/>
        <v>niet van toepassing</v>
      </c>
      <c r="J45" s="694" t="s">
        <v>455</v>
      </c>
      <c r="K45" s="800"/>
      <c r="L45" s="800">
        <v>21.41</v>
      </c>
      <c r="M45" s="867" t="s">
        <v>19</v>
      </c>
      <c r="N45" s="868"/>
      <c r="O45" s="869"/>
      <c r="P45" s="869"/>
      <c r="Q45" s="866">
        <f t="shared" si="24"/>
        <v>0</v>
      </c>
      <c r="R45" s="600">
        <v>1</v>
      </c>
      <c r="S45" s="600">
        <v>1</v>
      </c>
      <c r="T45" s="468">
        <f t="shared" si="25"/>
        <v>0</v>
      </c>
      <c r="U45" s="468">
        <f t="shared" si="26"/>
        <v>0</v>
      </c>
      <c r="V45" s="468">
        <f t="shared" si="27"/>
        <v>0</v>
      </c>
      <c r="W45" s="468">
        <f t="shared" si="28"/>
        <v>0</v>
      </c>
      <c r="X45" s="601">
        <f t="shared" si="18"/>
        <v>0</v>
      </c>
      <c r="Y45" s="601">
        <f t="shared" si="19"/>
        <v>0</v>
      </c>
      <c r="Z45" s="601">
        <f t="shared" si="20"/>
        <v>0</v>
      </c>
      <c r="AA45" s="601">
        <f t="shared" si="21"/>
        <v>0</v>
      </c>
      <c r="AB45" s="602">
        <f t="shared" si="22"/>
        <v>0</v>
      </c>
      <c r="AC45" s="847"/>
      <c r="AD45" s="603">
        <f>(T45+U45+V45)*'1.0-Contractblad'!$K$69</f>
        <v>0</v>
      </c>
      <c r="AE45" s="603"/>
      <c r="AF45" s="58">
        <f t="shared" si="23"/>
        <v>0</v>
      </c>
      <c r="AG45" s="58">
        <f t="shared" si="29"/>
        <v>0</v>
      </c>
      <c r="AH45" s="58" t="str">
        <f t="shared" si="30"/>
        <v>nvt-0</v>
      </c>
    </row>
    <row r="46" spans="1:34" ht="13">
      <c r="A46" s="134"/>
      <c r="B46" s="470"/>
      <c r="C46" s="471"/>
      <c r="D46" s="859">
        <f>VLOOKUP(E46,'1.1a-Jaarprijzen'!B:G,6,FALSE)</f>
        <v>2</v>
      </c>
      <c r="E46" s="845" t="s">
        <v>629</v>
      </c>
      <c r="F46" s="798" t="s">
        <v>469</v>
      </c>
      <c r="G46" s="799" t="s">
        <v>443</v>
      </c>
      <c r="H46" s="845" t="s">
        <v>605</v>
      </c>
      <c r="I46" s="573" t="str">
        <f t="shared" si="17"/>
        <v>niet van toepassing</v>
      </c>
      <c r="J46" s="694" t="s">
        <v>326</v>
      </c>
      <c r="K46" s="800"/>
      <c r="L46" s="800">
        <v>19.63</v>
      </c>
      <c r="M46" s="867" t="s">
        <v>19</v>
      </c>
      <c r="N46" s="868"/>
      <c r="O46" s="869"/>
      <c r="P46" s="869"/>
      <c r="Q46" s="866">
        <f t="shared" si="24"/>
        <v>0</v>
      </c>
      <c r="R46" s="600">
        <v>1</v>
      </c>
      <c r="S46" s="600">
        <v>1</v>
      </c>
      <c r="T46" s="468">
        <f t="shared" si="25"/>
        <v>0</v>
      </c>
      <c r="U46" s="468">
        <f t="shared" si="26"/>
        <v>0</v>
      </c>
      <c r="V46" s="468">
        <f t="shared" si="27"/>
        <v>0</v>
      </c>
      <c r="W46" s="468">
        <f t="shared" si="28"/>
        <v>0</v>
      </c>
      <c r="X46" s="601">
        <f t="shared" si="18"/>
        <v>0</v>
      </c>
      <c r="Y46" s="601">
        <f t="shared" si="19"/>
        <v>0</v>
      </c>
      <c r="Z46" s="601">
        <f t="shared" si="20"/>
        <v>0</v>
      </c>
      <c r="AA46" s="601">
        <f t="shared" si="21"/>
        <v>0</v>
      </c>
      <c r="AB46" s="602">
        <f t="shared" si="22"/>
        <v>0</v>
      </c>
      <c r="AC46" s="847"/>
      <c r="AD46" s="603">
        <f>(T46+U46+V46)*'1.0-Contractblad'!$K$69</f>
        <v>0</v>
      </c>
      <c r="AE46" s="603"/>
      <c r="AF46" s="58">
        <f t="shared" si="23"/>
        <v>0</v>
      </c>
      <c r="AG46" s="58">
        <f t="shared" si="29"/>
        <v>0</v>
      </c>
      <c r="AH46" s="58" t="str">
        <f t="shared" si="30"/>
        <v>nvt-0</v>
      </c>
    </row>
    <row r="47" spans="1:34" ht="13">
      <c r="A47" s="134"/>
      <c r="B47" s="470"/>
      <c r="C47" s="471"/>
      <c r="D47" s="859">
        <f>VLOOKUP(E47,'1.1a-Jaarprijzen'!B:G,6,FALSE)</f>
        <v>2</v>
      </c>
      <c r="E47" s="845" t="s">
        <v>629</v>
      </c>
      <c r="F47" s="798" t="s">
        <v>469</v>
      </c>
      <c r="G47" s="799" t="s">
        <v>444</v>
      </c>
      <c r="H47" s="573" t="s">
        <v>514</v>
      </c>
      <c r="I47" s="573" t="str">
        <f t="shared" si="17"/>
        <v>administratieve -, personeels- en vergaderruimte</v>
      </c>
      <c r="J47" s="694" t="s">
        <v>455</v>
      </c>
      <c r="K47" s="800">
        <v>16.21</v>
      </c>
      <c r="L47" s="800"/>
      <c r="M47" s="867">
        <v>1156</v>
      </c>
      <c r="N47" s="868"/>
      <c r="O47" s="869"/>
      <c r="P47" s="869"/>
      <c r="Q47" s="866">
        <f t="shared" si="24"/>
        <v>156</v>
      </c>
      <c r="R47" s="600">
        <v>1</v>
      </c>
      <c r="S47" s="600">
        <v>1</v>
      </c>
      <c r="T47" s="468">
        <f t="shared" si="25"/>
        <v>0</v>
      </c>
      <c r="U47" s="468">
        <f t="shared" si="26"/>
        <v>0</v>
      </c>
      <c r="V47" s="468">
        <f t="shared" si="27"/>
        <v>0</v>
      </c>
      <c r="W47" s="468">
        <f t="shared" si="28"/>
        <v>0</v>
      </c>
      <c r="X47" s="601">
        <f t="shared" si="18"/>
        <v>0</v>
      </c>
      <c r="Y47" s="601">
        <f t="shared" si="19"/>
        <v>0</v>
      </c>
      <c r="Z47" s="601">
        <f t="shared" si="20"/>
        <v>0</v>
      </c>
      <c r="AA47" s="601">
        <f t="shared" si="21"/>
        <v>0</v>
      </c>
      <c r="AB47" s="602" t="str">
        <f t="shared" si="22"/>
        <v>B</v>
      </c>
      <c r="AC47" s="847" t="s">
        <v>1235</v>
      </c>
      <c r="AD47" s="603">
        <f>(T47+U47+V47)*'1.0-Contractblad'!$K$69</f>
        <v>0</v>
      </c>
      <c r="AE47" s="603"/>
      <c r="AF47" s="58">
        <f t="shared" si="23"/>
        <v>0</v>
      </c>
      <c r="AG47" s="58">
        <f t="shared" si="29"/>
        <v>2528.7600000000002</v>
      </c>
      <c r="AH47" s="58" t="str">
        <f t="shared" si="30"/>
        <v>1156-156</v>
      </c>
    </row>
    <row r="48" spans="1:34" ht="13">
      <c r="A48" s="134"/>
      <c r="B48" s="470"/>
      <c r="C48" s="471"/>
      <c r="D48" s="859">
        <f>VLOOKUP(E48,'1.1a-Jaarprijzen'!B:G,6,FALSE)</f>
        <v>2</v>
      </c>
      <c r="E48" s="845" t="s">
        <v>629</v>
      </c>
      <c r="F48" s="798" t="s">
        <v>469</v>
      </c>
      <c r="G48" s="799" t="s">
        <v>445</v>
      </c>
      <c r="H48" s="573" t="s">
        <v>606</v>
      </c>
      <c r="I48" s="573" t="str">
        <f t="shared" si="17"/>
        <v>verblijfsruimte</v>
      </c>
      <c r="J48" s="694" t="s">
        <v>455</v>
      </c>
      <c r="K48" s="800">
        <v>26.03</v>
      </c>
      <c r="L48" s="800"/>
      <c r="M48" s="867">
        <v>15156</v>
      </c>
      <c r="N48" s="868"/>
      <c r="O48" s="869"/>
      <c r="P48" s="869"/>
      <c r="Q48" s="866">
        <f t="shared" si="24"/>
        <v>156</v>
      </c>
      <c r="R48" s="600">
        <v>1</v>
      </c>
      <c r="S48" s="600">
        <v>1</v>
      </c>
      <c r="T48" s="468">
        <f t="shared" si="25"/>
        <v>0</v>
      </c>
      <c r="U48" s="468">
        <f t="shared" si="26"/>
        <v>0</v>
      </c>
      <c r="V48" s="468">
        <f t="shared" si="27"/>
        <v>0</v>
      </c>
      <c r="W48" s="468">
        <f t="shared" si="28"/>
        <v>0</v>
      </c>
      <c r="X48" s="601">
        <f t="shared" si="18"/>
        <v>0</v>
      </c>
      <c r="Y48" s="601">
        <f t="shared" si="19"/>
        <v>0</v>
      </c>
      <c r="Z48" s="601">
        <f t="shared" si="20"/>
        <v>0</v>
      </c>
      <c r="AA48" s="601">
        <f t="shared" si="21"/>
        <v>0</v>
      </c>
      <c r="AB48" s="602" t="str">
        <f t="shared" si="22"/>
        <v>V</v>
      </c>
      <c r="AC48" s="847" t="s">
        <v>1235</v>
      </c>
      <c r="AD48" s="603">
        <f>(T48+U48+V48)*'1.0-Contractblad'!$K$69</f>
        <v>0</v>
      </c>
      <c r="AE48" s="603"/>
      <c r="AF48" s="58">
        <f t="shared" si="23"/>
        <v>0</v>
      </c>
      <c r="AG48" s="58">
        <f t="shared" si="29"/>
        <v>4060.6800000000003</v>
      </c>
      <c r="AH48" s="58" t="str">
        <f t="shared" si="30"/>
        <v>15156-156</v>
      </c>
    </row>
    <row r="49" spans="1:34" ht="13">
      <c r="A49" s="134"/>
      <c r="B49" s="470"/>
      <c r="C49" s="471"/>
      <c r="D49" s="859">
        <f>VLOOKUP(E49,'1.1a-Jaarprijzen'!B:G,6,FALSE)</f>
        <v>2</v>
      </c>
      <c r="E49" s="845" t="s">
        <v>629</v>
      </c>
      <c r="F49" s="798" t="s">
        <v>469</v>
      </c>
      <c r="G49" s="799" t="s">
        <v>446</v>
      </c>
      <c r="H49" s="573" t="s">
        <v>489</v>
      </c>
      <c r="I49" s="573" t="str">
        <f t="shared" si="17"/>
        <v>administratieve -, personeels- en vergaderruimte</v>
      </c>
      <c r="J49" s="694" t="s">
        <v>462</v>
      </c>
      <c r="K49" s="800">
        <v>56.6</v>
      </c>
      <c r="L49" s="800"/>
      <c r="M49" s="867">
        <v>1156</v>
      </c>
      <c r="N49" s="868"/>
      <c r="O49" s="869"/>
      <c r="P49" s="869"/>
      <c r="Q49" s="866">
        <f t="shared" si="24"/>
        <v>156</v>
      </c>
      <c r="R49" s="600">
        <v>1</v>
      </c>
      <c r="S49" s="600">
        <v>1</v>
      </c>
      <c r="T49" s="468">
        <f t="shared" si="25"/>
        <v>0</v>
      </c>
      <c r="U49" s="468">
        <f t="shared" si="26"/>
        <v>0</v>
      </c>
      <c r="V49" s="468">
        <f t="shared" si="27"/>
        <v>0</v>
      </c>
      <c r="W49" s="468">
        <f t="shared" si="28"/>
        <v>0</v>
      </c>
      <c r="X49" s="601">
        <f t="shared" si="18"/>
        <v>0</v>
      </c>
      <c r="Y49" s="601">
        <f t="shared" si="19"/>
        <v>0</v>
      </c>
      <c r="Z49" s="601">
        <f t="shared" si="20"/>
        <v>0</v>
      </c>
      <c r="AA49" s="601">
        <f t="shared" si="21"/>
        <v>0</v>
      </c>
      <c r="AB49" s="602" t="str">
        <f t="shared" si="22"/>
        <v>B</v>
      </c>
      <c r="AC49" s="847" t="s">
        <v>1235</v>
      </c>
      <c r="AD49" s="603">
        <f>(T49+U49+V49)*'1.0-Contractblad'!$K$69</f>
        <v>0</v>
      </c>
      <c r="AE49" s="603"/>
      <c r="AF49" s="58">
        <f t="shared" si="23"/>
        <v>0</v>
      </c>
      <c r="AG49" s="58">
        <f t="shared" si="29"/>
        <v>8829.6</v>
      </c>
      <c r="AH49" s="58" t="str">
        <f t="shared" si="30"/>
        <v>1156-156</v>
      </c>
    </row>
    <row r="50" spans="1:34" ht="13">
      <c r="A50" s="134"/>
      <c r="B50" s="470"/>
      <c r="C50" s="471"/>
      <c r="D50" s="859">
        <f>VLOOKUP(E50,'1.1a-Jaarprijzen'!B:G,6,FALSE)</f>
        <v>2</v>
      </c>
      <c r="E50" s="845" t="s">
        <v>629</v>
      </c>
      <c r="F50" s="798" t="s">
        <v>469</v>
      </c>
      <c r="G50" s="799" t="s">
        <v>447</v>
      </c>
      <c r="H50" s="573" t="s">
        <v>607</v>
      </c>
      <c r="I50" s="573" t="str">
        <f t="shared" si="17"/>
        <v>niet van toepassing</v>
      </c>
      <c r="J50" s="694" t="s">
        <v>326</v>
      </c>
      <c r="K50" s="800"/>
      <c r="L50" s="800">
        <v>10.33</v>
      </c>
      <c r="M50" s="867" t="s">
        <v>19</v>
      </c>
      <c r="N50" s="868"/>
      <c r="O50" s="869"/>
      <c r="P50" s="869"/>
      <c r="Q50" s="866">
        <f t="shared" si="24"/>
        <v>0</v>
      </c>
      <c r="R50" s="600">
        <v>1</v>
      </c>
      <c r="S50" s="600">
        <v>1</v>
      </c>
      <c r="T50" s="468">
        <f t="shared" si="25"/>
        <v>0</v>
      </c>
      <c r="U50" s="468">
        <f t="shared" si="26"/>
        <v>0</v>
      </c>
      <c r="V50" s="468">
        <f t="shared" si="27"/>
        <v>0</v>
      </c>
      <c r="W50" s="468">
        <f t="shared" si="28"/>
        <v>0</v>
      </c>
      <c r="X50" s="601">
        <f t="shared" si="18"/>
        <v>0</v>
      </c>
      <c r="Y50" s="601">
        <f t="shared" si="19"/>
        <v>0</v>
      </c>
      <c r="Z50" s="601">
        <f t="shared" si="20"/>
        <v>0</v>
      </c>
      <c r="AA50" s="601">
        <f t="shared" si="21"/>
        <v>0</v>
      </c>
      <c r="AB50" s="602">
        <f t="shared" si="22"/>
        <v>0</v>
      </c>
      <c r="AC50" s="847"/>
      <c r="AD50" s="603">
        <f>(T50+U50+V50)*'1.0-Contractblad'!$K$69</f>
        <v>0</v>
      </c>
      <c r="AE50" s="603"/>
      <c r="AF50" s="58">
        <f t="shared" si="23"/>
        <v>0</v>
      </c>
      <c r="AG50" s="58">
        <f t="shared" si="29"/>
        <v>0</v>
      </c>
      <c r="AH50" s="58" t="str">
        <f t="shared" si="30"/>
        <v>nvt-0</v>
      </c>
    </row>
    <row r="51" spans="1:34" ht="13">
      <c r="A51" s="134"/>
      <c r="B51" s="470"/>
      <c r="C51" s="471"/>
      <c r="D51" s="859">
        <f>VLOOKUP(E51,'1.1a-Jaarprijzen'!B:G,6,FALSE)</f>
        <v>2</v>
      </c>
      <c r="E51" s="845" t="s">
        <v>629</v>
      </c>
      <c r="F51" s="798" t="s">
        <v>469</v>
      </c>
      <c r="G51" s="799" t="s">
        <v>448</v>
      </c>
      <c r="H51" s="573" t="s">
        <v>608</v>
      </c>
      <c r="I51" s="573" t="str">
        <f t="shared" si="17"/>
        <v>niet van toepassing</v>
      </c>
      <c r="J51" s="694" t="s">
        <v>326</v>
      </c>
      <c r="K51" s="800"/>
      <c r="L51" s="800">
        <v>10.33</v>
      </c>
      <c r="M51" s="867" t="s">
        <v>19</v>
      </c>
      <c r="N51" s="868"/>
      <c r="O51" s="869"/>
      <c r="P51" s="869"/>
      <c r="Q51" s="866">
        <f t="shared" si="24"/>
        <v>0</v>
      </c>
      <c r="R51" s="600">
        <v>1</v>
      </c>
      <c r="S51" s="600">
        <v>1</v>
      </c>
      <c r="T51" s="468">
        <f t="shared" si="25"/>
        <v>0</v>
      </c>
      <c r="U51" s="468">
        <f t="shared" si="26"/>
        <v>0</v>
      </c>
      <c r="V51" s="468">
        <f t="shared" si="27"/>
        <v>0</v>
      </c>
      <c r="W51" s="468">
        <f t="shared" si="28"/>
        <v>0</v>
      </c>
      <c r="X51" s="601">
        <f t="shared" si="18"/>
        <v>0</v>
      </c>
      <c r="Y51" s="601">
        <f t="shared" si="19"/>
        <v>0</v>
      </c>
      <c r="Z51" s="601">
        <f t="shared" si="20"/>
        <v>0</v>
      </c>
      <c r="AA51" s="601">
        <f t="shared" si="21"/>
        <v>0</v>
      </c>
      <c r="AB51" s="602">
        <f t="shared" si="22"/>
        <v>0</v>
      </c>
      <c r="AC51" s="847"/>
      <c r="AD51" s="603">
        <f>(T51+U51+V51)*'1.0-Contractblad'!$K$69</f>
        <v>0</v>
      </c>
      <c r="AE51" s="603"/>
      <c r="AF51" s="58">
        <f t="shared" si="23"/>
        <v>0</v>
      </c>
      <c r="AG51" s="58">
        <f t="shared" si="29"/>
        <v>0</v>
      </c>
      <c r="AH51" s="58" t="str">
        <f t="shared" si="30"/>
        <v>nvt-0</v>
      </c>
    </row>
    <row r="52" spans="1:34" ht="13">
      <c r="A52" s="134"/>
      <c r="B52" s="470"/>
      <c r="C52" s="471"/>
      <c r="D52" s="859">
        <f>VLOOKUP(E52,'1.1a-Jaarprijzen'!B:G,6,FALSE)</f>
        <v>2</v>
      </c>
      <c r="E52" s="845" t="s">
        <v>629</v>
      </c>
      <c r="F52" s="798" t="s">
        <v>469</v>
      </c>
      <c r="G52" s="799" t="s">
        <v>449</v>
      </c>
      <c r="H52" s="573" t="s">
        <v>609</v>
      </c>
      <c r="I52" s="573" t="str">
        <f t="shared" si="17"/>
        <v>entree, gang, hal, repro, kopieer</v>
      </c>
      <c r="J52" s="694" t="s">
        <v>462</v>
      </c>
      <c r="K52" s="800">
        <v>9.07</v>
      </c>
      <c r="L52" s="800"/>
      <c r="M52" s="867">
        <v>3156</v>
      </c>
      <c r="N52" s="868"/>
      <c r="O52" s="869"/>
      <c r="P52" s="869"/>
      <c r="Q52" s="866">
        <f t="shared" si="24"/>
        <v>156</v>
      </c>
      <c r="R52" s="600">
        <v>1</v>
      </c>
      <c r="S52" s="600">
        <v>1</v>
      </c>
      <c r="T52" s="468">
        <f t="shared" si="25"/>
        <v>0</v>
      </c>
      <c r="U52" s="468">
        <f t="shared" si="26"/>
        <v>0</v>
      </c>
      <c r="V52" s="468">
        <f t="shared" si="27"/>
        <v>0</v>
      </c>
      <c r="W52" s="468">
        <f t="shared" si="28"/>
        <v>0</v>
      </c>
      <c r="X52" s="601">
        <f t="shared" si="18"/>
        <v>0</v>
      </c>
      <c r="Y52" s="601">
        <f t="shared" si="19"/>
        <v>0</v>
      </c>
      <c r="Z52" s="601">
        <f t="shared" si="20"/>
        <v>0</v>
      </c>
      <c r="AA52" s="601">
        <f t="shared" si="21"/>
        <v>0</v>
      </c>
      <c r="AB52" s="602" t="str">
        <f t="shared" si="22"/>
        <v>V</v>
      </c>
      <c r="AC52" s="847" t="s">
        <v>1235</v>
      </c>
      <c r="AD52" s="603">
        <f>(T52+U52+V52)*'1.0-Contractblad'!$K$69</f>
        <v>0</v>
      </c>
      <c r="AE52" s="603"/>
      <c r="AF52" s="58">
        <f t="shared" si="23"/>
        <v>0</v>
      </c>
      <c r="AG52" s="58">
        <f t="shared" si="29"/>
        <v>1414.92</v>
      </c>
      <c r="AH52" s="58" t="str">
        <f t="shared" si="30"/>
        <v>3156-156</v>
      </c>
    </row>
    <row r="53" spans="1:34" ht="13">
      <c r="A53" s="134"/>
      <c r="B53" s="470"/>
      <c r="C53" s="471"/>
      <c r="D53" s="859">
        <f>VLOOKUP(E53,'1.1a-Jaarprijzen'!B:G,6,FALSE)</f>
        <v>2</v>
      </c>
      <c r="E53" s="845" t="s">
        <v>629</v>
      </c>
      <c r="F53" s="798" t="s">
        <v>469</v>
      </c>
      <c r="G53" s="799" t="s">
        <v>450</v>
      </c>
      <c r="H53" s="573" t="s">
        <v>610</v>
      </c>
      <c r="I53" s="573" t="str">
        <f t="shared" si="17"/>
        <v>entree, gang, hal, repro, kopieer</v>
      </c>
      <c r="J53" s="694" t="s">
        <v>54</v>
      </c>
      <c r="K53" s="800">
        <v>8.86</v>
      </c>
      <c r="L53" s="800"/>
      <c r="M53" s="867">
        <v>3156</v>
      </c>
      <c r="N53" s="868"/>
      <c r="O53" s="869"/>
      <c r="P53" s="869"/>
      <c r="Q53" s="866">
        <f t="shared" si="24"/>
        <v>156</v>
      </c>
      <c r="R53" s="600">
        <v>1</v>
      </c>
      <c r="S53" s="600">
        <v>1</v>
      </c>
      <c r="T53" s="468">
        <f t="shared" si="25"/>
        <v>0</v>
      </c>
      <c r="U53" s="468">
        <f t="shared" si="26"/>
        <v>0</v>
      </c>
      <c r="V53" s="468">
        <f t="shared" si="27"/>
        <v>0</v>
      </c>
      <c r="W53" s="468">
        <f t="shared" si="28"/>
        <v>0</v>
      </c>
      <c r="X53" s="601">
        <f t="shared" si="18"/>
        <v>0</v>
      </c>
      <c r="Y53" s="601">
        <f t="shared" si="19"/>
        <v>0</v>
      </c>
      <c r="Z53" s="601">
        <f t="shared" si="20"/>
        <v>0</v>
      </c>
      <c r="AA53" s="601">
        <f t="shared" si="21"/>
        <v>0</v>
      </c>
      <c r="AB53" s="602" t="str">
        <f t="shared" si="22"/>
        <v>V</v>
      </c>
      <c r="AC53" s="847" t="s">
        <v>1235</v>
      </c>
      <c r="AD53" s="603">
        <f>(T53+U53+V53)*'1.0-Contractblad'!$K$69</f>
        <v>0</v>
      </c>
      <c r="AE53" s="603"/>
      <c r="AF53" s="58">
        <f t="shared" si="23"/>
        <v>0</v>
      </c>
      <c r="AG53" s="58">
        <f t="shared" si="29"/>
        <v>1382.1599999999999</v>
      </c>
      <c r="AH53" s="58" t="str">
        <f t="shared" si="30"/>
        <v>3156-156</v>
      </c>
    </row>
    <row r="54" spans="1:34" ht="13">
      <c r="A54" s="134"/>
      <c r="B54" s="470"/>
      <c r="C54" s="471"/>
      <c r="D54" s="859">
        <f>VLOOKUP(E54,'1.1a-Jaarprijzen'!B:G,6,FALSE)</f>
        <v>2</v>
      </c>
      <c r="E54" s="845" t="s">
        <v>629</v>
      </c>
      <c r="F54" s="798" t="s">
        <v>469</v>
      </c>
      <c r="G54" s="799" t="s">
        <v>611</v>
      </c>
      <c r="H54" s="845" t="s">
        <v>491</v>
      </c>
      <c r="I54" s="573" t="str">
        <f t="shared" si="17"/>
        <v>kleedruimten</v>
      </c>
      <c r="J54" s="694" t="s">
        <v>462</v>
      </c>
      <c r="K54" s="800">
        <v>38.11</v>
      </c>
      <c r="L54" s="800"/>
      <c r="M54" s="867">
        <v>10156</v>
      </c>
      <c r="N54" s="868"/>
      <c r="O54" s="869"/>
      <c r="P54" s="869"/>
      <c r="Q54" s="866">
        <f t="shared" si="24"/>
        <v>156</v>
      </c>
      <c r="R54" s="600">
        <v>1</v>
      </c>
      <c r="S54" s="600">
        <v>1</v>
      </c>
      <c r="T54" s="468">
        <f t="shared" si="25"/>
        <v>0</v>
      </c>
      <c r="U54" s="468">
        <f t="shared" si="26"/>
        <v>0</v>
      </c>
      <c r="V54" s="468">
        <f t="shared" si="27"/>
        <v>0</v>
      </c>
      <c r="W54" s="468">
        <f t="shared" si="28"/>
        <v>0</v>
      </c>
      <c r="X54" s="601">
        <f t="shared" si="18"/>
        <v>0</v>
      </c>
      <c r="Y54" s="601">
        <f t="shared" si="19"/>
        <v>0</v>
      </c>
      <c r="Z54" s="601">
        <f t="shared" si="20"/>
        <v>0</v>
      </c>
      <c r="AA54" s="601">
        <f t="shared" si="21"/>
        <v>0</v>
      </c>
      <c r="AB54" s="602" t="str">
        <f t="shared" si="22"/>
        <v>V</v>
      </c>
      <c r="AC54" s="847" t="s">
        <v>1235</v>
      </c>
      <c r="AD54" s="603">
        <f>(T54+U54+V54)*'1.0-Contractblad'!$K$69</f>
        <v>0</v>
      </c>
      <c r="AE54" s="603"/>
      <c r="AF54" s="58">
        <f t="shared" si="23"/>
        <v>0</v>
      </c>
      <c r="AG54" s="58">
        <f t="shared" si="29"/>
        <v>5945.16</v>
      </c>
      <c r="AH54" s="58" t="str">
        <f t="shared" si="30"/>
        <v>10156-156</v>
      </c>
    </row>
    <row r="55" spans="1:34" ht="13">
      <c r="A55" s="134"/>
      <c r="B55" s="470"/>
      <c r="C55" s="471"/>
      <c r="D55" s="859">
        <f>VLOOKUP(E55,'1.1a-Jaarprijzen'!B:G,6,FALSE)</f>
        <v>2</v>
      </c>
      <c r="E55" s="845" t="s">
        <v>629</v>
      </c>
      <c r="F55" s="798" t="s">
        <v>469</v>
      </c>
      <c r="G55" s="799" t="s">
        <v>612</v>
      </c>
      <c r="H55" s="845" t="s">
        <v>493</v>
      </c>
      <c r="I55" s="573" t="str">
        <f t="shared" si="17"/>
        <v>sanitaire ruimte (toilet-/doucheruimte)</v>
      </c>
      <c r="J55" s="694" t="s">
        <v>462</v>
      </c>
      <c r="K55" s="800">
        <v>1.42</v>
      </c>
      <c r="L55" s="800"/>
      <c r="M55" s="867">
        <v>4156</v>
      </c>
      <c r="N55" s="868"/>
      <c r="O55" s="869"/>
      <c r="P55" s="869"/>
      <c r="Q55" s="866">
        <f t="shared" si="24"/>
        <v>156</v>
      </c>
      <c r="R55" s="600">
        <v>1</v>
      </c>
      <c r="S55" s="600">
        <v>1</v>
      </c>
      <c r="T55" s="468">
        <f t="shared" si="25"/>
        <v>0</v>
      </c>
      <c r="U55" s="468">
        <f t="shared" si="26"/>
        <v>0</v>
      </c>
      <c r="V55" s="468">
        <f t="shared" si="27"/>
        <v>0</v>
      </c>
      <c r="W55" s="468">
        <f t="shared" si="28"/>
        <v>0</v>
      </c>
      <c r="X55" s="601">
        <f t="shared" si="18"/>
        <v>0</v>
      </c>
      <c r="Y55" s="601">
        <f t="shared" si="19"/>
        <v>0</v>
      </c>
      <c r="Z55" s="601">
        <f t="shared" si="20"/>
        <v>0</v>
      </c>
      <c r="AA55" s="601">
        <f t="shared" si="21"/>
        <v>0</v>
      </c>
      <c r="AB55" s="602" t="str">
        <f t="shared" si="22"/>
        <v>S</v>
      </c>
      <c r="AC55" s="847" t="s">
        <v>1235</v>
      </c>
      <c r="AD55" s="603">
        <f>(T55+U55+V55)*'1.0-Contractblad'!$K$69</f>
        <v>0</v>
      </c>
      <c r="AE55" s="603"/>
      <c r="AF55" s="58">
        <f t="shared" si="23"/>
        <v>0</v>
      </c>
      <c r="AG55" s="58">
        <f t="shared" si="29"/>
        <v>221.51999999999998</v>
      </c>
      <c r="AH55" s="58" t="str">
        <f t="shared" si="30"/>
        <v>4156-156</v>
      </c>
    </row>
    <row r="56" spans="1:34" ht="13">
      <c r="A56" s="134"/>
      <c r="B56" s="470"/>
      <c r="C56" s="471"/>
      <c r="D56" s="859">
        <f>VLOOKUP(E56,'1.1a-Jaarprijzen'!B:G,6,FALSE)</f>
        <v>2</v>
      </c>
      <c r="E56" s="845" t="s">
        <v>629</v>
      </c>
      <c r="F56" s="798" t="s">
        <v>469</v>
      </c>
      <c r="G56" s="799" t="s">
        <v>613</v>
      </c>
      <c r="H56" s="845" t="s">
        <v>493</v>
      </c>
      <c r="I56" s="573" t="str">
        <f t="shared" si="17"/>
        <v>sanitaire ruimte (toilet-/doucheruimte)</v>
      </c>
      <c r="J56" s="694" t="s">
        <v>462</v>
      </c>
      <c r="K56" s="800">
        <v>1.42</v>
      </c>
      <c r="L56" s="800"/>
      <c r="M56" s="867">
        <v>4156</v>
      </c>
      <c r="N56" s="868"/>
      <c r="O56" s="869"/>
      <c r="P56" s="869"/>
      <c r="Q56" s="866">
        <f t="shared" si="24"/>
        <v>156</v>
      </c>
      <c r="R56" s="600">
        <v>1</v>
      </c>
      <c r="S56" s="600">
        <v>1</v>
      </c>
      <c r="T56" s="468">
        <f t="shared" si="25"/>
        <v>0</v>
      </c>
      <c r="U56" s="468">
        <f t="shared" si="26"/>
        <v>0</v>
      </c>
      <c r="V56" s="468">
        <f t="shared" si="27"/>
        <v>0</v>
      </c>
      <c r="W56" s="468">
        <f t="shared" si="28"/>
        <v>0</v>
      </c>
      <c r="X56" s="601">
        <f t="shared" si="18"/>
        <v>0</v>
      </c>
      <c r="Y56" s="601">
        <f t="shared" si="19"/>
        <v>0</v>
      </c>
      <c r="Z56" s="601">
        <f t="shared" si="20"/>
        <v>0</v>
      </c>
      <c r="AA56" s="601">
        <f t="shared" si="21"/>
        <v>0</v>
      </c>
      <c r="AB56" s="602" t="str">
        <f t="shared" si="22"/>
        <v>S</v>
      </c>
      <c r="AC56" s="847" t="s">
        <v>1235</v>
      </c>
      <c r="AD56" s="603">
        <f>(T56+U56+V56)*'1.0-Contractblad'!$K$69</f>
        <v>0</v>
      </c>
      <c r="AE56" s="603"/>
      <c r="AF56" s="58">
        <f t="shared" si="23"/>
        <v>0</v>
      </c>
      <c r="AG56" s="58">
        <f t="shared" si="29"/>
        <v>221.51999999999998</v>
      </c>
      <c r="AH56" s="58" t="str">
        <f t="shared" si="30"/>
        <v>4156-156</v>
      </c>
    </row>
    <row r="57" spans="1:34" ht="13">
      <c r="A57" s="134"/>
      <c r="B57" s="470"/>
      <c r="C57" s="471"/>
      <c r="D57" s="859">
        <f>VLOOKUP(E57,'1.1a-Jaarprijzen'!B:G,6,FALSE)</f>
        <v>2</v>
      </c>
      <c r="E57" s="845" t="s">
        <v>629</v>
      </c>
      <c r="F57" s="798" t="s">
        <v>469</v>
      </c>
      <c r="G57" s="799" t="s">
        <v>614</v>
      </c>
      <c r="H57" s="573" t="s">
        <v>493</v>
      </c>
      <c r="I57" s="573" t="str">
        <f t="shared" si="17"/>
        <v>sanitaire ruimte (toilet-/doucheruimte)</v>
      </c>
      <c r="J57" s="694" t="s">
        <v>462</v>
      </c>
      <c r="K57" s="800">
        <v>1.42</v>
      </c>
      <c r="L57" s="800"/>
      <c r="M57" s="867">
        <v>4156</v>
      </c>
      <c r="N57" s="868"/>
      <c r="O57" s="869"/>
      <c r="P57" s="869"/>
      <c r="Q57" s="866">
        <f t="shared" si="24"/>
        <v>156</v>
      </c>
      <c r="R57" s="600">
        <v>1</v>
      </c>
      <c r="S57" s="600">
        <v>1</v>
      </c>
      <c r="T57" s="468">
        <f t="shared" si="25"/>
        <v>0</v>
      </c>
      <c r="U57" s="468">
        <f t="shared" si="26"/>
        <v>0</v>
      </c>
      <c r="V57" s="468">
        <f t="shared" si="27"/>
        <v>0</v>
      </c>
      <c r="W57" s="468">
        <f t="shared" si="28"/>
        <v>0</v>
      </c>
      <c r="X57" s="601">
        <f t="shared" si="18"/>
        <v>0</v>
      </c>
      <c r="Y57" s="601">
        <f t="shared" si="19"/>
        <v>0</v>
      </c>
      <c r="Z57" s="601">
        <f t="shared" si="20"/>
        <v>0</v>
      </c>
      <c r="AA57" s="601">
        <f t="shared" si="21"/>
        <v>0</v>
      </c>
      <c r="AB57" s="602" t="str">
        <f t="shared" si="22"/>
        <v>S</v>
      </c>
      <c r="AC57" s="847" t="s">
        <v>1235</v>
      </c>
      <c r="AD57" s="603">
        <f>(T57+U57+V57)*'1.0-Contractblad'!$K$69</f>
        <v>0</v>
      </c>
      <c r="AE57" s="603"/>
      <c r="AF57" s="58">
        <f t="shared" si="23"/>
        <v>0</v>
      </c>
      <c r="AG57" s="58">
        <f t="shared" si="29"/>
        <v>221.51999999999998</v>
      </c>
      <c r="AH57" s="58" t="str">
        <f t="shared" si="30"/>
        <v>4156-156</v>
      </c>
    </row>
    <row r="58" spans="1:34" ht="13">
      <c r="A58" s="134"/>
      <c r="B58" s="470"/>
      <c r="C58" s="471"/>
      <c r="D58" s="859">
        <f>VLOOKUP(E58,'1.1a-Jaarprijzen'!B:G,6,FALSE)</f>
        <v>2</v>
      </c>
      <c r="E58" s="845" t="s">
        <v>629</v>
      </c>
      <c r="F58" s="798" t="s">
        <v>469</v>
      </c>
      <c r="G58" s="799" t="s">
        <v>615</v>
      </c>
      <c r="H58" s="573" t="s">
        <v>616</v>
      </c>
      <c r="I58" s="573" t="str">
        <f t="shared" si="17"/>
        <v>sanitaire ruimte (toilet-/doucheruimte)</v>
      </c>
      <c r="J58" s="694" t="s">
        <v>462</v>
      </c>
      <c r="K58" s="800">
        <v>1.42</v>
      </c>
      <c r="L58" s="800"/>
      <c r="M58" s="867">
        <v>4156</v>
      </c>
      <c r="N58" s="868"/>
      <c r="O58" s="869"/>
      <c r="P58" s="869"/>
      <c r="Q58" s="866">
        <f t="shared" si="24"/>
        <v>156</v>
      </c>
      <c r="R58" s="600">
        <v>1</v>
      </c>
      <c r="S58" s="600">
        <v>1</v>
      </c>
      <c r="T58" s="468">
        <f t="shared" si="25"/>
        <v>0</v>
      </c>
      <c r="U58" s="468">
        <f t="shared" si="26"/>
        <v>0</v>
      </c>
      <c r="V58" s="468">
        <f t="shared" si="27"/>
        <v>0</v>
      </c>
      <c r="W58" s="468">
        <f t="shared" si="28"/>
        <v>0</v>
      </c>
      <c r="X58" s="601">
        <f t="shared" si="18"/>
        <v>0</v>
      </c>
      <c r="Y58" s="601">
        <f t="shared" si="19"/>
        <v>0</v>
      </c>
      <c r="Z58" s="601">
        <f t="shared" si="20"/>
        <v>0</v>
      </c>
      <c r="AA58" s="601">
        <f t="shared" si="21"/>
        <v>0</v>
      </c>
      <c r="AB58" s="602" t="str">
        <f t="shared" si="22"/>
        <v>S</v>
      </c>
      <c r="AC58" s="847" t="s">
        <v>1235</v>
      </c>
      <c r="AD58" s="603">
        <f>(T58+U58+V58)*'1.0-Contractblad'!$K$69</f>
        <v>0</v>
      </c>
      <c r="AE58" s="603"/>
      <c r="AF58" s="58">
        <f t="shared" si="23"/>
        <v>0</v>
      </c>
      <c r="AG58" s="58">
        <f t="shared" si="29"/>
        <v>221.51999999999998</v>
      </c>
      <c r="AH58" s="58" t="str">
        <f t="shared" si="30"/>
        <v>4156-156</v>
      </c>
    </row>
    <row r="59" spans="1:34" ht="13">
      <c r="A59" s="134"/>
      <c r="B59" s="470"/>
      <c r="C59" s="471"/>
      <c r="D59" s="859">
        <f>VLOOKUP(E59,'1.1a-Jaarprijzen'!B:G,6,FALSE)</f>
        <v>2</v>
      </c>
      <c r="E59" s="845" t="s">
        <v>629</v>
      </c>
      <c r="F59" s="798" t="s">
        <v>469</v>
      </c>
      <c r="G59" s="799" t="s">
        <v>617</v>
      </c>
      <c r="H59" s="573" t="s">
        <v>466</v>
      </c>
      <c r="I59" s="573" t="str">
        <f t="shared" si="17"/>
        <v>sanitaire ruimte (toilet-/doucheruimte)</v>
      </c>
      <c r="J59" s="694" t="s">
        <v>462</v>
      </c>
      <c r="K59" s="800">
        <v>1.42</v>
      </c>
      <c r="L59" s="800"/>
      <c r="M59" s="867">
        <v>4156</v>
      </c>
      <c r="N59" s="868"/>
      <c r="O59" s="869"/>
      <c r="P59" s="869"/>
      <c r="Q59" s="866">
        <f t="shared" si="24"/>
        <v>156</v>
      </c>
      <c r="R59" s="600">
        <v>1</v>
      </c>
      <c r="S59" s="600">
        <v>1</v>
      </c>
      <c r="T59" s="468">
        <f t="shared" si="25"/>
        <v>0</v>
      </c>
      <c r="U59" s="468">
        <f t="shared" si="26"/>
        <v>0</v>
      </c>
      <c r="V59" s="468">
        <f t="shared" si="27"/>
        <v>0</v>
      </c>
      <c r="W59" s="468">
        <f t="shared" si="28"/>
        <v>0</v>
      </c>
      <c r="X59" s="601">
        <f t="shared" si="18"/>
        <v>0</v>
      </c>
      <c r="Y59" s="601">
        <f t="shared" si="19"/>
        <v>0</v>
      </c>
      <c r="Z59" s="601">
        <f t="shared" si="20"/>
        <v>0</v>
      </c>
      <c r="AA59" s="601">
        <f t="shared" si="21"/>
        <v>0</v>
      </c>
      <c r="AB59" s="602" t="str">
        <f t="shared" si="22"/>
        <v>S</v>
      </c>
      <c r="AC59" s="847" t="s">
        <v>1235</v>
      </c>
      <c r="AD59" s="603">
        <f>(T59+U59+V59)*'1.0-Contractblad'!$K$69</f>
        <v>0</v>
      </c>
      <c r="AE59" s="603"/>
      <c r="AF59" s="58">
        <f t="shared" si="23"/>
        <v>0</v>
      </c>
      <c r="AG59" s="58">
        <f t="shared" si="29"/>
        <v>221.51999999999998</v>
      </c>
      <c r="AH59" s="58" t="str">
        <f t="shared" si="30"/>
        <v>4156-156</v>
      </c>
    </row>
    <row r="60" spans="1:34" ht="13">
      <c r="A60" s="134"/>
      <c r="B60" s="470"/>
      <c r="C60" s="471"/>
      <c r="D60" s="859">
        <f>VLOOKUP(E60,'1.1a-Jaarprijzen'!B:G,6,FALSE)</f>
        <v>2</v>
      </c>
      <c r="E60" s="845" t="s">
        <v>629</v>
      </c>
      <c r="F60" s="798" t="s">
        <v>469</v>
      </c>
      <c r="G60" s="799" t="s">
        <v>618</v>
      </c>
      <c r="H60" s="573" t="s">
        <v>466</v>
      </c>
      <c r="I60" s="573" t="str">
        <f t="shared" si="17"/>
        <v>sanitaire ruimte (toilet-/doucheruimte)</v>
      </c>
      <c r="J60" s="694" t="s">
        <v>462</v>
      </c>
      <c r="K60" s="800">
        <v>1.42</v>
      </c>
      <c r="L60" s="800"/>
      <c r="M60" s="867">
        <v>4156</v>
      </c>
      <c r="N60" s="868"/>
      <c r="O60" s="869"/>
      <c r="P60" s="869"/>
      <c r="Q60" s="866">
        <f t="shared" si="24"/>
        <v>156</v>
      </c>
      <c r="R60" s="600">
        <v>1</v>
      </c>
      <c r="S60" s="600">
        <v>1</v>
      </c>
      <c r="T60" s="468">
        <f t="shared" si="25"/>
        <v>0</v>
      </c>
      <c r="U60" s="468">
        <f t="shared" si="26"/>
        <v>0</v>
      </c>
      <c r="V60" s="468">
        <f t="shared" si="27"/>
        <v>0</v>
      </c>
      <c r="W60" s="468">
        <f t="shared" si="28"/>
        <v>0</v>
      </c>
      <c r="X60" s="601">
        <f t="shared" si="18"/>
        <v>0</v>
      </c>
      <c r="Y60" s="601">
        <f t="shared" si="19"/>
        <v>0</v>
      </c>
      <c r="Z60" s="601">
        <f t="shared" si="20"/>
        <v>0</v>
      </c>
      <c r="AA60" s="601">
        <f t="shared" si="21"/>
        <v>0</v>
      </c>
      <c r="AB60" s="602" t="str">
        <f t="shared" si="22"/>
        <v>S</v>
      </c>
      <c r="AC60" s="847" t="s">
        <v>1235</v>
      </c>
      <c r="AD60" s="603">
        <f>(T60+U60+V60)*'1.0-Contractblad'!$K$69</f>
        <v>0</v>
      </c>
      <c r="AE60" s="603"/>
      <c r="AF60" s="58">
        <f t="shared" si="23"/>
        <v>0</v>
      </c>
      <c r="AG60" s="58">
        <f t="shared" si="29"/>
        <v>221.51999999999998</v>
      </c>
      <c r="AH60" s="58" t="str">
        <f t="shared" si="30"/>
        <v>4156-156</v>
      </c>
    </row>
    <row r="61" spans="1:34" ht="13">
      <c r="A61" s="134"/>
      <c r="B61" s="470"/>
      <c r="C61" s="471"/>
      <c r="D61" s="859">
        <f>VLOOKUP(E61,'1.1a-Jaarprijzen'!B:G,6,FALSE)</f>
        <v>2</v>
      </c>
      <c r="E61" s="845" t="s">
        <v>629</v>
      </c>
      <c r="F61" s="798" t="s">
        <v>469</v>
      </c>
      <c r="G61" s="799" t="s">
        <v>619</v>
      </c>
      <c r="H61" s="845" t="s">
        <v>620</v>
      </c>
      <c r="I61" s="573" t="str">
        <f t="shared" si="17"/>
        <v>sanitaire ruimte (toilet-/doucheruimte)</v>
      </c>
      <c r="J61" s="694" t="s">
        <v>462</v>
      </c>
      <c r="K61" s="800">
        <v>0.97</v>
      </c>
      <c r="L61" s="800"/>
      <c r="M61" s="867">
        <v>4156</v>
      </c>
      <c r="N61" s="868"/>
      <c r="O61" s="869"/>
      <c r="P61" s="869"/>
      <c r="Q61" s="866">
        <f t="shared" si="24"/>
        <v>156</v>
      </c>
      <c r="R61" s="600">
        <v>1</v>
      </c>
      <c r="S61" s="600">
        <v>1</v>
      </c>
      <c r="T61" s="468">
        <f t="shared" si="25"/>
        <v>0</v>
      </c>
      <c r="U61" s="468">
        <f t="shared" si="26"/>
        <v>0</v>
      </c>
      <c r="V61" s="468">
        <f t="shared" si="27"/>
        <v>0</v>
      </c>
      <c r="W61" s="468">
        <f t="shared" si="28"/>
        <v>0</v>
      </c>
      <c r="X61" s="601">
        <f t="shared" si="18"/>
        <v>0</v>
      </c>
      <c r="Y61" s="601">
        <f t="shared" si="19"/>
        <v>0</v>
      </c>
      <c r="Z61" s="601">
        <f t="shared" si="20"/>
        <v>0</v>
      </c>
      <c r="AA61" s="601">
        <f t="shared" si="21"/>
        <v>0</v>
      </c>
      <c r="AB61" s="602" t="str">
        <f t="shared" si="22"/>
        <v>S</v>
      </c>
      <c r="AC61" s="847" t="s">
        <v>1235</v>
      </c>
      <c r="AD61" s="603">
        <f>(T61+U61+V61)*'1.0-Contractblad'!$K$69</f>
        <v>0</v>
      </c>
      <c r="AE61" s="603"/>
      <c r="AF61" s="58">
        <f t="shared" si="23"/>
        <v>0</v>
      </c>
      <c r="AG61" s="58">
        <f t="shared" si="29"/>
        <v>151.32</v>
      </c>
      <c r="AH61" s="58" t="str">
        <f t="shared" si="30"/>
        <v>4156-156</v>
      </c>
    </row>
    <row r="62" spans="1:34" ht="13">
      <c r="A62" s="134"/>
      <c r="B62" s="470"/>
      <c r="C62" s="471"/>
      <c r="D62" s="859">
        <f>VLOOKUP(E62,'1.1a-Jaarprijzen'!B:G,6,FALSE)</f>
        <v>2</v>
      </c>
      <c r="E62" s="845" t="s">
        <v>629</v>
      </c>
      <c r="F62" s="798" t="s">
        <v>469</v>
      </c>
      <c r="G62" s="799" t="s">
        <v>621</v>
      </c>
      <c r="H62" s="845" t="s">
        <v>622</v>
      </c>
      <c r="I62" s="573" t="str">
        <f t="shared" si="17"/>
        <v>sanitaire ruimte (toilet-/doucheruimte)</v>
      </c>
      <c r="J62" s="694" t="s">
        <v>462</v>
      </c>
      <c r="K62" s="800">
        <v>0.97</v>
      </c>
      <c r="L62" s="800"/>
      <c r="M62" s="867">
        <v>4156</v>
      </c>
      <c r="N62" s="868"/>
      <c r="O62" s="869"/>
      <c r="P62" s="869"/>
      <c r="Q62" s="866">
        <f t="shared" si="24"/>
        <v>156</v>
      </c>
      <c r="R62" s="600">
        <v>1</v>
      </c>
      <c r="S62" s="600">
        <v>1</v>
      </c>
      <c r="T62" s="468">
        <f t="shared" si="25"/>
        <v>0</v>
      </c>
      <c r="U62" s="468">
        <f t="shared" si="26"/>
        <v>0</v>
      </c>
      <c r="V62" s="468">
        <f t="shared" si="27"/>
        <v>0</v>
      </c>
      <c r="W62" s="468">
        <f t="shared" si="28"/>
        <v>0</v>
      </c>
      <c r="X62" s="601">
        <f t="shared" si="18"/>
        <v>0</v>
      </c>
      <c r="Y62" s="601">
        <f t="shared" si="19"/>
        <v>0</v>
      </c>
      <c r="Z62" s="601">
        <f t="shared" si="20"/>
        <v>0</v>
      </c>
      <c r="AA62" s="601">
        <f t="shared" si="21"/>
        <v>0</v>
      </c>
      <c r="AB62" s="602" t="str">
        <f t="shared" si="22"/>
        <v>S</v>
      </c>
      <c r="AC62" s="847" t="s">
        <v>1235</v>
      </c>
      <c r="AD62" s="603">
        <f>(T62+U62+V62)*'1.0-Contractblad'!$K$69</f>
        <v>0</v>
      </c>
      <c r="AE62" s="603"/>
      <c r="AF62" s="58">
        <f t="shared" si="23"/>
        <v>0</v>
      </c>
      <c r="AG62" s="58">
        <f t="shared" si="29"/>
        <v>151.32</v>
      </c>
      <c r="AH62" s="58" t="str">
        <f t="shared" si="30"/>
        <v>4156-156</v>
      </c>
    </row>
    <row r="63" spans="1:34" ht="13">
      <c r="A63" s="134"/>
      <c r="B63" s="470"/>
      <c r="C63" s="471"/>
      <c r="D63" s="859">
        <f>VLOOKUP(E63,'1.1a-Jaarprijzen'!B:G,6,FALSE)</f>
        <v>2</v>
      </c>
      <c r="E63" s="845" t="s">
        <v>629</v>
      </c>
      <c r="F63" s="798" t="s">
        <v>469</v>
      </c>
      <c r="G63" s="799" t="s">
        <v>623</v>
      </c>
      <c r="H63" s="573" t="s">
        <v>495</v>
      </c>
      <c r="I63" s="573" t="str">
        <f t="shared" si="17"/>
        <v>sanitaire ruimte (toilet-/doucheruimte)</v>
      </c>
      <c r="J63" s="694" t="s">
        <v>462</v>
      </c>
      <c r="K63" s="800">
        <v>2.87</v>
      </c>
      <c r="L63" s="800"/>
      <c r="M63" s="867">
        <v>4156</v>
      </c>
      <c r="N63" s="868"/>
      <c r="O63" s="869"/>
      <c r="P63" s="869"/>
      <c r="Q63" s="866">
        <f t="shared" si="24"/>
        <v>156</v>
      </c>
      <c r="R63" s="600">
        <v>1</v>
      </c>
      <c r="S63" s="600">
        <v>1</v>
      </c>
      <c r="T63" s="468">
        <f t="shared" si="25"/>
        <v>0</v>
      </c>
      <c r="U63" s="468">
        <f t="shared" si="26"/>
        <v>0</v>
      </c>
      <c r="V63" s="468">
        <f t="shared" si="27"/>
        <v>0</v>
      </c>
      <c r="W63" s="468">
        <f t="shared" si="28"/>
        <v>0</v>
      </c>
      <c r="X63" s="601">
        <f t="shared" si="18"/>
        <v>0</v>
      </c>
      <c r="Y63" s="601">
        <f t="shared" si="19"/>
        <v>0</v>
      </c>
      <c r="Z63" s="601">
        <f t="shared" si="20"/>
        <v>0</v>
      </c>
      <c r="AA63" s="601">
        <f t="shared" si="21"/>
        <v>0</v>
      </c>
      <c r="AB63" s="602" t="str">
        <f t="shared" si="22"/>
        <v>S</v>
      </c>
      <c r="AC63" s="847" t="s">
        <v>1235</v>
      </c>
      <c r="AD63" s="603">
        <f>(T63+U63+V63)*'1.0-Contractblad'!$K$69</f>
        <v>0</v>
      </c>
      <c r="AE63" s="603"/>
      <c r="AF63" s="58">
        <f t="shared" si="23"/>
        <v>0</v>
      </c>
      <c r="AG63" s="58">
        <f t="shared" si="29"/>
        <v>447.72</v>
      </c>
      <c r="AH63" s="58" t="str">
        <f t="shared" si="30"/>
        <v>4156-156</v>
      </c>
    </row>
    <row r="64" spans="1:34" ht="13">
      <c r="A64" s="134"/>
      <c r="B64" s="470"/>
      <c r="C64" s="471"/>
      <c r="D64" s="859">
        <f>VLOOKUP(E64,'1.1a-Jaarprijzen'!B:G,6,FALSE)</f>
        <v>2</v>
      </c>
      <c r="E64" s="845" t="s">
        <v>629</v>
      </c>
      <c r="F64" s="798" t="s">
        <v>469</v>
      </c>
      <c r="G64" s="799" t="s">
        <v>624</v>
      </c>
      <c r="H64" s="573" t="s">
        <v>452</v>
      </c>
      <c r="I64" s="573" t="str">
        <f t="shared" si="17"/>
        <v>administratieve -, personeels- en vergaderruimte</v>
      </c>
      <c r="J64" s="694" t="s">
        <v>455</v>
      </c>
      <c r="K64" s="800">
        <v>69</v>
      </c>
      <c r="L64" s="800"/>
      <c r="M64" s="867">
        <v>1156</v>
      </c>
      <c r="N64" s="868"/>
      <c r="O64" s="869"/>
      <c r="P64" s="869"/>
      <c r="Q64" s="866">
        <f t="shared" si="24"/>
        <v>156</v>
      </c>
      <c r="R64" s="600">
        <v>1</v>
      </c>
      <c r="S64" s="600">
        <v>1</v>
      </c>
      <c r="T64" s="468">
        <f t="shared" si="25"/>
        <v>0</v>
      </c>
      <c r="U64" s="468">
        <f t="shared" si="26"/>
        <v>0</v>
      </c>
      <c r="V64" s="468">
        <f t="shared" si="27"/>
        <v>0</v>
      </c>
      <c r="W64" s="468">
        <f t="shared" si="28"/>
        <v>0</v>
      </c>
      <c r="X64" s="601">
        <f t="shared" si="18"/>
        <v>0</v>
      </c>
      <c r="Y64" s="601">
        <f t="shared" si="19"/>
        <v>0</v>
      </c>
      <c r="Z64" s="601">
        <f t="shared" si="20"/>
        <v>0</v>
      </c>
      <c r="AA64" s="601">
        <f t="shared" si="21"/>
        <v>0</v>
      </c>
      <c r="AB64" s="602" t="str">
        <f t="shared" si="22"/>
        <v>B</v>
      </c>
      <c r="AC64" s="847" t="s">
        <v>1235</v>
      </c>
      <c r="AD64" s="603">
        <f>(T64+U64+V64)*'1.0-Contractblad'!$K$69</f>
        <v>0</v>
      </c>
      <c r="AE64" s="603"/>
      <c r="AF64" s="58">
        <f t="shared" si="23"/>
        <v>0</v>
      </c>
      <c r="AG64" s="58">
        <f t="shared" si="29"/>
        <v>10764</v>
      </c>
      <c r="AH64" s="58" t="str">
        <f t="shared" si="30"/>
        <v>1156-156</v>
      </c>
    </row>
    <row r="65" spans="1:34" ht="13">
      <c r="A65" s="134"/>
      <c r="B65" s="470"/>
      <c r="C65" s="471"/>
      <c r="D65" s="859">
        <f>VLOOKUP(E65,'1.1a-Jaarprijzen'!B:G,6,FALSE)</f>
        <v>2</v>
      </c>
      <c r="E65" s="845" t="s">
        <v>629</v>
      </c>
      <c r="F65" s="798" t="s">
        <v>469</v>
      </c>
      <c r="G65" s="799" t="s">
        <v>625</v>
      </c>
      <c r="H65" s="573" t="s">
        <v>562</v>
      </c>
      <c r="I65" s="573" t="str">
        <f t="shared" si="17"/>
        <v>administratieve -, personeels- en vergaderruimte</v>
      </c>
      <c r="J65" s="694" t="s">
        <v>455</v>
      </c>
      <c r="K65" s="800">
        <v>30.66</v>
      </c>
      <c r="L65" s="800"/>
      <c r="M65" s="867">
        <v>1156</v>
      </c>
      <c r="N65" s="868"/>
      <c r="O65" s="869"/>
      <c r="P65" s="869"/>
      <c r="Q65" s="866">
        <f t="shared" si="24"/>
        <v>156</v>
      </c>
      <c r="R65" s="600">
        <v>1</v>
      </c>
      <c r="S65" s="600">
        <v>1</v>
      </c>
      <c r="T65" s="468">
        <f t="shared" si="25"/>
        <v>0</v>
      </c>
      <c r="U65" s="468">
        <f t="shared" si="26"/>
        <v>0</v>
      </c>
      <c r="V65" s="468">
        <f t="shared" si="27"/>
        <v>0</v>
      </c>
      <c r="W65" s="468">
        <f t="shared" si="28"/>
        <v>0</v>
      </c>
      <c r="X65" s="601">
        <f t="shared" si="18"/>
        <v>0</v>
      </c>
      <c r="Y65" s="601">
        <f t="shared" si="19"/>
        <v>0</v>
      </c>
      <c r="Z65" s="601">
        <f t="shared" si="20"/>
        <v>0</v>
      </c>
      <c r="AA65" s="601">
        <f t="shared" si="21"/>
        <v>0</v>
      </c>
      <c r="AB65" s="602" t="str">
        <f t="shared" si="22"/>
        <v>B</v>
      </c>
      <c r="AC65" s="847" t="s">
        <v>1235</v>
      </c>
      <c r="AD65" s="603">
        <f>(T65+U65+V65)*'1.0-Contractblad'!$K$69</f>
        <v>0</v>
      </c>
      <c r="AE65" s="603"/>
      <c r="AF65" s="58">
        <f t="shared" si="23"/>
        <v>0</v>
      </c>
      <c r="AG65" s="58">
        <f t="shared" si="29"/>
        <v>4782.96</v>
      </c>
      <c r="AH65" s="58" t="str">
        <f t="shared" si="30"/>
        <v>1156-156</v>
      </c>
    </row>
    <row r="66" spans="1:34" ht="13">
      <c r="A66" s="134"/>
      <c r="B66" s="470"/>
      <c r="C66" s="471"/>
      <c r="D66" s="859">
        <f>VLOOKUP(E66,'1.1a-Jaarprijzen'!B:G,6,FALSE)</f>
        <v>2</v>
      </c>
      <c r="E66" s="845" t="s">
        <v>629</v>
      </c>
      <c r="F66" s="798" t="s">
        <v>469</v>
      </c>
      <c r="G66" s="799" t="s">
        <v>626</v>
      </c>
      <c r="H66" s="573" t="s">
        <v>452</v>
      </c>
      <c r="I66" s="573" t="str">
        <f t="shared" si="17"/>
        <v>administratieve -, personeels- en vergaderruimte</v>
      </c>
      <c r="J66" s="694" t="s">
        <v>455</v>
      </c>
      <c r="K66" s="800">
        <v>22.54</v>
      </c>
      <c r="L66" s="800"/>
      <c r="M66" s="867">
        <v>1156</v>
      </c>
      <c r="N66" s="868"/>
      <c r="O66" s="869"/>
      <c r="P66" s="869"/>
      <c r="Q66" s="866">
        <f t="shared" si="24"/>
        <v>156</v>
      </c>
      <c r="R66" s="600">
        <v>1</v>
      </c>
      <c r="S66" s="600">
        <v>1</v>
      </c>
      <c r="T66" s="468">
        <f t="shared" si="25"/>
        <v>0</v>
      </c>
      <c r="U66" s="468">
        <f t="shared" si="26"/>
        <v>0</v>
      </c>
      <c r="V66" s="468">
        <f t="shared" si="27"/>
        <v>0</v>
      </c>
      <c r="W66" s="468">
        <f t="shared" si="28"/>
        <v>0</v>
      </c>
      <c r="X66" s="601">
        <f t="shared" si="18"/>
        <v>0</v>
      </c>
      <c r="Y66" s="601">
        <f t="shared" si="19"/>
        <v>0</v>
      </c>
      <c r="Z66" s="601">
        <f t="shared" si="20"/>
        <v>0</v>
      </c>
      <c r="AA66" s="601">
        <f t="shared" si="21"/>
        <v>0</v>
      </c>
      <c r="AB66" s="602" t="str">
        <f t="shared" si="22"/>
        <v>B</v>
      </c>
      <c r="AC66" s="847" t="s">
        <v>1235</v>
      </c>
      <c r="AD66" s="603">
        <f>(T66+U66+V66)*'1.0-Contractblad'!$K$69</f>
        <v>0</v>
      </c>
      <c r="AE66" s="603"/>
      <c r="AF66" s="58">
        <f t="shared" si="23"/>
        <v>0</v>
      </c>
      <c r="AG66" s="58">
        <f t="shared" si="29"/>
        <v>3516.24</v>
      </c>
      <c r="AH66" s="58" t="str">
        <f t="shared" si="30"/>
        <v>1156-156</v>
      </c>
    </row>
    <row r="67" spans="1:34" ht="13">
      <c r="A67" s="134"/>
      <c r="B67" s="470"/>
      <c r="C67" s="471"/>
      <c r="D67" s="859">
        <f>VLOOKUP(E67,'1.1a-Jaarprijzen'!B:G,6,FALSE)</f>
        <v>2</v>
      </c>
      <c r="E67" s="845" t="s">
        <v>629</v>
      </c>
      <c r="F67" s="798" t="s">
        <v>469</v>
      </c>
      <c r="G67" s="799" t="s">
        <v>627</v>
      </c>
      <c r="H67" s="573" t="s">
        <v>452</v>
      </c>
      <c r="I67" s="573" t="str">
        <f t="shared" si="17"/>
        <v>administratieve -, personeels- en vergaderruimte</v>
      </c>
      <c r="J67" s="694" t="s">
        <v>455</v>
      </c>
      <c r="K67" s="800">
        <v>14.98</v>
      </c>
      <c r="L67" s="800"/>
      <c r="M67" s="867">
        <v>1156</v>
      </c>
      <c r="N67" s="868"/>
      <c r="O67" s="869"/>
      <c r="P67" s="869"/>
      <c r="Q67" s="866">
        <f t="shared" si="24"/>
        <v>156</v>
      </c>
      <c r="R67" s="600">
        <v>1</v>
      </c>
      <c r="S67" s="600">
        <v>1</v>
      </c>
      <c r="T67" s="468">
        <f t="shared" si="25"/>
        <v>0</v>
      </c>
      <c r="U67" s="468">
        <f t="shared" si="26"/>
        <v>0</v>
      </c>
      <c r="V67" s="468">
        <f t="shared" si="27"/>
        <v>0</v>
      </c>
      <c r="W67" s="468">
        <f t="shared" si="28"/>
        <v>0</v>
      </c>
      <c r="X67" s="601">
        <f t="shared" si="18"/>
        <v>0</v>
      </c>
      <c r="Y67" s="601">
        <f t="shared" si="19"/>
        <v>0</v>
      </c>
      <c r="Z67" s="601">
        <f t="shared" si="20"/>
        <v>0</v>
      </c>
      <c r="AA67" s="601">
        <f t="shared" si="21"/>
        <v>0</v>
      </c>
      <c r="AB67" s="602" t="str">
        <f t="shared" si="22"/>
        <v>B</v>
      </c>
      <c r="AC67" s="847" t="s">
        <v>1235</v>
      </c>
      <c r="AD67" s="603">
        <f>(T67+U67+V67)*'1.0-Contractblad'!$K$69</f>
        <v>0</v>
      </c>
      <c r="AE67" s="603"/>
      <c r="AF67" s="58">
        <f t="shared" si="23"/>
        <v>0</v>
      </c>
      <c r="AG67" s="58">
        <f t="shared" si="29"/>
        <v>2336.88</v>
      </c>
      <c r="AH67" s="58" t="str">
        <f t="shared" si="30"/>
        <v>1156-156</v>
      </c>
    </row>
    <row r="68" spans="1:34" ht="13">
      <c r="A68" s="134"/>
      <c r="B68" s="470"/>
      <c r="C68" s="471"/>
      <c r="D68" s="859">
        <f>VLOOKUP(E68,'1.1a-Jaarprijzen'!B:G,6,FALSE)</f>
        <v>2</v>
      </c>
      <c r="E68" s="845" t="s">
        <v>629</v>
      </c>
      <c r="F68" s="798" t="s">
        <v>469</v>
      </c>
      <c r="G68" s="799" t="s">
        <v>628</v>
      </c>
      <c r="H68" s="845" t="s">
        <v>452</v>
      </c>
      <c r="I68" s="573" t="str">
        <f t="shared" si="17"/>
        <v>administratieve -, personeels- en vergaderruimte</v>
      </c>
      <c r="J68" s="694" t="s">
        <v>455</v>
      </c>
      <c r="K68" s="800">
        <v>22.21</v>
      </c>
      <c r="L68" s="800"/>
      <c r="M68" s="867">
        <v>1156</v>
      </c>
      <c r="N68" s="868"/>
      <c r="O68" s="869"/>
      <c r="P68" s="869"/>
      <c r="Q68" s="866">
        <f t="shared" si="24"/>
        <v>156</v>
      </c>
      <c r="R68" s="600">
        <v>1</v>
      </c>
      <c r="S68" s="600">
        <v>1</v>
      </c>
      <c r="T68" s="468">
        <f t="shared" si="25"/>
        <v>0</v>
      </c>
      <c r="U68" s="468">
        <f t="shared" si="26"/>
        <v>0</v>
      </c>
      <c r="V68" s="468">
        <f t="shared" si="27"/>
        <v>0</v>
      </c>
      <c r="W68" s="468">
        <f t="shared" si="28"/>
        <v>0</v>
      </c>
      <c r="X68" s="601">
        <f t="shared" si="18"/>
        <v>0</v>
      </c>
      <c r="Y68" s="601">
        <f t="shared" si="19"/>
        <v>0</v>
      </c>
      <c r="Z68" s="601">
        <f t="shared" si="20"/>
        <v>0</v>
      </c>
      <c r="AA68" s="601">
        <f t="shared" si="21"/>
        <v>0</v>
      </c>
      <c r="AB68" s="602" t="str">
        <f t="shared" si="22"/>
        <v>B</v>
      </c>
      <c r="AC68" s="847" t="s">
        <v>1235</v>
      </c>
      <c r="AD68" s="603">
        <f>(T68+U68+V68)*'1.0-Contractblad'!$K$69</f>
        <v>0</v>
      </c>
      <c r="AE68" s="603"/>
      <c r="AF68" s="58">
        <f t="shared" si="23"/>
        <v>0</v>
      </c>
      <c r="AG68" s="58">
        <f t="shared" si="29"/>
        <v>3464.76</v>
      </c>
      <c r="AH68" s="58" t="str">
        <f t="shared" si="30"/>
        <v>1156-156</v>
      </c>
    </row>
    <row r="69" spans="1:34" ht="13">
      <c r="A69" s="134"/>
      <c r="B69" s="470"/>
      <c r="C69" s="471"/>
      <c r="D69" s="859">
        <f>VLOOKUP(E69,'1.1a-Jaarprijzen'!B:G,6,FALSE)</f>
        <v>2</v>
      </c>
      <c r="E69" s="845" t="s">
        <v>629</v>
      </c>
      <c r="F69" s="798" t="s">
        <v>469</v>
      </c>
      <c r="G69" s="799">
        <v>0.24</v>
      </c>
      <c r="H69" s="573" t="s">
        <v>452</v>
      </c>
      <c r="I69" s="573" t="str">
        <f t="shared" si="17"/>
        <v>administratieve -, personeels- en vergaderruimte</v>
      </c>
      <c r="J69" s="694" t="s">
        <v>455</v>
      </c>
      <c r="K69" s="800">
        <v>19.829999999999998</v>
      </c>
      <c r="L69" s="800"/>
      <c r="M69" s="867">
        <v>1156</v>
      </c>
      <c r="N69" s="868"/>
      <c r="O69" s="869"/>
      <c r="P69" s="869"/>
      <c r="Q69" s="866">
        <f t="shared" si="24"/>
        <v>156</v>
      </c>
      <c r="R69" s="600">
        <v>1</v>
      </c>
      <c r="S69" s="600">
        <v>1</v>
      </c>
      <c r="T69" s="468">
        <f t="shared" si="25"/>
        <v>0</v>
      </c>
      <c r="U69" s="468">
        <f t="shared" si="26"/>
        <v>0</v>
      </c>
      <c r="V69" s="468">
        <f t="shared" si="27"/>
        <v>0</v>
      </c>
      <c r="W69" s="468">
        <f t="shared" si="28"/>
        <v>0</v>
      </c>
      <c r="X69" s="601">
        <f t="shared" si="18"/>
        <v>0</v>
      </c>
      <c r="Y69" s="601">
        <f t="shared" si="19"/>
        <v>0</v>
      </c>
      <c r="Z69" s="601">
        <f t="shared" si="20"/>
        <v>0</v>
      </c>
      <c r="AA69" s="601">
        <f t="shared" si="21"/>
        <v>0</v>
      </c>
      <c r="AB69" s="602" t="str">
        <f t="shared" si="22"/>
        <v>B</v>
      </c>
      <c r="AC69" s="847" t="s">
        <v>1235</v>
      </c>
      <c r="AD69" s="603">
        <f>(T69+U69+V69)*'1.0-Contractblad'!$K$69</f>
        <v>0</v>
      </c>
      <c r="AE69" s="603"/>
      <c r="AF69" s="58">
        <f t="shared" si="23"/>
        <v>0</v>
      </c>
      <c r="AG69" s="58">
        <f t="shared" si="29"/>
        <v>3093.4799999999996</v>
      </c>
      <c r="AH69" s="58" t="str">
        <f t="shared" si="30"/>
        <v>1156-156</v>
      </c>
    </row>
    <row r="70" spans="1:34" ht="13">
      <c r="A70" s="134"/>
      <c r="B70" s="470"/>
      <c r="C70" s="471"/>
      <c r="D70" s="859">
        <f>VLOOKUP(E70,'1.1a-Jaarprijzen'!B:G,6,FALSE)</f>
        <v>2</v>
      </c>
      <c r="E70" s="845" t="s">
        <v>991</v>
      </c>
      <c r="F70" s="798" t="s">
        <v>469</v>
      </c>
      <c r="G70" s="799" t="s">
        <v>437</v>
      </c>
      <c r="H70" s="573" t="s">
        <v>694</v>
      </c>
      <c r="I70" s="573" t="str">
        <f t="shared" si="17"/>
        <v>entree, gang, hal, repro, kopieer</v>
      </c>
      <c r="J70" s="694" t="s">
        <v>54</v>
      </c>
      <c r="K70" s="800">
        <v>1.72</v>
      </c>
      <c r="L70" s="800"/>
      <c r="M70" s="867">
        <v>3026</v>
      </c>
      <c r="N70" s="868"/>
      <c r="O70" s="869"/>
      <c r="P70" s="869"/>
      <c r="Q70" s="866">
        <f t="shared" si="24"/>
        <v>26</v>
      </c>
      <c r="R70" s="600">
        <v>1</v>
      </c>
      <c r="S70" s="600">
        <v>1</v>
      </c>
      <c r="T70" s="468">
        <f t="shared" si="25"/>
        <v>0</v>
      </c>
      <c r="U70" s="468">
        <f t="shared" si="26"/>
        <v>0</v>
      </c>
      <c r="V70" s="468">
        <f t="shared" si="27"/>
        <v>0</v>
      </c>
      <c r="W70" s="468">
        <f t="shared" si="28"/>
        <v>0</v>
      </c>
      <c r="X70" s="601">
        <f t="shared" si="18"/>
        <v>0</v>
      </c>
      <c r="Y70" s="601">
        <f t="shared" si="19"/>
        <v>0</v>
      </c>
      <c r="Z70" s="601">
        <f t="shared" si="20"/>
        <v>0</v>
      </c>
      <c r="AA70" s="601">
        <f t="shared" si="21"/>
        <v>0</v>
      </c>
      <c r="AB70" s="602" t="str">
        <f t="shared" si="22"/>
        <v>V</v>
      </c>
      <c r="AC70" s="847" t="s">
        <v>1233</v>
      </c>
      <c r="AD70" s="603">
        <f>(T70+U70+V70)*'1.0-Contractblad'!$K$69</f>
        <v>0</v>
      </c>
      <c r="AE70" s="603"/>
      <c r="AF70" s="58">
        <f t="shared" si="23"/>
        <v>0</v>
      </c>
      <c r="AG70" s="58">
        <f t="shared" si="29"/>
        <v>44.72</v>
      </c>
      <c r="AH70" s="58" t="str">
        <f t="shared" si="30"/>
        <v>3026-26</v>
      </c>
    </row>
    <row r="71" spans="1:34" ht="13">
      <c r="A71" s="134"/>
      <c r="B71" s="470"/>
      <c r="C71" s="471"/>
      <c r="D71" s="859">
        <f>VLOOKUP(E71,'1.1a-Jaarprijzen'!B:G,6,FALSE)</f>
        <v>2</v>
      </c>
      <c r="E71" s="845" t="s">
        <v>991</v>
      </c>
      <c r="F71" s="798" t="s">
        <v>469</v>
      </c>
      <c r="G71" s="799" t="s">
        <v>438</v>
      </c>
      <c r="H71" s="573" t="s">
        <v>798</v>
      </c>
      <c r="I71" s="573" t="str">
        <f t="shared" si="17"/>
        <v>niet van toepassing</v>
      </c>
      <c r="J71" s="694" t="s">
        <v>326</v>
      </c>
      <c r="K71" s="800"/>
      <c r="L71" s="800">
        <v>7.9</v>
      </c>
      <c r="M71" s="867" t="s">
        <v>19</v>
      </c>
      <c r="N71" s="868"/>
      <c r="O71" s="869"/>
      <c r="P71" s="869"/>
      <c r="Q71" s="866">
        <f t="shared" si="24"/>
        <v>0</v>
      </c>
      <c r="R71" s="600">
        <v>1</v>
      </c>
      <c r="S71" s="600">
        <v>1</v>
      </c>
      <c r="T71" s="468">
        <f t="shared" si="25"/>
        <v>0</v>
      </c>
      <c r="U71" s="468">
        <f t="shared" si="26"/>
        <v>0</v>
      </c>
      <c r="V71" s="468">
        <f t="shared" si="27"/>
        <v>0</v>
      </c>
      <c r="W71" s="468">
        <f t="shared" si="28"/>
        <v>0</v>
      </c>
      <c r="X71" s="601">
        <f t="shared" si="18"/>
        <v>0</v>
      </c>
      <c r="Y71" s="601">
        <f t="shared" si="19"/>
        <v>0</v>
      </c>
      <c r="Z71" s="601">
        <f t="shared" si="20"/>
        <v>0</v>
      </c>
      <c r="AA71" s="601">
        <f t="shared" si="21"/>
        <v>0</v>
      </c>
      <c r="AB71" s="602">
        <f t="shared" si="22"/>
        <v>0</v>
      </c>
      <c r="AC71" s="847"/>
      <c r="AD71" s="603">
        <f>(T71+U71+V71)*'1.0-Contractblad'!$K$69</f>
        <v>0</v>
      </c>
      <c r="AE71" s="603"/>
      <c r="AF71" s="58">
        <f t="shared" si="23"/>
        <v>0</v>
      </c>
      <c r="AG71" s="58">
        <f t="shared" si="29"/>
        <v>0</v>
      </c>
      <c r="AH71" s="58" t="str">
        <f t="shared" si="30"/>
        <v>nvt-0</v>
      </c>
    </row>
    <row r="72" spans="1:34" ht="13">
      <c r="A72" s="134"/>
      <c r="B72" s="470"/>
      <c r="C72" s="471"/>
      <c r="D72" s="859">
        <f>VLOOKUP(E72,'1.1a-Jaarprijzen'!B:G,6,FALSE)</f>
        <v>2</v>
      </c>
      <c r="E72" s="845" t="s">
        <v>991</v>
      </c>
      <c r="F72" s="798" t="s">
        <v>469</v>
      </c>
      <c r="G72" s="799" t="s">
        <v>439</v>
      </c>
      <c r="H72" s="573" t="s">
        <v>799</v>
      </c>
      <c r="I72" s="573" t="str">
        <f t="shared" si="17"/>
        <v>administratieve -, personeels- en vergaderruimte</v>
      </c>
      <c r="J72" s="694" t="s">
        <v>455</v>
      </c>
      <c r="K72" s="800">
        <v>11.57</v>
      </c>
      <c r="L72" s="800"/>
      <c r="M72" s="867">
        <v>1026</v>
      </c>
      <c r="N72" s="868"/>
      <c r="O72" s="869"/>
      <c r="P72" s="869"/>
      <c r="Q72" s="866">
        <f t="shared" si="24"/>
        <v>26</v>
      </c>
      <c r="R72" s="600">
        <v>1</v>
      </c>
      <c r="S72" s="600">
        <v>1</v>
      </c>
      <c r="T72" s="468">
        <f t="shared" si="25"/>
        <v>0</v>
      </c>
      <c r="U72" s="468">
        <f t="shared" si="26"/>
        <v>0</v>
      </c>
      <c r="V72" s="468">
        <f t="shared" si="27"/>
        <v>0</v>
      </c>
      <c r="W72" s="468">
        <f t="shared" si="28"/>
        <v>0</v>
      </c>
      <c r="X72" s="601">
        <f t="shared" si="18"/>
        <v>0</v>
      </c>
      <c r="Y72" s="601">
        <f t="shared" si="19"/>
        <v>0</v>
      </c>
      <c r="Z72" s="601">
        <f t="shared" si="20"/>
        <v>0</v>
      </c>
      <c r="AA72" s="601">
        <f t="shared" si="21"/>
        <v>0</v>
      </c>
      <c r="AB72" s="602">
        <f t="shared" si="22"/>
        <v>0</v>
      </c>
      <c r="AC72" s="847" t="s">
        <v>1233</v>
      </c>
      <c r="AD72" s="603">
        <f>(T72+U72+V72)*'1.0-Contractblad'!$K$69</f>
        <v>0</v>
      </c>
      <c r="AE72" s="603"/>
      <c r="AF72" s="58">
        <f t="shared" si="23"/>
        <v>0</v>
      </c>
      <c r="AG72" s="58">
        <f t="shared" si="29"/>
        <v>300.82</v>
      </c>
      <c r="AH72" s="58" t="str">
        <f t="shared" si="30"/>
        <v>1026-26</v>
      </c>
    </row>
    <row r="73" spans="1:34" ht="13">
      <c r="A73" s="134"/>
      <c r="B73" s="470"/>
      <c r="C73" s="471"/>
      <c r="D73" s="859">
        <f>VLOOKUP(E73,'1.1a-Jaarprijzen'!B:G,6,FALSE)</f>
        <v>2</v>
      </c>
      <c r="E73" s="845" t="s">
        <v>991</v>
      </c>
      <c r="F73" s="798" t="s">
        <v>469</v>
      </c>
      <c r="G73" s="799" t="s">
        <v>440</v>
      </c>
      <c r="H73" s="573" t="s">
        <v>466</v>
      </c>
      <c r="I73" s="573" t="str">
        <f t="shared" si="17"/>
        <v>sanitaire ruimte (toilet-/doucheruimte)</v>
      </c>
      <c r="J73" s="694" t="s">
        <v>340</v>
      </c>
      <c r="K73" s="800">
        <v>1.82</v>
      </c>
      <c r="L73" s="800"/>
      <c r="M73" s="867">
        <v>4026</v>
      </c>
      <c r="N73" s="868"/>
      <c r="O73" s="869"/>
      <c r="P73" s="869"/>
      <c r="Q73" s="866">
        <f t="shared" si="24"/>
        <v>26</v>
      </c>
      <c r="R73" s="600">
        <v>1</v>
      </c>
      <c r="S73" s="600">
        <v>1</v>
      </c>
      <c r="T73" s="468">
        <f t="shared" si="25"/>
        <v>0</v>
      </c>
      <c r="U73" s="468">
        <f t="shared" si="26"/>
        <v>0</v>
      </c>
      <c r="V73" s="468">
        <f t="shared" si="27"/>
        <v>0</v>
      </c>
      <c r="W73" s="468">
        <f t="shared" si="28"/>
        <v>0</v>
      </c>
      <c r="X73" s="601">
        <f t="shared" si="18"/>
        <v>0</v>
      </c>
      <c r="Y73" s="601">
        <f t="shared" si="19"/>
        <v>0</v>
      </c>
      <c r="Z73" s="601">
        <f t="shared" si="20"/>
        <v>0</v>
      </c>
      <c r="AA73" s="601">
        <f t="shared" si="21"/>
        <v>0</v>
      </c>
      <c r="AB73" s="602" t="str">
        <f t="shared" si="22"/>
        <v>S</v>
      </c>
      <c r="AC73" s="847" t="s">
        <v>1233</v>
      </c>
      <c r="AD73" s="603">
        <f>(T73+U73+V73)*'1.0-Contractblad'!$K$69</f>
        <v>0</v>
      </c>
      <c r="AE73" s="603"/>
      <c r="AF73" s="58">
        <f t="shared" si="23"/>
        <v>0</v>
      </c>
      <c r="AG73" s="58">
        <f t="shared" si="29"/>
        <v>47.32</v>
      </c>
      <c r="AH73" s="58" t="str">
        <f t="shared" si="30"/>
        <v>4026-26</v>
      </c>
    </row>
    <row r="74" spans="1:34" ht="13">
      <c r="A74" s="134"/>
      <c r="B74" s="470"/>
      <c r="C74" s="471"/>
      <c r="D74" s="859">
        <f>VLOOKUP(E74,'1.1a-Jaarprijzen'!B:G,6,FALSE)</f>
        <v>2</v>
      </c>
      <c r="E74" s="845" t="s">
        <v>597</v>
      </c>
      <c r="F74" s="798" t="s">
        <v>469</v>
      </c>
      <c r="G74" s="799">
        <v>33001</v>
      </c>
      <c r="H74" s="573" t="s">
        <v>589</v>
      </c>
      <c r="I74" s="573" t="str">
        <f t="shared" si="17"/>
        <v>entree, gang, hal, repro, kopieer</v>
      </c>
      <c r="J74" s="694" t="s">
        <v>590</v>
      </c>
      <c r="K74" s="865">
        <v>65</v>
      </c>
      <c r="L74" s="800"/>
      <c r="M74" s="867">
        <v>3253</v>
      </c>
      <c r="N74" s="868"/>
      <c r="O74" s="869"/>
      <c r="P74" s="869"/>
      <c r="Q74" s="866">
        <f t="shared" si="24"/>
        <v>253</v>
      </c>
      <c r="R74" s="600">
        <v>1</v>
      </c>
      <c r="S74" s="600">
        <v>1</v>
      </c>
      <c r="T74" s="468">
        <f t="shared" si="25"/>
        <v>0</v>
      </c>
      <c r="U74" s="468">
        <f t="shared" si="26"/>
        <v>0</v>
      </c>
      <c r="V74" s="468">
        <f t="shared" si="27"/>
        <v>0</v>
      </c>
      <c r="W74" s="468">
        <f t="shared" si="28"/>
        <v>0</v>
      </c>
      <c r="X74" s="601">
        <f t="shared" si="18"/>
        <v>0</v>
      </c>
      <c r="Y74" s="601">
        <f t="shared" si="19"/>
        <v>0</v>
      </c>
      <c r="Z74" s="601">
        <f t="shared" si="20"/>
        <v>0</v>
      </c>
      <c r="AA74" s="601">
        <f t="shared" si="21"/>
        <v>0</v>
      </c>
      <c r="AB74" s="602" t="str">
        <f t="shared" si="22"/>
        <v>V</v>
      </c>
      <c r="AC74" s="847"/>
      <c r="AD74" s="603">
        <f>(T74+U74+V74)*'1.0-Contractblad'!$K$69</f>
        <v>0</v>
      </c>
      <c r="AE74" s="603"/>
      <c r="AF74" s="58">
        <f t="shared" si="23"/>
        <v>0</v>
      </c>
      <c r="AG74" s="58">
        <f t="shared" si="29"/>
        <v>16445</v>
      </c>
      <c r="AH74" s="58" t="str">
        <f t="shared" si="30"/>
        <v>3253-253</v>
      </c>
    </row>
    <row r="75" spans="1:34" ht="13">
      <c r="A75" s="134"/>
      <c r="B75" s="470"/>
      <c r="C75" s="471"/>
      <c r="D75" s="859">
        <f>VLOOKUP(E75,'1.1a-Jaarprijzen'!B:G,6,FALSE)</f>
        <v>2</v>
      </c>
      <c r="E75" s="845" t="s">
        <v>597</v>
      </c>
      <c r="F75" s="798" t="s">
        <v>736</v>
      </c>
      <c r="G75" s="799">
        <v>33101</v>
      </c>
      <c r="H75" s="845" t="s">
        <v>591</v>
      </c>
      <c r="I75" s="573" t="str">
        <f t="shared" si="17"/>
        <v>niet van toepassing</v>
      </c>
      <c r="J75" s="694" t="s">
        <v>590</v>
      </c>
      <c r="K75" s="865"/>
      <c r="L75" s="800"/>
      <c r="M75" s="867" t="s">
        <v>19</v>
      </c>
      <c r="N75" s="868"/>
      <c r="O75" s="798"/>
      <c r="P75" s="869"/>
      <c r="Q75" s="866">
        <f t="shared" si="24"/>
        <v>0</v>
      </c>
      <c r="R75" s="600">
        <v>1</v>
      </c>
      <c r="S75" s="600">
        <v>1</v>
      </c>
      <c r="T75" s="468">
        <f t="shared" si="25"/>
        <v>0</v>
      </c>
      <c r="U75" s="468">
        <f t="shared" si="26"/>
        <v>0</v>
      </c>
      <c r="V75" s="468">
        <f t="shared" si="27"/>
        <v>0</v>
      </c>
      <c r="W75" s="468">
        <f t="shared" si="28"/>
        <v>0</v>
      </c>
      <c r="X75" s="601">
        <f t="shared" si="18"/>
        <v>0</v>
      </c>
      <c r="Y75" s="601">
        <f t="shared" si="19"/>
        <v>0</v>
      </c>
      <c r="Z75" s="601">
        <f t="shared" si="20"/>
        <v>0</v>
      </c>
      <c r="AA75" s="601">
        <f t="shared" si="21"/>
        <v>0</v>
      </c>
      <c r="AB75" s="602">
        <f t="shared" si="22"/>
        <v>0</v>
      </c>
      <c r="AC75" s="852" t="s">
        <v>592</v>
      </c>
      <c r="AD75" s="603">
        <f>(T75+U75+V75)*'1.0-Contractblad'!$K$69</f>
        <v>0</v>
      </c>
      <c r="AE75" s="603"/>
      <c r="AF75" s="58">
        <f t="shared" si="23"/>
        <v>0</v>
      </c>
      <c r="AG75" s="58">
        <f t="shared" si="29"/>
        <v>0</v>
      </c>
      <c r="AH75" s="58" t="str">
        <f t="shared" si="30"/>
        <v>nvt-0</v>
      </c>
    </row>
    <row r="76" spans="1:34" ht="13">
      <c r="A76" s="134"/>
      <c r="B76" s="470"/>
      <c r="C76" s="471"/>
      <c r="D76" s="859">
        <f>VLOOKUP(E76,'1.1a-Jaarprijzen'!B:G,6,FALSE)</f>
        <v>2</v>
      </c>
      <c r="E76" s="845" t="s">
        <v>597</v>
      </c>
      <c r="F76" s="798" t="s">
        <v>736</v>
      </c>
      <c r="G76" s="799">
        <v>33102</v>
      </c>
      <c r="H76" s="845" t="s">
        <v>452</v>
      </c>
      <c r="I76" s="573" t="str">
        <f t="shared" si="17"/>
        <v>administratieve -, personeels- en vergaderruimte</v>
      </c>
      <c r="J76" s="694" t="s">
        <v>455</v>
      </c>
      <c r="K76" s="865">
        <v>22.09</v>
      </c>
      <c r="L76" s="800"/>
      <c r="M76" s="867">
        <v>1253</v>
      </c>
      <c r="N76" s="868"/>
      <c r="O76" s="869"/>
      <c r="P76" s="869"/>
      <c r="Q76" s="866">
        <f t="shared" si="24"/>
        <v>253</v>
      </c>
      <c r="R76" s="600">
        <v>1</v>
      </c>
      <c r="S76" s="600">
        <v>1</v>
      </c>
      <c r="T76" s="468">
        <f t="shared" si="25"/>
        <v>0</v>
      </c>
      <c r="U76" s="468">
        <f t="shared" si="26"/>
        <v>0</v>
      </c>
      <c r="V76" s="468">
        <f t="shared" si="27"/>
        <v>0</v>
      </c>
      <c r="W76" s="468">
        <f t="shared" si="28"/>
        <v>0</v>
      </c>
      <c r="X76" s="601">
        <f t="shared" si="18"/>
        <v>0</v>
      </c>
      <c r="Y76" s="601">
        <f t="shared" si="19"/>
        <v>0</v>
      </c>
      <c r="Z76" s="601">
        <f t="shared" si="20"/>
        <v>0</v>
      </c>
      <c r="AA76" s="601">
        <f t="shared" si="21"/>
        <v>0</v>
      </c>
      <c r="AB76" s="602" t="str">
        <f t="shared" si="22"/>
        <v>B</v>
      </c>
      <c r="AC76" s="847"/>
      <c r="AD76" s="603">
        <f>(T76+U76+V76)*'1.0-Contractblad'!$K$69</f>
        <v>0</v>
      </c>
      <c r="AE76" s="603"/>
      <c r="AF76" s="58">
        <f t="shared" si="23"/>
        <v>0</v>
      </c>
      <c r="AG76" s="58">
        <f t="shared" si="29"/>
        <v>5588.7699999999995</v>
      </c>
      <c r="AH76" s="58" t="str">
        <f t="shared" si="30"/>
        <v>1253-253</v>
      </c>
    </row>
    <row r="77" spans="1:34" ht="13">
      <c r="A77" s="134"/>
      <c r="B77" s="470"/>
      <c r="C77" s="471"/>
      <c r="D77" s="859">
        <f>VLOOKUP(E77,'1.1a-Jaarprijzen'!B:G,6,FALSE)</f>
        <v>2</v>
      </c>
      <c r="E77" s="845" t="s">
        <v>597</v>
      </c>
      <c r="F77" s="798" t="s">
        <v>736</v>
      </c>
      <c r="G77" s="799">
        <v>33103</v>
      </c>
      <c r="H77" s="845" t="s">
        <v>593</v>
      </c>
      <c r="I77" s="573" t="str">
        <f t="shared" si="17"/>
        <v>labruimte</v>
      </c>
      <c r="J77" s="694" t="s">
        <v>594</v>
      </c>
      <c r="K77" s="865">
        <v>5</v>
      </c>
      <c r="L77" s="800"/>
      <c r="M77" s="867">
        <v>8253</v>
      </c>
      <c r="N77" s="868"/>
      <c r="O77" s="869"/>
      <c r="P77" s="869"/>
      <c r="Q77" s="866">
        <f t="shared" si="24"/>
        <v>253</v>
      </c>
      <c r="R77" s="600">
        <v>1</v>
      </c>
      <c r="S77" s="600">
        <v>1</v>
      </c>
      <c r="T77" s="468">
        <f t="shared" si="25"/>
        <v>0</v>
      </c>
      <c r="U77" s="468">
        <f t="shared" si="26"/>
        <v>0</v>
      </c>
      <c r="V77" s="468">
        <f t="shared" si="27"/>
        <v>0</v>
      </c>
      <c r="W77" s="468">
        <f t="shared" si="28"/>
        <v>0</v>
      </c>
      <c r="X77" s="601">
        <f t="shared" si="18"/>
        <v>0</v>
      </c>
      <c r="Y77" s="601">
        <f t="shared" si="19"/>
        <v>0</v>
      </c>
      <c r="Z77" s="601">
        <f t="shared" si="20"/>
        <v>0</v>
      </c>
      <c r="AA77" s="601">
        <f t="shared" si="21"/>
        <v>0</v>
      </c>
      <c r="AB77" s="602" t="str">
        <f t="shared" si="22"/>
        <v>V</v>
      </c>
      <c r="AC77" s="847"/>
      <c r="AD77" s="603">
        <f>(T77+U77+V77)*'1.0-Contractblad'!$K$69</f>
        <v>0</v>
      </c>
      <c r="AE77" s="603"/>
      <c r="AF77" s="58">
        <f t="shared" si="23"/>
        <v>0</v>
      </c>
      <c r="AG77" s="58">
        <f t="shared" si="29"/>
        <v>1265</v>
      </c>
      <c r="AH77" s="58" t="str">
        <f t="shared" si="30"/>
        <v>8253-253</v>
      </c>
    </row>
    <row r="78" spans="1:34" ht="13">
      <c r="A78" s="134"/>
      <c r="B78" s="470"/>
      <c r="C78" s="471"/>
      <c r="D78" s="859">
        <f>VLOOKUP(E78,'1.1a-Jaarprijzen'!B:G,6,FALSE)</f>
        <v>2</v>
      </c>
      <c r="E78" s="845" t="s">
        <v>597</v>
      </c>
      <c r="F78" s="798" t="s">
        <v>736</v>
      </c>
      <c r="G78" s="799">
        <v>33104</v>
      </c>
      <c r="H78" s="573" t="s">
        <v>549</v>
      </c>
      <c r="I78" s="573" t="str">
        <f t="shared" si="17"/>
        <v>entree, gang, hal, repro, kopieer</v>
      </c>
      <c r="J78" s="694" t="s">
        <v>455</v>
      </c>
      <c r="K78" s="865">
        <v>19.399999999999999</v>
      </c>
      <c r="L78" s="800"/>
      <c r="M78" s="867">
        <v>3253</v>
      </c>
      <c r="N78" s="868"/>
      <c r="O78" s="869"/>
      <c r="P78" s="869"/>
      <c r="Q78" s="866">
        <f t="shared" si="24"/>
        <v>253</v>
      </c>
      <c r="R78" s="600">
        <v>1</v>
      </c>
      <c r="S78" s="600">
        <v>1</v>
      </c>
      <c r="T78" s="468">
        <f t="shared" si="25"/>
        <v>0</v>
      </c>
      <c r="U78" s="468">
        <f t="shared" si="26"/>
        <v>0</v>
      </c>
      <c r="V78" s="468">
        <f t="shared" si="27"/>
        <v>0</v>
      </c>
      <c r="W78" s="468">
        <f t="shared" si="28"/>
        <v>0</v>
      </c>
      <c r="X78" s="601">
        <f t="shared" si="18"/>
        <v>0</v>
      </c>
      <c r="Y78" s="601">
        <f t="shared" si="19"/>
        <v>0</v>
      </c>
      <c r="Z78" s="601">
        <f t="shared" si="20"/>
        <v>0</v>
      </c>
      <c r="AA78" s="601">
        <f t="shared" si="21"/>
        <v>0</v>
      </c>
      <c r="AB78" s="602" t="str">
        <f t="shared" si="22"/>
        <v>V</v>
      </c>
      <c r="AC78" s="847"/>
      <c r="AD78" s="603">
        <f>(T78+U78+V78)*'1.0-Contractblad'!$K$69</f>
        <v>0</v>
      </c>
      <c r="AE78" s="603"/>
      <c r="AF78" s="58">
        <f t="shared" si="23"/>
        <v>0</v>
      </c>
      <c r="AG78" s="58">
        <f t="shared" si="29"/>
        <v>4908.2</v>
      </c>
      <c r="AH78" s="58" t="str">
        <f t="shared" si="30"/>
        <v>3253-253</v>
      </c>
    </row>
    <row r="79" spans="1:34" ht="13">
      <c r="A79" s="134"/>
      <c r="B79" s="470"/>
      <c r="C79" s="471"/>
      <c r="D79" s="859">
        <f>VLOOKUP(E79,'1.1a-Jaarprijzen'!B:G,6,FALSE)</f>
        <v>2</v>
      </c>
      <c r="E79" s="845" t="s">
        <v>597</v>
      </c>
      <c r="F79" s="798" t="s">
        <v>736</v>
      </c>
      <c r="G79" s="799">
        <v>33105</v>
      </c>
      <c r="H79" s="573" t="s">
        <v>595</v>
      </c>
      <c r="I79" s="573" t="str">
        <f t="shared" si="17"/>
        <v>niet van toepassing</v>
      </c>
      <c r="J79" s="694" t="s">
        <v>594</v>
      </c>
      <c r="K79" s="865"/>
      <c r="L79" s="800">
        <v>2.7</v>
      </c>
      <c r="M79" s="867" t="s">
        <v>19</v>
      </c>
      <c r="N79" s="868"/>
      <c r="O79" s="869"/>
      <c r="P79" s="869"/>
      <c r="Q79" s="866">
        <f t="shared" si="24"/>
        <v>0</v>
      </c>
      <c r="R79" s="600">
        <v>1</v>
      </c>
      <c r="S79" s="600">
        <v>1</v>
      </c>
      <c r="T79" s="468">
        <f t="shared" si="25"/>
        <v>0</v>
      </c>
      <c r="U79" s="468">
        <f t="shared" si="26"/>
        <v>0</v>
      </c>
      <c r="V79" s="468">
        <f t="shared" si="27"/>
        <v>0</v>
      </c>
      <c r="W79" s="468">
        <f t="shared" si="28"/>
        <v>0</v>
      </c>
      <c r="X79" s="601">
        <f t="shared" si="18"/>
        <v>0</v>
      </c>
      <c r="Y79" s="601">
        <f t="shared" si="19"/>
        <v>0</v>
      </c>
      <c r="Z79" s="601">
        <f t="shared" si="20"/>
        <v>0</v>
      </c>
      <c r="AA79" s="601">
        <f t="shared" si="21"/>
        <v>0</v>
      </c>
      <c r="AB79" s="602">
        <f t="shared" si="22"/>
        <v>0</v>
      </c>
      <c r="AC79" s="847"/>
      <c r="AD79" s="603">
        <f>(T79+U79+V79)*'1.0-Contractblad'!$K$69</f>
        <v>0</v>
      </c>
      <c r="AE79" s="603"/>
      <c r="AF79" s="58">
        <f t="shared" si="23"/>
        <v>0</v>
      </c>
      <c r="AG79" s="58">
        <f t="shared" si="29"/>
        <v>0</v>
      </c>
      <c r="AH79" s="58" t="str">
        <f t="shared" si="30"/>
        <v>nvt-0</v>
      </c>
    </row>
    <row r="80" spans="1:34" ht="13">
      <c r="A80" s="134"/>
      <c r="B80" s="470"/>
      <c r="C80" s="471"/>
      <c r="D80" s="859">
        <f>VLOOKUP(E80,'1.1a-Jaarprijzen'!B:G,6,FALSE)</f>
        <v>2</v>
      </c>
      <c r="E80" s="845" t="s">
        <v>597</v>
      </c>
      <c r="F80" s="798" t="s">
        <v>736</v>
      </c>
      <c r="G80" s="799">
        <v>33106</v>
      </c>
      <c r="H80" s="845" t="s">
        <v>596</v>
      </c>
      <c r="I80" s="573" t="str">
        <f t="shared" si="17"/>
        <v>sanitaire ruimte (toilet-/doucheruimte)</v>
      </c>
      <c r="J80" s="694" t="s">
        <v>594</v>
      </c>
      <c r="K80" s="865">
        <v>3.8</v>
      </c>
      <c r="L80" s="800"/>
      <c r="M80" s="867">
        <v>4253</v>
      </c>
      <c r="N80" s="868"/>
      <c r="O80" s="869"/>
      <c r="P80" s="869"/>
      <c r="Q80" s="866">
        <f t="shared" si="24"/>
        <v>253</v>
      </c>
      <c r="R80" s="600">
        <v>1</v>
      </c>
      <c r="S80" s="600">
        <v>1</v>
      </c>
      <c r="T80" s="468">
        <f t="shared" si="25"/>
        <v>0</v>
      </c>
      <c r="U80" s="468">
        <f t="shared" si="26"/>
        <v>0</v>
      </c>
      <c r="V80" s="468">
        <f t="shared" si="27"/>
        <v>0</v>
      </c>
      <c r="W80" s="468">
        <f t="shared" si="28"/>
        <v>0</v>
      </c>
      <c r="X80" s="601">
        <f t="shared" si="18"/>
        <v>0</v>
      </c>
      <c r="Y80" s="601">
        <f t="shared" si="19"/>
        <v>0</v>
      </c>
      <c r="Z80" s="601">
        <f t="shared" si="20"/>
        <v>0</v>
      </c>
      <c r="AA80" s="601">
        <f t="shared" si="21"/>
        <v>0</v>
      </c>
      <c r="AB80" s="602" t="str">
        <f t="shared" si="22"/>
        <v>S</v>
      </c>
      <c r="AC80" s="847"/>
      <c r="AD80" s="603">
        <f>(T80+U80+V80)*'1.0-Contractblad'!$K$69</f>
        <v>0</v>
      </c>
      <c r="AE80" s="603"/>
      <c r="AF80" s="58">
        <f t="shared" si="23"/>
        <v>0</v>
      </c>
      <c r="AG80" s="58">
        <f t="shared" si="29"/>
        <v>961.4</v>
      </c>
      <c r="AH80" s="58" t="str">
        <f t="shared" si="30"/>
        <v>4253-253</v>
      </c>
    </row>
    <row r="81" spans="1:34" ht="13">
      <c r="A81" s="134"/>
      <c r="B81" s="470"/>
      <c r="C81" s="471"/>
      <c r="D81" s="859">
        <f>VLOOKUP(E81,'1.1a-Jaarprijzen'!B:G,6,FALSE)</f>
        <v>2</v>
      </c>
      <c r="E81" s="845" t="s">
        <v>597</v>
      </c>
      <c r="F81" s="798" t="s">
        <v>737</v>
      </c>
      <c r="G81" s="799">
        <v>33201</v>
      </c>
      <c r="H81" s="845" t="s">
        <v>591</v>
      </c>
      <c r="I81" s="573" t="str">
        <f t="shared" si="17"/>
        <v>niet van toepassing</v>
      </c>
      <c r="J81" s="694" t="s">
        <v>594</v>
      </c>
      <c r="K81" s="865"/>
      <c r="L81" s="800"/>
      <c r="M81" s="867" t="s">
        <v>19</v>
      </c>
      <c r="N81" s="868"/>
      <c r="O81" s="798"/>
      <c r="P81" s="869"/>
      <c r="Q81" s="866">
        <f t="shared" si="24"/>
        <v>0</v>
      </c>
      <c r="R81" s="600">
        <v>1</v>
      </c>
      <c r="S81" s="600">
        <v>1</v>
      </c>
      <c r="T81" s="468">
        <f t="shared" si="25"/>
        <v>0</v>
      </c>
      <c r="U81" s="468">
        <f t="shared" si="26"/>
        <v>0</v>
      </c>
      <c r="V81" s="468">
        <f t="shared" si="27"/>
        <v>0</v>
      </c>
      <c r="W81" s="468">
        <f t="shared" si="28"/>
        <v>0</v>
      </c>
      <c r="X81" s="601">
        <f t="shared" si="18"/>
        <v>0</v>
      </c>
      <c r="Y81" s="601">
        <f t="shared" si="19"/>
        <v>0</v>
      </c>
      <c r="Z81" s="601">
        <f t="shared" si="20"/>
        <v>0</v>
      </c>
      <c r="AA81" s="601">
        <f t="shared" si="21"/>
        <v>0</v>
      </c>
      <c r="AB81" s="602">
        <f t="shared" si="22"/>
        <v>0</v>
      </c>
      <c r="AC81" s="852" t="s">
        <v>592</v>
      </c>
      <c r="AD81" s="603">
        <f>(T81+U81+V81)*'1.0-Contractblad'!$K$69</f>
        <v>0</v>
      </c>
      <c r="AE81" s="603"/>
      <c r="AF81" s="58">
        <f t="shared" si="23"/>
        <v>0</v>
      </c>
      <c r="AG81" s="58">
        <f t="shared" si="29"/>
        <v>0</v>
      </c>
      <c r="AH81" s="58" t="str">
        <f t="shared" si="30"/>
        <v>nvt-0</v>
      </c>
    </row>
    <row r="82" spans="1:34" ht="13">
      <c r="A82" s="134"/>
      <c r="B82" s="470"/>
      <c r="C82" s="471"/>
      <c r="D82" s="859">
        <f>VLOOKUP(E82,'1.1a-Jaarprijzen'!B:G,6,FALSE)</f>
        <v>2</v>
      </c>
      <c r="E82" s="845" t="s">
        <v>855</v>
      </c>
      <c r="F82" s="798" t="s">
        <v>469</v>
      </c>
      <c r="G82" s="799" t="s">
        <v>437</v>
      </c>
      <c r="H82" s="573" t="s">
        <v>528</v>
      </c>
      <c r="I82" s="573" t="str">
        <f t="shared" si="17"/>
        <v>entree, gang, hal, repro, kopieer</v>
      </c>
      <c r="J82" s="694" t="s">
        <v>462</v>
      </c>
      <c r="K82" s="865">
        <v>2.76</v>
      </c>
      <c r="L82" s="800"/>
      <c r="M82" s="867">
        <v>3104</v>
      </c>
      <c r="N82" s="868"/>
      <c r="O82" s="869"/>
      <c r="P82" s="869"/>
      <c r="Q82" s="866">
        <f t="shared" si="24"/>
        <v>104</v>
      </c>
      <c r="R82" s="600">
        <v>1</v>
      </c>
      <c r="S82" s="600">
        <v>1</v>
      </c>
      <c r="T82" s="468">
        <f t="shared" si="25"/>
        <v>0</v>
      </c>
      <c r="U82" s="468">
        <f t="shared" si="26"/>
        <v>0</v>
      </c>
      <c r="V82" s="468">
        <f t="shared" si="27"/>
        <v>0</v>
      </c>
      <c r="W82" s="468">
        <f t="shared" si="28"/>
        <v>0</v>
      </c>
      <c r="X82" s="601">
        <f t="shared" si="18"/>
        <v>0</v>
      </c>
      <c r="Y82" s="601">
        <f t="shared" si="19"/>
        <v>0</v>
      </c>
      <c r="Z82" s="601">
        <f t="shared" si="20"/>
        <v>0</v>
      </c>
      <c r="AA82" s="601">
        <f t="shared" si="21"/>
        <v>0</v>
      </c>
      <c r="AB82" s="602" t="str">
        <f t="shared" si="22"/>
        <v>V</v>
      </c>
      <c r="AC82" s="847" t="s">
        <v>1229</v>
      </c>
      <c r="AD82" s="603">
        <f>(T82+U82+V82)*'1.0-Contractblad'!$K$69</f>
        <v>0</v>
      </c>
      <c r="AE82" s="603"/>
      <c r="AF82" s="58">
        <f t="shared" si="23"/>
        <v>0</v>
      </c>
      <c r="AG82" s="58">
        <f t="shared" si="29"/>
        <v>287.03999999999996</v>
      </c>
      <c r="AH82" s="58" t="str">
        <f t="shared" si="30"/>
        <v>3104-104</v>
      </c>
    </row>
    <row r="83" spans="1:34" ht="13">
      <c r="A83" s="134"/>
      <c r="B83" s="470"/>
      <c r="C83" s="471"/>
      <c r="D83" s="859">
        <f>VLOOKUP(E83,'1.1a-Jaarprijzen'!B:G,6,FALSE)</f>
        <v>2</v>
      </c>
      <c r="E83" s="845" t="s">
        <v>855</v>
      </c>
      <c r="F83" s="798" t="s">
        <v>469</v>
      </c>
      <c r="G83" s="799" t="s">
        <v>438</v>
      </c>
      <c r="H83" s="573" t="s">
        <v>844</v>
      </c>
      <c r="I83" s="573" t="str">
        <f t="shared" si="17"/>
        <v>entree, gang, hal, repro, kopieer</v>
      </c>
      <c r="J83" s="694" t="s">
        <v>477</v>
      </c>
      <c r="K83" s="865">
        <v>11.7</v>
      </c>
      <c r="L83" s="800"/>
      <c r="M83" s="867">
        <v>3104</v>
      </c>
      <c r="N83" s="868"/>
      <c r="O83" s="869"/>
      <c r="P83" s="869"/>
      <c r="Q83" s="866">
        <f t="shared" si="24"/>
        <v>104</v>
      </c>
      <c r="R83" s="600">
        <v>1</v>
      </c>
      <c r="S83" s="600">
        <v>1</v>
      </c>
      <c r="T83" s="468">
        <f t="shared" si="25"/>
        <v>0</v>
      </c>
      <c r="U83" s="468">
        <f t="shared" si="26"/>
        <v>0</v>
      </c>
      <c r="V83" s="468">
        <f t="shared" si="27"/>
        <v>0</v>
      </c>
      <c r="W83" s="468">
        <f t="shared" si="28"/>
        <v>0</v>
      </c>
      <c r="X83" s="601">
        <f t="shared" si="18"/>
        <v>0</v>
      </c>
      <c r="Y83" s="601">
        <f t="shared" si="19"/>
        <v>0</v>
      </c>
      <c r="Z83" s="601">
        <f t="shared" si="20"/>
        <v>0</v>
      </c>
      <c r="AA83" s="601">
        <f t="shared" si="21"/>
        <v>0</v>
      </c>
      <c r="AB83" s="602" t="str">
        <f t="shared" si="22"/>
        <v>V</v>
      </c>
      <c r="AC83" s="847" t="s">
        <v>1229</v>
      </c>
      <c r="AD83" s="603">
        <f>(T83+U83+V83)*'1.0-Contractblad'!$K$69</f>
        <v>0</v>
      </c>
      <c r="AE83" s="603"/>
      <c r="AF83" s="58">
        <f t="shared" si="23"/>
        <v>0</v>
      </c>
      <c r="AG83" s="58">
        <f t="shared" si="29"/>
        <v>1216.8</v>
      </c>
      <c r="AH83" s="58" t="str">
        <f t="shared" si="30"/>
        <v>3104-104</v>
      </c>
    </row>
    <row r="84" spans="1:34" ht="13">
      <c r="A84" s="134"/>
      <c r="B84" s="470"/>
      <c r="C84" s="471"/>
      <c r="D84" s="859">
        <f>VLOOKUP(E84,'1.1a-Jaarprijzen'!B:G,6,FALSE)</f>
        <v>2</v>
      </c>
      <c r="E84" s="845" t="s">
        <v>855</v>
      </c>
      <c r="F84" s="798" t="s">
        <v>469</v>
      </c>
      <c r="G84" s="799" t="s">
        <v>439</v>
      </c>
      <c r="H84" s="573" t="s">
        <v>452</v>
      </c>
      <c r="I84" s="573" t="str">
        <f t="shared" si="17"/>
        <v>administratieve -, personeels- en vergaderruimte</v>
      </c>
      <c r="J84" s="694" t="s">
        <v>455</v>
      </c>
      <c r="K84" s="865">
        <v>23.25</v>
      </c>
      <c r="L84" s="800"/>
      <c r="M84" s="867">
        <v>1104</v>
      </c>
      <c r="N84" s="868"/>
      <c r="O84" s="869"/>
      <c r="P84" s="869"/>
      <c r="Q84" s="866">
        <f t="shared" si="24"/>
        <v>104</v>
      </c>
      <c r="R84" s="600">
        <v>1</v>
      </c>
      <c r="S84" s="600">
        <v>1</v>
      </c>
      <c r="T84" s="468">
        <f t="shared" si="25"/>
        <v>0</v>
      </c>
      <c r="U84" s="468">
        <f t="shared" si="26"/>
        <v>0</v>
      </c>
      <c r="V84" s="468">
        <f t="shared" si="27"/>
        <v>0</v>
      </c>
      <c r="W84" s="468">
        <f t="shared" si="28"/>
        <v>0</v>
      </c>
      <c r="X84" s="601">
        <f t="shared" si="18"/>
        <v>0</v>
      </c>
      <c r="Y84" s="601">
        <f t="shared" si="19"/>
        <v>0</v>
      </c>
      <c r="Z84" s="601">
        <f t="shared" si="20"/>
        <v>0</v>
      </c>
      <c r="AA84" s="601">
        <f t="shared" si="21"/>
        <v>0</v>
      </c>
      <c r="AB84" s="602" t="str">
        <f t="shared" si="22"/>
        <v>B</v>
      </c>
      <c r="AC84" s="847" t="s">
        <v>1229</v>
      </c>
      <c r="AD84" s="603">
        <f>(T84+U84+V84)*'1.0-Contractblad'!$K$69</f>
        <v>0</v>
      </c>
      <c r="AE84" s="603"/>
      <c r="AF84" s="58">
        <f t="shared" si="23"/>
        <v>0</v>
      </c>
      <c r="AG84" s="58">
        <f t="shared" si="29"/>
        <v>2418</v>
      </c>
      <c r="AH84" s="58" t="str">
        <f t="shared" si="30"/>
        <v>1104-104</v>
      </c>
    </row>
    <row r="85" spans="1:34" ht="13">
      <c r="A85" s="134"/>
      <c r="B85" s="470"/>
      <c r="C85" s="471"/>
      <c r="D85" s="859">
        <f>VLOOKUP(E85,'1.1a-Jaarprijzen'!B:G,6,FALSE)</f>
        <v>2</v>
      </c>
      <c r="E85" s="845" t="s">
        <v>855</v>
      </c>
      <c r="F85" s="798" t="s">
        <v>469</v>
      </c>
      <c r="G85" s="799" t="s">
        <v>440</v>
      </c>
      <c r="H85" s="573" t="s">
        <v>514</v>
      </c>
      <c r="I85" s="573" t="str">
        <f t="shared" si="17"/>
        <v>administratieve -, personeels- en vergaderruimte</v>
      </c>
      <c r="J85" s="694" t="s">
        <v>455</v>
      </c>
      <c r="K85" s="865">
        <v>35.14</v>
      </c>
      <c r="L85" s="800"/>
      <c r="M85" s="867">
        <v>1104</v>
      </c>
      <c r="N85" s="868"/>
      <c r="O85" s="869"/>
      <c r="P85" s="869"/>
      <c r="Q85" s="866">
        <f t="shared" si="24"/>
        <v>104</v>
      </c>
      <c r="R85" s="600">
        <v>1</v>
      </c>
      <c r="S85" s="600">
        <v>1</v>
      </c>
      <c r="T85" s="468">
        <f t="shared" si="25"/>
        <v>0</v>
      </c>
      <c r="U85" s="468">
        <f t="shared" si="26"/>
        <v>0</v>
      </c>
      <c r="V85" s="468">
        <f t="shared" si="27"/>
        <v>0</v>
      </c>
      <c r="W85" s="468">
        <f t="shared" si="28"/>
        <v>0</v>
      </c>
      <c r="X85" s="601">
        <f t="shared" si="18"/>
        <v>0</v>
      </c>
      <c r="Y85" s="601">
        <f t="shared" si="19"/>
        <v>0</v>
      </c>
      <c r="Z85" s="601">
        <f t="shared" si="20"/>
        <v>0</v>
      </c>
      <c r="AA85" s="601">
        <f t="shared" si="21"/>
        <v>0</v>
      </c>
      <c r="AB85" s="602" t="str">
        <f t="shared" si="22"/>
        <v>B</v>
      </c>
      <c r="AC85" s="847" t="s">
        <v>1229</v>
      </c>
      <c r="AD85" s="603">
        <f>(T85+U85+V85)*'1.0-Contractblad'!$K$69</f>
        <v>0</v>
      </c>
      <c r="AE85" s="603"/>
      <c r="AF85" s="58">
        <f t="shared" si="23"/>
        <v>0</v>
      </c>
      <c r="AG85" s="58">
        <f t="shared" si="29"/>
        <v>3654.56</v>
      </c>
      <c r="AH85" s="58" t="str">
        <f t="shared" si="30"/>
        <v>1104-104</v>
      </c>
    </row>
    <row r="86" spans="1:34" ht="13">
      <c r="A86" s="134"/>
      <c r="B86" s="470"/>
      <c r="C86" s="471"/>
      <c r="D86" s="859">
        <f>VLOOKUP(E86,'1.1a-Jaarprijzen'!B:G,6,FALSE)</f>
        <v>2</v>
      </c>
      <c r="E86" s="845" t="s">
        <v>855</v>
      </c>
      <c r="F86" s="798" t="s">
        <v>469</v>
      </c>
      <c r="G86" s="799" t="s">
        <v>441</v>
      </c>
      <c r="H86" s="573" t="s">
        <v>545</v>
      </c>
      <c r="I86" s="573" t="str">
        <f t="shared" si="17"/>
        <v>labruimte</v>
      </c>
      <c r="J86" s="694" t="s">
        <v>455</v>
      </c>
      <c r="K86" s="865">
        <v>11.61</v>
      </c>
      <c r="L86" s="800"/>
      <c r="M86" s="867">
        <v>8104</v>
      </c>
      <c r="N86" s="868"/>
      <c r="O86" s="869"/>
      <c r="P86" s="869"/>
      <c r="Q86" s="866">
        <f t="shared" si="24"/>
        <v>104</v>
      </c>
      <c r="R86" s="600">
        <v>1</v>
      </c>
      <c r="S86" s="600">
        <v>1</v>
      </c>
      <c r="T86" s="468">
        <f t="shared" si="25"/>
        <v>0</v>
      </c>
      <c r="U86" s="468">
        <f t="shared" si="26"/>
        <v>0</v>
      </c>
      <c r="V86" s="468">
        <f t="shared" si="27"/>
        <v>0</v>
      </c>
      <c r="W86" s="468">
        <f t="shared" si="28"/>
        <v>0</v>
      </c>
      <c r="X86" s="601">
        <f t="shared" si="18"/>
        <v>0</v>
      </c>
      <c r="Y86" s="601">
        <f t="shared" si="19"/>
        <v>0</v>
      </c>
      <c r="Z86" s="601">
        <f t="shared" si="20"/>
        <v>0</v>
      </c>
      <c r="AA86" s="601">
        <f t="shared" si="21"/>
        <v>0</v>
      </c>
      <c r="AB86" s="602" t="str">
        <f t="shared" si="22"/>
        <v>V</v>
      </c>
      <c r="AC86" s="847" t="s">
        <v>1229</v>
      </c>
      <c r="AD86" s="603">
        <f>(T86+U86+V86)*'1.0-Contractblad'!$K$69</f>
        <v>0</v>
      </c>
      <c r="AE86" s="603"/>
      <c r="AF86" s="58">
        <f t="shared" si="23"/>
        <v>0</v>
      </c>
      <c r="AG86" s="58">
        <f t="shared" si="29"/>
        <v>1207.44</v>
      </c>
      <c r="AH86" s="58" t="str">
        <f t="shared" si="30"/>
        <v>8104-104</v>
      </c>
    </row>
    <row r="87" spans="1:34" ht="13">
      <c r="A87" s="134"/>
      <c r="B87" s="470"/>
      <c r="C87" s="471"/>
      <c r="D87" s="859">
        <f>VLOOKUP(E87,'1.1a-Jaarprijzen'!B:G,6,FALSE)</f>
        <v>2</v>
      </c>
      <c r="E87" s="845" t="s">
        <v>855</v>
      </c>
      <c r="F87" s="798" t="s">
        <v>469</v>
      </c>
      <c r="G87" s="799" t="s">
        <v>442</v>
      </c>
      <c r="H87" s="573" t="s">
        <v>453</v>
      </c>
      <c r="I87" s="573" t="str">
        <f t="shared" si="17"/>
        <v>entree, gang, hal, repro, kopieer</v>
      </c>
      <c r="J87" s="694" t="s">
        <v>462</v>
      </c>
      <c r="K87" s="865">
        <v>22.9</v>
      </c>
      <c r="L87" s="800"/>
      <c r="M87" s="867">
        <v>3104</v>
      </c>
      <c r="N87" s="868"/>
      <c r="O87" s="869"/>
      <c r="P87" s="869"/>
      <c r="Q87" s="866">
        <f t="shared" si="24"/>
        <v>104</v>
      </c>
      <c r="R87" s="600">
        <v>1</v>
      </c>
      <c r="S87" s="600">
        <v>1</v>
      </c>
      <c r="T87" s="468">
        <f t="shared" si="25"/>
        <v>0</v>
      </c>
      <c r="U87" s="468">
        <f t="shared" si="26"/>
        <v>0</v>
      </c>
      <c r="V87" s="468">
        <f t="shared" si="27"/>
        <v>0</v>
      </c>
      <c r="W87" s="468">
        <f t="shared" si="28"/>
        <v>0</v>
      </c>
      <c r="X87" s="601">
        <f t="shared" si="18"/>
        <v>0</v>
      </c>
      <c r="Y87" s="601">
        <f t="shared" si="19"/>
        <v>0</v>
      </c>
      <c r="Z87" s="601">
        <f t="shared" si="20"/>
        <v>0</v>
      </c>
      <c r="AA87" s="601">
        <f t="shared" si="21"/>
        <v>0</v>
      </c>
      <c r="AB87" s="602" t="str">
        <f t="shared" si="22"/>
        <v>V</v>
      </c>
      <c r="AC87" s="847" t="s">
        <v>1229</v>
      </c>
      <c r="AD87" s="603">
        <f>(T87+U87+V87)*'1.0-Contractblad'!$K$69</f>
        <v>0</v>
      </c>
      <c r="AE87" s="603"/>
      <c r="AF87" s="58">
        <f t="shared" si="23"/>
        <v>0</v>
      </c>
      <c r="AG87" s="58">
        <f t="shared" si="29"/>
        <v>2381.6</v>
      </c>
      <c r="AH87" s="58" t="str">
        <f t="shared" si="30"/>
        <v>3104-104</v>
      </c>
    </row>
    <row r="88" spans="1:34" ht="13">
      <c r="A88" s="134"/>
      <c r="B88" s="470"/>
      <c r="C88" s="471"/>
      <c r="D88" s="859">
        <f>VLOOKUP(E88,'1.1a-Jaarprijzen'!B:G,6,FALSE)</f>
        <v>2</v>
      </c>
      <c r="E88" s="845" t="s">
        <v>855</v>
      </c>
      <c r="F88" s="798" t="s">
        <v>469</v>
      </c>
      <c r="G88" s="799" t="s">
        <v>443</v>
      </c>
      <c r="H88" s="573" t="s">
        <v>845</v>
      </c>
      <c r="I88" s="573" t="str">
        <f t="shared" si="17"/>
        <v>niet van toepassing</v>
      </c>
      <c r="J88" s="694" t="s">
        <v>553</v>
      </c>
      <c r="K88" s="865"/>
      <c r="L88" s="800">
        <v>10.8</v>
      </c>
      <c r="M88" s="867" t="s">
        <v>19</v>
      </c>
      <c r="N88" s="868"/>
      <c r="O88" s="869"/>
      <c r="P88" s="869"/>
      <c r="Q88" s="866">
        <f t="shared" si="24"/>
        <v>0</v>
      </c>
      <c r="R88" s="600">
        <v>1</v>
      </c>
      <c r="S88" s="600">
        <v>1</v>
      </c>
      <c r="T88" s="468">
        <f t="shared" si="25"/>
        <v>0</v>
      </c>
      <c r="U88" s="468">
        <f t="shared" si="26"/>
        <v>0</v>
      </c>
      <c r="V88" s="468">
        <f t="shared" si="27"/>
        <v>0</v>
      </c>
      <c r="W88" s="468">
        <f t="shared" si="28"/>
        <v>0</v>
      </c>
      <c r="X88" s="601">
        <f t="shared" si="18"/>
        <v>0</v>
      </c>
      <c r="Y88" s="601">
        <f t="shared" si="19"/>
        <v>0</v>
      </c>
      <c r="Z88" s="601">
        <f t="shared" si="20"/>
        <v>0</v>
      </c>
      <c r="AA88" s="601">
        <f t="shared" si="21"/>
        <v>0</v>
      </c>
      <c r="AB88" s="602">
        <f t="shared" si="22"/>
        <v>0</v>
      </c>
      <c r="AC88" s="847"/>
      <c r="AD88" s="603">
        <f>(T88+U88+V88)*'1.0-Contractblad'!$K$69</f>
        <v>0</v>
      </c>
      <c r="AE88" s="603"/>
      <c r="AF88" s="58">
        <f t="shared" si="23"/>
        <v>0</v>
      </c>
      <c r="AG88" s="58">
        <f t="shared" si="29"/>
        <v>0</v>
      </c>
      <c r="AH88" s="58" t="str">
        <f t="shared" si="30"/>
        <v>nvt-0</v>
      </c>
    </row>
    <row r="89" spans="1:34" ht="13">
      <c r="A89" s="134"/>
      <c r="B89" s="470"/>
      <c r="C89" s="471"/>
      <c r="D89" s="859">
        <f>VLOOKUP(E89,'1.1a-Jaarprijzen'!B:G,6,FALSE)</f>
        <v>2</v>
      </c>
      <c r="E89" s="845" t="s">
        <v>855</v>
      </c>
      <c r="F89" s="798" t="s">
        <v>469</v>
      </c>
      <c r="G89" s="799" t="s">
        <v>444</v>
      </c>
      <c r="H89" s="573" t="s">
        <v>732</v>
      </c>
      <c r="I89" s="573" t="str">
        <f t="shared" si="17"/>
        <v>niet van toepassing</v>
      </c>
      <c r="J89" s="694" t="s">
        <v>688</v>
      </c>
      <c r="K89" s="865"/>
      <c r="L89" s="800">
        <v>25</v>
      </c>
      <c r="M89" s="867" t="s">
        <v>19</v>
      </c>
      <c r="N89" s="868"/>
      <c r="O89" s="869"/>
      <c r="P89" s="869"/>
      <c r="Q89" s="866">
        <f t="shared" si="24"/>
        <v>0</v>
      </c>
      <c r="R89" s="600">
        <v>1</v>
      </c>
      <c r="S89" s="600">
        <v>1</v>
      </c>
      <c r="T89" s="468">
        <f t="shared" si="25"/>
        <v>0</v>
      </c>
      <c r="U89" s="468">
        <f t="shared" si="26"/>
        <v>0</v>
      </c>
      <c r="V89" s="468">
        <f t="shared" si="27"/>
        <v>0</v>
      </c>
      <c r="W89" s="468">
        <f t="shared" si="28"/>
        <v>0</v>
      </c>
      <c r="X89" s="601">
        <f t="shared" si="18"/>
        <v>0</v>
      </c>
      <c r="Y89" s="601">
        <f t="shared" si="19"/>
        <v>0</v>
      </c>
      <c r="Z89" s="601">
        <f t="shared" si="20"/>
        <v>0</v>
      </c>
      <c r="AA89" s="601">
        <f t="shared" si="21"/>
        <v>0</v>
      </c>
      <c r="AB89" s="602">
        <f t="shared" si="22"/>
        <v>0</v>
      </c>
      <c r="AC89" s="847"/>
      <c r="AD89" s="603">
        <f>(T89+U89+V89)*'1.0-Contractblad'!$K$69</f>
        <v>0</v>
      </c>
      <c r="AE89" s="603"/>
      <c r="AF89" s="58">
        <f t="shared" si="23"/>
        <v>0</v>
      </c>
      <c r="AG89" s="58">
        <f t="shared" si="29"/>
        <v>0</v>
      </c>
      <c r="AH89" s="58" t="str">
        <f t="shared" si="30"/>
        <v>nvt-0</v>
      </c>
    </row>
    <row r="90" spans="1:34" ht="13">
      <c r="A90" s="134"/>
      <c r="B90" s="470"/>
      <c r="C90" s="471"/>
      <c r="D90" s="859">
        <f>VLOOKUP(E90,'1.1a-Jaarprijzen'!B:G,6,FALSE)</f>
        <v>2</v>
      </c>
      <c r="E90" s="845" t="s">
        <v>855</v>
      </c>
      <c r="F90" s="798" t="s">
        <v>469</v>
      </c>
      <c r="G90" s="799" t="s">
        <v>445</v>
      </c>
      <c r="H90" s="573" t="s">
        <v>846</v>
      </c>
      <c r="I90" s="573" t="str">
        <f t="shared" si="17"/>
        <v>niet van toepassing</v>
      </c>
      <c r="J90" s="694" t="s">
        <v>455</v>
      </c>
      <c r="K90" s="865"/>
      <c r="L90" s="800">
        <v>13.89</v>
      </c>
      <c r="M90" s="867" t="s">
        <v>19</v>
      </c>
      <c r="N90" s="868"/>
      <c r="O90" s="869"/>
      <c r="P90" s="869"/>
      <c r="Q90" s="866">
        <f t="shared" si="24"/>
        <v>0</v>
      </c>
      <c r="R90" s="600">
        <v>1</v>
      </c>
      <c r="S90" s="600">
        <v>1</v>
      </c>
      <c r="T90" s="468">
        <f t="shared" si="25"/>
        <v>0</v>
      </c>
      <c r="U90" s="468">
        <f t="shared" si="26"/>
        <v>0</v>
      </c>
      <c r="V90" s="468">
        <f t="shared" si="27"/>
        <v>0</v>
      </c>
      <c r="W90" s="468">
        <f t="shared" si="28"/>
        <v>0</v>
      </c>
      <c r="X90" s="601">
        <f t="shared" si="18"/>
        <v>0</v>
      </c>
      <c r="Y90" s="601">
        <f t="shared" si="19"/>
        <v>0</v>
      </c>
      <c r="Z90" s="601">
        <f t="shared" si="20"/>
        <v>0</v>
      </c>
      <c r="AA90" s="601">
        <f t="shared" si="21"/>
        <v>0</v>
      </c>
      <c r="AB90" s="602">
        <f t="shared" si="22"/>
        <v>0</v>
      </c>
      <c r="AC90" s="847"/>
      <c r="AD90" s="603">
        <f>(T90+U90+V90)*'1.0-Contractblad'!$K$69</f>
        <v>0</v>
      </c>
      <c r="AE90" s="603"/>
      <c r="AF90" s="58">
        <f t="shared" si="23"/>
        <v>0</v>
      </c>
      <c r="AG90" s="58">
        <f t="shared" si="29"/>
        <v>0</v>
      </c>
      <c r="AH90" s="58" t="str">
        <f t="shared" si="30"/>
        <v>nvt-0</v>
      </c>
    </row>
    <row r="91" spans="1:34" ht="13">
      <c r="A91" s="134"/>
      <c r="B91" s="470"/>
      <c r="C91" s="471"/>
      <c r="D91" s="859">
        <f>VLOOKUP(E91,'1.1a-Jaarprijzen'!B:G,6,FALSE)</f>
        <v>2</v>
      </c>
      <c r="E91" s="845" t="s">
        <v>855</v>
      </c>
      <c r="F91" s="798" t="s">
        <v>469</v>
      </c>
      <c r="G91" s="799" t="s">
        <v>446</v>
      </c>
      <c r="H91" s="573" t="s">
        <v>847</v>
      </c>
      <c r="I91" s="573" t="str">
        <f t="shared" si="17"/>
        <v>kleedruimten</v>
      </c>
      <c r="J91" s="694" t="s">
        <v>462</v>
      </c>
      <c r="K91" s="865">
        <v>25</v>
      </c>
      <c r="L91" s="800"/>
      <c r="M91" s="867">
        <v>10104</v>
      </c>
      <c r="N91" s="868"/>
      <c r="O91" s="869"/>
      <c r="P91" s="869"/>
      <c r="Q91" s="866">
        <f t="shared" si="24"/>
        <v>104</v>
      </c>
      <c r="R91" s="600">
        <v>1</v>
      </c>
      <c r="S91" s="600">
        <v>1</v>
      </c>
      <c r="T91" s="468">
        <f t="shared" si="25"/>
        <v>0</v>
      </c>
      <c r="U91" s="468">
        <f t="shared" si="26"/>
        <v>0</v>
      </c>
      <c r="V91" s="468">
        <f t="shared" si="27"/>
        <v>0</v>
      </c>
      <c r="W91" s="468">
        <f t="shared" si="28"/>
        <v>0</v>
      </c>
      <c r="X91" s="601">
        <f t="shared" si="18"/>
        <v>0</v>
      </c>
      <c r="Y91" s="601">
        <f t="shared" si="19"/>
        <v>0</v>
      </c>
      <c r="Z91" s="601">
        <f t="shared" si="20"/>
        <v>0</v>
      </c>
      <c r="AA91" s="601">
        <f t="shared" si="21"/>
        <v>0</v>
      </c>
      <c r="AB91" s="602" t="str">
        <f t="shared" si="22"/>
        <v>V</v>
      </c>
      <c r="AC91" s="847" t="s">
        <v>1229</v>
      </c>
      <c r="AD91" s="603">
        <f>(T91+U91+V91)*'1.0-Contractblad'!$K$69</f>
        <v>0</v>
      </c>
      <c r="AE91" s="603"/>
      <c r="AF91" s="58">
        <f t="shared" si="23"/>
        <v>0</v>
      </c>
      <c r="AG91" s="58">
        <f t="shared" si="29"/>
        <v>2600</v>
      </c>
      <c r="AH91" s="58" t="str">
        <f t="shared" si="30"/>
        <v>10104-104</v>
      </c>
    </row>
    <row r="92" spans="1:34" ht="13">
      <c r="A92" s="134"/>
      <c r="B92" s="470"/>
      <c r="C92" s="471"/>
      <c r="D92" s="859">
        <f>VLOOKUP(E92,'1.1a-Jaarprijzen'!B:G,6,FALSE)</f>
        <v>2</v>
      </c>
      <c r="E92" s="845" t="s">
        <v>855</v>
      </c>
      <c r="F92" s="798" t="s">
        <v>469</v>
      </c>
      <c r="G92" s="799" t="s">
        <v>848</v>
      </c>
      <c r="H92" s="573" t="s">
        <v>493</v>
      </c>
      <c r="I92" s="573" t="str">
        <f t="shared" si="17"/>
        <v>sanitaire ruimte (toilet-/doucheruimte)</v>
      </c>
      <c r="J92" s="694" t="s">
        <v>462</v>
      </c>
      <c r="K92" s="865">
        <v>2.76</v>
      </c>
      <c r="L92" s="800"/>
      <c r="M92" s="867">
        <v>4104</v>
      </c>
      <c r="N92" s="868"/>
      <c r="O92" s="869"/>
      <c r="P92" s="869"/>
      <c r="Q92" s="866">
        <f t="shared" si="24"/>
        <v>104</v>
      </c>
      <c r="R92" s="600">
        <v>1</v>
      </c>
      <c r="S92" s="600">
        <v>1</v>
      </c>
      <c r="T92" s="468">
        <f t="shared" si="25"/>
        <v>0</v>
      </c>
      <c r="U92" s="468">
        <f t="shared" si="26"/>
        <v>0</v>
      </c>
      <c r="V92" s="468">
        <f t="shared" si="27"/>
        <v>0</v>
      </c>
      <c r="W92" s="468">
        <f t="shared" si="28"/>
        <v>0</v>
      </c>
      <c r="X92" s="601">
        <f t="shared" si="18"/>
        <v>0</v>
      </c>
      <c r="Y92" s="601">
        <f t="shared" si="19"/>
        <v>0</v>
      </c>
      <c r="Z92" s="601">
        <f t="shared" si="20"/>
        <v>0</v>
      </c>
      <c r="AA92" s="601">
        <f t="shared" si="21"/>
        <v>0</v>
      </c>
      <c r="AB92" s="602" t="str">
        <f t="shared" si="22"/>
        <v>S</v>
      </c>
      <c r="AC92" s="847" t="s">
        <v>1229</v>
      </c>
      <c r="AD92" s="603">
        <f>(T92+U92+V92)*'1.0-Contractblad'!$K$69</f>
        <v>0</v>
      </c>
      <c r="AE92" s="603"/>
      <c r="AF92" s="58">
        <f t="shared" si="23"/>
        <v>0</v>
      </c>
      <c r="AG92" s="58">
        <f t="shared" si="29"/>
        <v>287.03999999999996</v>
      </c>
      <c r="AH92" s="58" t="str">
        <f t="shared" si="30"/>
        <v>4104-104</v>
      </c>
    </row>
    <row r="93" spans="1:34" ht="13">
      <c r="A93" s="134"/>
      <c r="B93" s="470"/>
      <c r="C93" s="471"/>
      <c r="D93" s="859">
        <f>VLOOKUP(E93,'1.1a-Jaarprijzen'!B:G,6,FALSE)</f>
        <v>2</v>
      </c>
      <c r="E93" s="845" t="s">
        <v>855</v>
      </c>
      <c r="F93" s="798" t="s">
        <v>469</v>
      </c>
      <c r="G93" s="799" t="s">
        <v>849</v>
      </c>
      <c r="H93" s="573" t="s">
        <v>493</v>
      </c>
      <c r="I93" s="573" t="str">
        <f t="shared" si="17"/>
        <v>sanitaire ruimte (toilet-/doucheruimte)</v>
      </c>
      <c r="J93" s="694" t="s">
        <v>462</v>
      </c>
      <c r="K93" s="865">
        <v>2.5</v>
      </c>
      <c r="L93" s="800"/>
      <c r="M93" s="867">
        <v>4104</v>
      </c>
      <c r="N93" s="868"/>
      <c r="O93" s="869"/>
      <c r="P93" s="869"/>
      <c r="Q93" s="866">
        <f t="shared" si="24"/>
        <v>104</v>
      </c>
      <c r="R93" s="600">
        <v>1</v>
      </c>
      <c r="S93" s="600">
        <v>1</v>
      </c>
      <c r="T93" s="468">
        <f t="shared" si="25"/>
        <v>0</v>
      </c>
      <c r="U93" s="468">
        <f t="shared" si="26"/>
        <v>0</v>
      </c>
      <c r="V93" s="468">
        <f t="shared" si="27"/>
        <v>0</v>
      </c>
      <c r="W93" s="468">
        <f t="shared" si="28"/>
        <v>0</v>
      </c>
      <c r="X93" s="601">
        <f t="shared" si="18"/>
        <v>0</v>
      </c>
      <c r="Y93" s="601">
        <f t="shared" si="19"/>
        <v>0</v>
      </c>
      <c r="Z93" s="601">
        <f t="shared" si="20"/>
        <v>0</v>
      </c>
      <c r="AA93" s="601">
        <f t="shared" si="21"/>
        <v>0</v>
      </c>
      <c r="AB93" s="602" t="str">
        <f t="shared" si="22"/>
        <v>S</v>
      </c>
      <c r="AC93" s="847" t="s">
        <v>1229</v>
      </c>
      <c r="AD93" s="603">
        <f>(T93+U93+V93)*'1.0-Contractblad'!$K$69</f>
        <v>0</v>
      </c>
      <c r="AE93" s="603"/>
      <c r="AF93" s="58">
        <f t="shared" si="23"/>
        <v>0</v>
      </c>
      <c r="AG93" s="58">
        <f t="shared" si="29"/>
        <v>260</v>
      </c>
      <c r="AH93" s="58" t="str">
        <f t="shared" si="30"/>
        <v>4104-104</v>
      </c>
    </row>
    <row r="94" spans="1:34" ht="13">
      <c r="A94" s="134"/>
      <c r="B94" s="470"/>
      <c r="C94" s="471"/>
      <c r="D94" s="859">
        <f>VLOOKUP(E94,'1.1a-Jaarprijzen'!B:G,6,FALSE)</f>
        <v>2</v>
      </c>
      <c r="E94" s="845" t="s">
        <v>855</v>
      </c>
      <c r="F94" s="798" t="s">
        <v>469</v>
      </c>
      <c r="G94" s="799" t="s">
        <v>850</v>
      </c>
      <c r="H94" s="845" t="s">
        <v>466</v>
      </c>
      <c r="I94" s="573" t="str">
        <f t="shared" si="17"/>
        <v>sanitaire ruimte (toilet-/doucheruimte)</v>
      </c>
      <c r="J94" s="694" t="s">
        <v>462</v>
      </c>
      <c r="K94" s="865">
        <v>1.06</v>
      </c>
      <c r="L94" s="800"/>
      <c r="M94" s="867">
        <v>4104</v>
      </c>
      <c r="N94" s="868"/>
      <c r="O94" s="869"/>
      <c r="P94" s="869"/>
      <c r="Q94" s="866">
        <f t="shared" si="24"/>
        <v>104</v>
      </c>
      <c r="R94" s="600">
        <v>1</v>
      </c>
      <c r="S94" s="600">
        <v>1</v>
      </c>
      <c r="T94" s="468">
        <f t="shared" si="25"/>
        <v>0</v>
      </c>
      <c r="U94" s="468">
        <f t="shared" si="26"/>
        <v>0</v>
      </c>
      <c r="V94" s="468">
        <f t="shared" si="27"/>
        <v>0</v>
      </c>
      <c r="W94" s="468">
        <f t="shared" si="28"/>
        <v>0</v>
      </c>
      <c r="X94" s="601">
        <f t="shared" si="18"/>
        <v>0</v>
      </c>
      <c r="Y94" s="601">
        <f t="shared" si="19"/>
        <v>0</v>
      </c>
      <c r="Z94" s="601">
        <f t="shared" si="20"/>
        <v>0</v>
      </c>
      <c r="AA94" s="601">
        <f t="shared" si="21"/>
        <v>0</v>
      </c>
      <c r="AB94" s="602" t="str">
        <f t="shared" si="22"/>
        <v>S</v>
      </c>
      <c r="AC94" s="847" t="s">
        <v>1229</v>
      </c>
      <c r="AD94" s="603">
        <f>(T94+U94+V94)*'1.0-Contractblad'!$K$69</f>
        <v>0</v>
      </c>
      <c r="AE94" s="603"/>
      <c r="AF94" s="58">
        <f t="shared" si="23"/>
        <v>0</v>
      </c>
      <c r="AG94" s="58">
        <f t="shared" si="29"/>
        <v>110.24000000000001</v>
      </c>
      <c r="AH94" s="58" t="str">
        <f t="shared" si="30"/>
        <v>4104-104</v>
      </c>
    </row>
    <row r="95" spans="1:34" ht="13">
      <c r="A95" s="134"/>
      <c r="B95" s="470"/>
      <c r="C95" s="471"/>
      <c r="D95" s="859">
        <f>VLOOKUP(E95,'1.1a-Jaarprijzen'!B:G,6,FALSE)</f>
        <v>2</v>
      </c>
      <c r="E95" s="845" t="s">
        <v>855</v>
      </c>
      <c r="F95" s="798" t="s">
        <v>469</v>
      </c>
      <c r="G95" s="799" t="s">
        <v>851</v>
      </c>
      <c r="H95" s="573" t="s">
        <v>852</v>
      </c>
      <c r="I95" s="573" t="str">
        <f t="shared" si="17"/>
        <v>sanitaire ruimte (toilet-/doucheruimte)</v>
      </c>
      <c r="J95" s="694" t="s">
        <v>462</v>
      </c>
      <c r="K95" s="865">
        <v>1.06</v>
      </c>
      <c r="L95" s="800"/>
      <c r="M95" s="867">
        <v>4104</v>
      </c>
      <c r="N95" s="868"/>
      <c r="O95" s="869"/>
      <c r="P95" s="869"/>
      <c r="Q95" s="866">
        <f t="shared" si="24"/>
        <v>104</v>
      </c>
      <c r="R95" s="600">
        <v>1</v>
      </c>
      <c r="S95" s="600">
        <v>1</v>
      </c>
      <c r="T95" s="468">
        <f t="shared" si="25"/>
        <v>0</v>
      </c>
      <c r="U95" s="468">
        <f t="shared" si="26"/>
        <v>0</v>
      </c>
      <c r="V95" s="468">
        <f t="shared" si="27"/>
        <v>0</v>
      </c>
      <c r="W95" s="468">
        <f t="shared" si="28"/>
        <v>0</v>
      </c>
      <c r="X95" s="601">
        <f t="shared" si="18"/>
        <v>0</v>
      </c>
      <c r="Y95" s="601">
        <f t="shared" si="19"/>
        <v>0</v>
      </c>
      <c r="Z95" s="601">
        <f t="shared" si="20"/>
        <v>0</v>
      </c>
      <c r="AA95" s="601">
        <f t="shared" si="21"/>
        <v>0</v>
      </c>
      <c r="AB95" s="602" t="str">
        <f t="shared" si="22"/>
        <v>S</v>
      </c>
      <c r="AC95" s="847" t="s">
        <v>1229</v>
      </c>
      <c r="AD95" s="603">
        <f>(T95+U95+V95)*'1.0-Contractblad'!$K$69</f>
        <v>0</v>
      </c>
      <c r="AE95" s="603"/>
      <c r="AF95" s="58">
        <f t="shared" si="23"/>
        <v>0</v>
      </c>
      <c r="AG95" s="58">
        <f t="shared" si="29"/>
        <v>110.24000000000001</v>
      </c>
      <c r="AH95" s="58" t="str">
        <f t="shared" si="30"/>
        <v>4104-104</v>
      </c>
    </row>
    <row r="96" spans="1:34" ht="13">
      <c r="A96" s="134"/>
      <c r="B96" s="470"/>
      <c r="C96" s="471"/>
      <c r="D96" s="859">
        <f>VLOOKUP(E96,'1.1a-Jaarprijzen'!B:G,6,FALSE)</f>
        <v>2</v>
      </c>
      <c r="E96" s="845" t="s">
        <v>855</v>
      </c>
      <c r="F96" s="798" t="s">
        <v>469</v>
      </c>
      <c r="G96" s="799" t="s">
        <v>853</v>
      </c>
      <c r="H96" s="573" t="s">
        <v>466</v>
      </c>
      <c r="I96" s="573" t="str">
        <f t="shared" si="17"/>
        <v>sanitaire ruimte (toilet-/doucheruimte)</v>
      </c>
      <c r="J96" s="694" t="s">
        <v>462</v>
      </c>
      <c r="K96" s="865">
        <v>1.06</v>
      </c>
      <c r="L96" s="800"/>
      <c r="M96" s="867">
        <v>4104</v>
      </c>
      <c r="N96" s="868"/>
      <c r="O96" s="869"/>
      <c r="P96" s="869"/>
      <c r="Q96" s="866">
        <f t="shared" si="24"/>
        <v>104</v>
      </c>
      <c r="R96" s="600">
        <v>1</v>
      </c>
      <c r="S96" s="600">
        <v>1</v>
      </c>
      <c r="T96" s="468">
        <f t="shared" si="25"/>
        <v>0</v>
      </c>
      <c r="U96" s="468">
        <f t="shared" si="26"/>
        <v>0</v>
      </c>
      <c r="V96" s="468">
        <f t="shared" si="27"/>
        <v>0</v>
      </c>
      <c r="W96" s="468">
        <f t="shared" si="28"/>
        <v>0</v>
      </c>
      <c r="X96" s="601">
        <f t="shared" si="18"/>
        <v>0</v>
      </c>
      <c r="Y96" s="601">
        <f t="shared" si="19"/>
        <v>0</v>
      </c>
      <c r="Z96" s="601">
        <f t="shared" si="20"/>
        <v>0</v>
      </c>
      <c r="AA96" s="601">
        <f t="shared" si="21"/>
        <v>0</v>
      </c>
      <c r="AB96" s="602" t="str">
        <f t="shared" si="22"/>
        <v>S</v>
      </c>
      <c r="AC96" s="847" t="s">
        <v>1229</v>
      </c>
      <c r="AD96" s="603">
        <f>(T96+U96+V96)*'1.0-Contractblad'!$K$69</f>
        <v>0</v>
      </c>
      <c r="AE96" s="603"/>
      <c r="AF96" s="58">
        <f t="shared" si="23"/>
        <v>0</v>
      </c>
      <c r="AG96" s="58">
        <f t="shared" si="29"/>
        <v>110.24000000000001</v>
      </c>
      <c r="AH96" s="58" t="str">
        <f t="shared" si="30"/>
        <v>4104-104</v>
      </c>
    </row>
    <row r="97" spans="1:34" ht="13">
      <c r="A97" s="134"/>
      <c r="B97" s="470"/>
      <c r="C97" s="471"/>
      <c r="D97" s="859">
        <f>VLOOKUP(E97,'1.1a-Jaarprijzen'!B:G,6,FALSE)</f>
        <v>2</v>
      </c>
      <c r="E97" s="845" t="s">
        <v>855</v>
      </c>
      <c r="F97" s="798" t="s">
        <v>469</v>
      </c>
      <c r="G97" s="799" t="s">
        <v>447</v>
      </c>
      <c r="H97" s="573" t="s">
        <v>620</v>
      </c>
      <c r="I97" s="573" t="str">
        <f t="shared" si="17"/>
        <v>sanitaire ruimte (toilet-/doucheruimte)</v>
      </c>
      <c r="J97" s="694" t="s">
        <v>462</v>
      </c>
      <c r="K97" s="865">
        <v>1.06</v>
      </c>
      <c r="L97" s="800"/>
      <c r="M97" s="867">
        <v>4104</v>
      </c>
      <c r="N97" s="868"/>
      <c r="O97" s="869"/>
      <c r="P97" s="869"/>
      <c r="Q97" s="866">
        <f t="shared" si="24"/>
        <v>104</v>
      </c>
      <c r="R97" s="600">
        <v>1</v>
      </c>
      <c r="S97" s="600">
        <v>1</v>
      </c>
      <c r="T97" s="468">
        <f t="shared" si="25"/>
        <v>0</v>
      </c>
      <c r="U97" s="468">
        <f t="shared" si="26"/>
        <v>0</v>
      </c>
      <c r="V97" s="468">
        <f t="shared" si="27"/>
        <v>0</v>
      </c>
      <c r="W97" s="468">
        <f t="shared" si="28"/>
        <v>0</v>
      </c>
      <c r="X97" s="601">
        <f t="shared" si="18"/>
        <v>0</v>
      </c>
      <c r="Y97" s="601">
        <f t="shared" si="19"/>
        <v>0</v>
      </c>
      <c r="Z97" s="601">
        <f t="shared" si="20"/>
        <v>0</v>
      </c>
      <c r="AA97" s="601">
        <f t="shared" si="21"/>
        <v>0</v>
      </c>
      <c r="AB97" s="602" t="str">
        <f t="shared" si="22"/>
        <v>S</v>
      </c>
      <c r="AC97" s="847" t="s">
        <v>1229</v>
      </c>
      <c r="AD97" s="603">
        <f>(T97+U97+V97)*'1.0-Contractblad'!$K$69</f>
        <v>0</v>
      </c>
      <c r="AE97" s="603"/>
      <c r="AF97" s="58">
        <f t="shared" si="23"/>
        <v>0</v>
      </c>
      <c r="AG97" s="58">
        <f t="shared" si="29"/>
        <v>110.24000000000001</v>
      </c>
      <c r="AH97" s="58" t="str">
        <f t="shared" si="30"/>
        <v>4104-104</v>
      </c>
    </row>
    <row r="98" spans="1:34" ht="13">
      <c r="A98" s="134"/>
      <c r="B98" s="470"/>
      <c r="C98" s="471"/>
      <c r="D98" s="859">
        <f>VLOOKUP(E98,'1.1a-Jaarprijzen'!B:G,6,FALSE)</f>
        <v>2</v>
      </c>
      <c r="E98" s="845" t="s">
        <v>855</v>
      </c>
      <c r="F98" s="798" t="s">
        <v>469</v>
      </c>
      <c r="G98" s="799" t="s">
        <v>448</v>
      </c>
      <c r="H98" s="573" t="s">
        <v>854</v>
      </c>
      <c r="I98" s="573" t="str">
        <f t="shared" si="17"/>
        <v>niet van toepassing</v>
      </c>
      <c r="J98" s="694" t="s">
        <v>326</v>
      </c>
      <c r="K98" s="865"/>
      <c r="L98" s="800"/>
      <c r="M98" s="867" t="s">
        <v>19</v>
      </c>
      <c r="N98" s="868"/>
      <c r="O98" s="869"/>
      <c r="P98" s="869"/>
      <c r="Q98" s="866">
        <f t="shared" si="24"/>
        <v>0</v>
      </c>
      <c r="R98" s="600">
        <v>1</v>
      </c>
      <c r="S98" s="600">
        <v>1</v>
      </c>
      <c r="T98" s="468">
        <f t="shared" si="25"/>
        <v>0</v>
      </c>
      <c r="U98" s="468">
        <f t="shared" si="26"/>
        <v>0</v>
      </c>
      <c r="V98" s="468">
        <f t="shared" si="27"/>
        <v>0</v>
      </c>
      <c r="W98" s="468">
        <f t="shared" si="28"/>
        <v>0</v>
      </c>
      <c r="X98" s="601">
        <f t="shared" si="18"/>
        <v>0</v>
      </c>
      <c r="Y98" s="601">
        <f t="shared" si="19"/>
        <v>0</v>
      </c>
      <c r="Z98" s="601">
        <f t="shared" si="20"/>
        <v>0</v>
      </c>
      <c r="AA98" s="601">
        <f t="shared" si="21"/>
        <v>0</v>
      </c>
      <c r="AB98" s="602">
        <f t="shared" si="22"/>
        <v>0</v>
      </c>
      <c r="AC98" s="847"/>
      <c r="AD98" s="603">
        <f>(T98+U98+V98)*'1.0-Contractblad'!$K$69</f>
        <v>0</v>
      </c>
      <c r="AE98" s="603"/>
      <c r="AF98" s="58">
        <f t="shared" si="23"/>
        <v>0</v>
      </c>
      <c r="AG98" s="58">
        <f t="shared" si="29"/>
        <v>0</v>
      </c>
      <c r="AH98" s="58" t="str">
        <f t="shared" si="30"/>
        <v>nvt-0</v>
      </c>
    </row>
    <row r="99" spans="1:34" ht="13">
      <c r="A99" s="134"/>
      <c r="B99" s="470"/>
      <c r="C99" s="471"/>
      <c r="D99" s="859">
        <f>VLOOKUP(E99,'1.1a-Jaarprijzen'!B:G,6,FALSE)</f>
        <v>2</v>
      </c>
      <c r="E99" s="845" t="s">
        <v>855</v>
      </c>
      <c r="F99" s="798" t="s">
        <v>469</v>
      </c>
      <c r="G99" s="799" t="s">
        <v>449</v>
      </c>
      <c r="H99" s="573" t="s">
        <v>502</v>
      </c>
      <c r="I99" s="573" t="str">
        <f t="shared" si="17"/>
        <v>pantry, keuken, koffiecorner</v>
      </c>
      <c r="J99" s="694" t="s">
        <v>455</v>
      </c>
      <c r="K99" s="863">
        <v>24.07</v>
      </c>
      <c r="L99" s="800"/>
      <c r="M99" s="867">
        <v>5104</v>
      </c>
      <c r="N99" s="868"/>
      <c r="O99" s="869"/>
      <c r="P99" s="869"/>
      <c r="Q99" s="866">
        <f t="shared" si="24"/>
        <v>104</v>
      </c>
      <c r="R99" s="600">
        <v>1</v>
      </c>
      <c r="S99" s="600">
        <v>1</v>
      </c>
      <c r="T99" s="468">
        <f t="shared" si="25"/>
        <v>0</v>
      </c>
      <c r="U99" s="468">
        <f t="shared" si="26"/>
        <v>0</v>
      </c>
      <c r="V99" s="468">
        <f t="shared" si="27"/>
        <v>0</v>
      </c>
      <c r="W99" s="468">
        <f t="shared" si="28"/>
        <v>0</v>
      </c>
      <c r="X99" s="601">
        <f t="shared" si="18"/>
        <v>0</v>
      </c>
      <c r="Y99" s="601">
        <f t="shared" si="19"/>
        <v>0</v>
      </c>
      <c r="Z99" s="601">
        <f t="shared" si="20"/>
        <v>0</v>
      </c>
      <c r="AA99" s="601">
        <f t="shared" si="21"/>
        <v>0</v>
      </c>
      <c r="AB99" s="602" t="str">
        <f t="shared" si="22"/>
        <v>V</v>
      </c>
      <c r="AC99" s="847" t="s">
        <v>1229</v>
      </c>
      <c r="AD99" s="603">
        <f>(T99+U99+V99)*'1.0-Contractblad'!$K$69</f>
        <v>0</v>
      </c>
      <c r="AE99" s="603"/>
      <c r="AF99" s="58">
        <f t="shared" si="23"/>
        <v>0</v>
      </c>
      <c r="AG99" s="58">
        <f t="shared" si="29"/>
        <v>2503.2800000000002</v>
      </c>
      <c r="AH99" s="58" t="str">
        <f t="shared" si="30"/>
        <v>5104-104</v>
      </c>
    </row>
    <row r="100" spans="1:34" ht="13">
      <c r="A100" s="134"/>
      <c r="B100" s="470"/>
      <c r="C100" s="471"/>
      <c r="D100" s="859">
        <f>VLOOKUP(E100,'1.1a-Jaarprijzen'!B:G,6,FALSE)</f>
        <v>2</v>
      </c>
      <c r="E100" s="845" t="s">
        <v>550</v>
      </c>
      <c r="F100" s="798" t="s">
        <v>469</v>
      </c>
      <c r="G100" s="799" t="s">
        <v>525</v>
      </c>
      <c r="H100" s="845" t="s">
        <v>526</v>
      </c>
      <c r="I100" s="573" t="str">
        <f t="shared" si="17"/>
        <v>niet van toepassing</v>
      </c>
      <c r="J100" s="852" t="s">
        <v>1111</v>
      </c>
      <c r="K100" s="800"/>
      <c r="L100" s="800">
        <v>2.2999999999999998</v>
      </c>
      <c r="M100" s="867" t="s">
        <v>19</v>
      </c>
      <c r="N100" s="868"/>
      <c r="O100" s="869"/>
      <c r="P100" s="869"/>
      <c r="Q100" s="866">
        <f t="shared" si="24"/>
        <v>0</v>
      </c>
      <c r="R100" s="600">
        <v>1</v>
      </c>
      <c r="S100" s="600">
        <v>1</v>
      </c>
      <c r="T100" s="468">
        <f t="shared" si="25"/>
        <v>0</v>
      </c>
      <c r="U100" s="468">
        <f t="shared" si="26"/>
        <v>0</v>
      </c>
      <c r="V100" s="468">
        <f t="shared" si="27"/>
        <v>0</v>
      </c>
      <c r="W100" s="468">
        <f t="shared" si="28"/>
        <v>0</v>
      </c>
      <c r="X100" s="601">
        <f t="shared" si="18"/>
        <v>0</v>
      </c>
      <c r="Y100" s="601">
        <f t="shared" si="19"/>
        <v>0</v>
      </c>
      <c r="Z100" s="601">
        <f t="shared" si="20"/>
        <v>0</v>
      </c>
      <c r="AA100" s="601">
        <f t="shared" si="21"/>
        <v>0</v>
      </c>
      <c r="AB100" s="602">
        <f t="shared" si="22"/>
        <v>0</v>
      </c>
      <c r="AC100" s="847"/>
      <c r="AD100" s="603">
        <f>(T100+U100+V100)*'1.0-Contractblad'!$K$69</f>
        <v>0</v>
      </c>
      <c r="AE100" s="603"/>
      <c r="AF100" s="58">
        <f t="shared" si="23"/>
        <v>0</v>
      </c>
      <c r="AG100" s="58">
        <f t="shared" si="29"/>
        <v>0</v>
      </c>
      <c r="AH100" s="58" t="str">
        <f t="shared" si="30"/>
        <v>nvt-0</v>
      </c>
    </row>
    <row r="101" spans="1:34" ht="13">
      <c r="A101" s="134"/>
      <c r="B101" s="470"/>
      <c r="C101" s="471"/>
      <c r="D101" s="859">
        <f>VLOOKUP(E101,'1.1a-Jaarprijzen'!B:G,6,FALSE)</f>
        <v>2</v>
      </c>
      <c r="E101" s="845" t="s">
        <v>550</v>
      </c>
      <c r="F101" s="798" t="s">
        <v>469</v>
      </c>
      <c r="G101" s="799" t="s">
        <v>527</v>
      </c>
      <c r="H101" s="845" t="s">
        <v>528</v>
      </c>
      <c r="I101" s="573" t="str">
        <f t="shared" si="17"/>
        <v>entree, gang, hal, repro, kopieer</v>
      </c>
      <c r="J101" s="852" t="s">
        <v>326</v>
      </c>
      <c r="K101" s="800">
        <v>2.2999999999999998</v>
      </c>
      <c r="L101" s="800"/>
      <c r="M101" s="867">
        <v>3051</v>
      </c>
      <c r="N101" s="868"/>
      <c r="O101" s="869"/>
      <c r="P101" s="869"/>
      <c r="Q101" s="866">
        <f t="shared" si="24"/>
        <v>51</v>
      </c>
      <c r="R101" s="600">
        <v>1</v>
      </c>
      <c r="S101" s="600">
        <v>1</v>
      </c>
      <c r="T101" s="468">
        <f t="shared" si="25"/>
        <v>0</v>
      </c>
      <c r="U101" s="468">
        <f t="shared" si="26"/>
        <v>0</v>
      </c>
      <c r="V101" s="468">
        <f t="shared" si="27"/>
        <v>0</v>
      </c>
      <c r="W101" s="468">
        <f t="shared" si="28"/>
        <v>0</v>
      </c>
      <c r="X101" s="601">
        <f t="shared" si="18"/>
        <v>0</v>
      </c>
      <c r="Y101" s="601">
        <f t="shared" si="19"/>
        <v>0</v>
      </c>
      <c r="Z101" s="601">
        <f t="shared" si="20"/>
        <v>0</v>
      </c>
      <c r="AA101" s="601">
        <f t="shared" si="21"/>
        <v>0</v>
      </c>
      <c r="AB101" s="602" t="str">
        <f t="shared" si="22"/>
        <v>V</v>
      </c>
      <c r="AC101" s="847" t="s">
        <v>1230</v>
      </c>
      <c r="AD101" s="603">
        <f>(T101+U101+V101)*'1.0-Contractblad'!$K$69</f>
        <v>0</v>
      </c>
      <c r="AE101" s="603"/>
      <c r="AF101" s="58">
        <f t="shared" si="23"/>
        <v>0</v>
      </c>
      <c r="AG101" s="58">
        <f t="shared" si="29"/>
        <v>117.3</v>
      </c>
      <c r="AH101" s="58" t="str">
        <f t="shared" si="30"/>
        <v>3051-51</v>
      </c>
    </row>
    <row r="102" spans="1:34" ht="13">
      <c r="A102" s="134"/>
      <c r="B102" s="470"/>
      <c r="C102" s="471"/>
      <c r="D102" s="859">
        <f>VLOOKUP(E102,'1.1a-Jaarprijzen'!B:G,6,FALSE)</f>
        <v>2</v>
      </c>
      <c r="E102" s="845" t="s">
        <v>550</v>
      </c>
      <c r="F102" s="798" t="s">
        <v>469</v>
      </c>
      <c r="G102" s="799" t="s">
        <v>529</v>
      </c>
      <c r="H102" s="845" t="s">
        <v>453</v>
      </c>
      <c r="I102" s="573" t="str">
        <f t="shared" si="17"/>
        <v>entree, gang, hal, repro, kopieer</v>
      </c>
      <c r="J102" s="852" t="s">
        <v>462</v>
      </c>
      <c r="K102" s="800">
        <v>10</v>
      </c>
      <c r="L102" s="800"/>
      <c r="M102" s="867">
        <v>3051</v>
      </c>
      <c r="N102" s="868"/>
      <c r="O102" s="869"/>
      <c r="P102" s="869"/>
      <c r="Q102" s="866">
        <f t="shared" si="24"/>
        <v>51</v>
      </c>
      <c r="R102" s="600">
        <v>1</v>
      </c>
      <c r="S102" s="600">
        <v>1</v>
      </c>
      <c r="T102" s="468">
        <f t="shared" si="25"/>
        <v>0</v>
      </c>
      <c r="U102" s="468">
        <f t="shared" si="26"/>
        <v>0</v>
      </c>
      <c r="V102" s="468">
        <f t="shared" si="27"/>
        <v>0</v>
      </c>
      <c r="W102" s="468">
        <f t="shared" si="28"/>
        <v>0</v>
      </c>
      <c r="X102" s="601">
        <f t="shared" si="18"/>
        <v>0</v>
      </c>
      <c r="Y102" s="601">
        <f t="shared" si="19"/>
        <v>0</v>
      </c>
      <c r="Z102" s="601">
        <f t="shared" si="20"/>
        <v>0</v>
      </c>
      <c r="AA102" s="601">
        <f t="shared" si="21"/>
        <v>0</v>
      </c>
      <c r="AB102" s="602" t="str">
        <f t="shared" si="22"/>
        <v>V</v>
      </c>
      <c r="AC102" s="847" t="s">
        <v>1230</v>
      </c>
      <c r="AD102" s="603">
        <f>(T102+U102+V102)*'1.0-Contractblad'!$K$69</f>
        <v>0</v>
      </c>
      <c r="AE102" s="603"/>
      <c r="AF102" s="58">
        <f t="shared" si="23"/>
        <v>0</v>
      </c>
      <c r="AG102" s="58">
        <f t="shared" si="29"/>
        <v>510</v>
      </c>
      <c r="AH102" s="58" t="str">
        <f t="shared" si="30"/>
        <v>3051-51</v>
      </c>
    </row>
    <row r="103" spans="1:34" ht="13">
      <c r="A103" s="134"/>
      <c r="B103" s="470"/>
      <c r="C103" s="471"/>
      <c r="D103" s="859">
        <f>VLOOKUP(E103,'1.1a-Jaarprijzen'!B:G,6,FALSE)</f>
        <v>2</v>
      </c>
      <c r="E103" s="845" t="s">
        <v>550</v>
      </c>
      <c r="F103" s="798" t="s">
        <v>469</v>
      </c>
      <c r="G103" s="799" t="s">
        <v>530</v>
      </c>
      <c r="H103" s="845" t="s">
        <v>531</v>
      </c>
      <c r="I103" s="573" t="str">
        <f t="shared" si="17"/>
        <v>administratieve -, personeels- en vergaderruimte</v>
      </c>
      <c r="J103" s="852" t="s">
        <v>455</v>
      </c>
      <c r="K103" s="800">
        <v>59.95</v>
      </c>
      <c r="L103" s="800"/>
      <c r="M103" s="867">
        <v>1051</v>
      </c>
      <c r="N103" s="868"/>
      <c r="O103" s="869"/>
      <c r="P103" s="869"/>
      <c r="Q103" s="866">
        <f t="shared" si="24"/>
        <v>51</v>
      </c>
      <c r="R103" s="600">
        <v>1</v>
      </c>
      <c r="S103" s="600">
        <v>1</v>
      </c>
      <c r="T103" s="468">
        <f t="shared" si="25"/>
        <v>0</v>
      </c>
      <c r="U103" s="468">
        <f t="shared" si="26"/>
        <v>0</v>
      </c>
      <c r="V103" s="468">
        <f t="shared" si="27"/>
        <v>0</v>
      </c>
      <c r="W103" s="468">
        <f t="shared" si="28"/>
        <v>0</v>
      </c>
      <c r="X103" s="601">
        <f t="shared" si="18"/>
        <v>0</v>
      </c>
      <c r="Y103" s="601">
        <f t="shared" si="19"/>
        <v>0</v>
      </c>
      <c r="Z103" s="601">
        <f t="shared" si="20"/>
        <v>0</v>
      </c>
      <c r="AA103" s="601">
        <f t="shared" si="21"/>
        <v>0</v>
      </c>
      <c r="AB103" s="602" t="str">
        <f t="shared" si="22"/>
        <v>B</v>
      </c>
      <c r="AC103" s="847" t="s">
        <v>1230</v>
      </c>
      <c r="AD103" s="603">
        <f>(T103+U103+V103)*'1.0-Contractblad'!$K$69</f>
        <v>0</v>
      </c>
      <c r="AE103" s="603"/>
      <c r="AF103" s="58">
        <f t="shared" si="23"/>
        <v>0</v>
      </c>
      <c r="AG103" s="58">
        <f t="shared" si="29"/>
        <v>3057.4500000000003</v>
      </c>
      <c r="AH103" s="58" t="str">
        <f t="shared" si="30"/>
        <v>1051-51</v>
      </c>
    </row>
    <row r="104" spans="1:34" ht="13">
      <c r="A104" s="134"/>
      <c r="B104" s="470"/>
      <c r="C104" s="471"/>
      <c r="D104" s="859">
        <f>VLOOKUP(E104,'1.1a-Jaarprijzen'!B:G,6,FALSE)</f>
        <v>2</v>
      </c>
      <c r="E104" s="845" t="s">
        <v>550</v>
      </c>
      <c r="F104" s="798" t="s">
        <v>469</v>
      </c>
      <c r="G104" s="799" t="s">
        <v>532</v>
      </c>
      <c r="H104" s="845" t="s">
        <v>533</v>
      </c>
      <c r="I104" s="573" t="str">
        <f t="shared" ref="I104:I167" si="31">IF($M104="",0,VLOOKUP($M104,Kengetal,4,FALSE))</f>
        <v>entree, gang, hal, repro, kopieer</v>
      </c>
      <c r="J104" s="852" t="s">
        <v>462</v>
      </c>
      <c r="K104" s="800">
        <v>3.6</v>
      </c>
      <c r="L104" s="800"/>
      <c r="M104" s="867">
        <v>3051</v>
      </c>
      <c r="N104" s="868"/>
      <c r="O104" s="869"/>
      <c r="P104" s="869"/>
      <c r="Q104" s="866">
        <f t="shared" si="24"/>
        <v>51</v>
      </c>
      <c r="R104" s="600">
        <v>1</v>
      </c>
      <c r="S104" s="600">
        <v>1</v>
      </c>
      <c r="T104" s="468">
        <f t="shared" si="25"/>
        <v>0</v>
      </c>
      <c r="U104" s="468">
        <f t="shared" si="26"/>
        <v>0</v>
      </c>
      <c r="V104" s="468">
        <f t="shared" si="27"/>
        <v>0</v>
      </c>
      <c r="W104" s="468">
        <f t="shared" si="28"/>
        <v>0</v>
      </c>
      <c r="X104" s="601">
        <f t="shared" ref="X104:X167" si="32">IF($M104=0,0,VLOOKUP($M104,Kengetal,6,FALSE))</f>
        <v>0</v>
      </c>
      <c r="Y104" s="601">
        <f t="shared" ref="Y104:Y167" si="33">IF($M104=0,0,VLOOKUP($M104,Kengetal,8,FALSE))</f>
        <v>0</v>
      </c>
      <c r="Z104" s="601">
        <f t="shared" ref="Z104:Z167" si="34">IF($N104=0,0,VLOOKUP($N104,Kengetal,6,FALSE))</f>
        <v>0</v>
      </c>
      <c r="AA104" s="601">
        <f t="shared" ref="AA104:AA167" si="35">IF($O104=0,0,VLOOKUP($O104,Kengetal,6,FALSE))</f>
        <v>0</v>
      </c>
      <c r="AB104" s="602" t="str">
        <f t="shared" ref="AB104:AB167" si="36">IF(M104="","",VLOOKUP(M104,Kengetal,15,FALSE))</f>
        <v>V</v>
      </c>
      <c r="AC104" s="847" t="s">
        <v>1230</v>
      </c>
      <c r="AD104" s="603">
        <f>(T104+U104+V104)*'1.0-Contractblad'!$K$69</f>
        <v>0</v>
      </c>
      <c r="AE104" s="603"/>
      <c r="AF104" s="58">
        <f t="shared" ref="AF104:AF167" si="37">IF(M104=8255,T104+U104,0)</f>
        <v>0</v>
      </c>
      <c r="AG104" s="58">
        <f t="shared" si="29"/>
        <v>183.6</v>
      </c>
      <c r="AH104" s="58" t="str">
        <f t="shared" si="30"/>
        <v>3051-51</v>
      </c>
    </row>
    <row r="105" spans="1:34" ht="13">
      <c r="A105" s="134"/>
      <c r="B105" s="470"/>
      <c r="C105" s="471"/>
      <c r="D105" s="859">
        <f>VLOOKUP(E105,'1.1a-Jaarprijzen'!B:G,6,FALSE)</f>
        <v>2</v>
      </c>
      <c r="E105" s="845" t="s">
        <v>550</v>
      </c>
      <c r="F105" s="798" t="s">
        <v>469</v>
      </c>
      <c r="G105" s="799" t="s">
        <v>534</v>
      </c>
      <c r="H105" s="845" t="s">
        <v>466</v>
      </c>
      <c r="I105" s="573" t="str">
        <f t="shared" si="31"/>
        <v>sanitaire ruimte (toilet-/doucheruimte)</v>
      </c>
      <c r="J105" s="852" t="s">
        <v>462</v>
      </c>
      <c r="K105" s="800">
        <v>1.23</v>
      </c>
      <c r="L105" s="800"/>
      <c r="M105" s="867">
        <v>4051</v>
      </c>
      <c r="N105" s="868"/>
      <c r="O105" s="869"/>
      <c r="P105" s="869"/>
      <c r="Q105" s="866">
        <f t="shared" ref="Q105:Q168" si="38">VLOOKUP(M105,Kengetal,3,FALSE)+VLOOKUP(N105,Kengetal,3,FALSE)+VLOOKUP(O105,Kengetal,3,FALSE)</f>
        <v>51</v>
      </c>
      <c r="R105" s="600">
        <v>1</v>
      </c>
      <c r="S105" s="600">
        <v>1</v>
      </c>
      <c r="T105" s="468">
        <f t="shared" ref="T105:T168" si="39">X105*K105*R105</f>
        <v>0</v>
      </c>
      <c r="U105" s="468">
        <f t="shared" ref="U105:U168" si="40">Y105*K105*S105</f>
        <v>0</v>
      </c>
      <c r="V105" s="468">
        <f t="shared" ref="V105:V168" si="41">Z105*K105*R105</f>
        <v>0</v>
      </c>
      <c r="W105" s="468">
        <f t="shared" ref="W105:W168" si="42">AA105*K105*U105</f>
        <v>0</v>
      </c>
      <c r="X105" s="601">
        <f t="shared" si="32"/>
        <v>0</v>
      </c>
      <c r="Y105" s="601">
        <f t="shared" si="33"/>
        <v>0</v>
      </c>
      <c r="Z105" s="601">
        <f t="shared" si="34"/>
        <v>0</v>
      </c>
      <c r="AA105" s="601">
        <f t="shared" si="35"/>
        <v>0</v>
      </c>
      <c r="AB105" s="602" t="str">
        <f t="shared" si="36"/>
        <v>S</v>
      </c>
      <c r="AC105" s="847" t="s">
        <v>1230</v>
      </c>
      <c r="AD105" s="603">
        <f>(T105+U105+V105)*'1.0-Contractblad'!$K$69</f>
        <v>0</v>
      </c>
      <c r="AE105" s="603"/>
      <c r="AF105" s="58">
        <f t="shared" si="37"/>
        <v>0</v>
      </c>
      <c r="AG105" s="58">
        <f t="shared" ref="AG105:AG168" si="43">K105*Q105</f>
        <v>62.73</v>
      </c>
      <c r="AH105" s="58" t="str">
        <f t="shared" ref="AH105:AH168" si="44">CONCATENATE(M105,"-",Q105)</f>
        <v>4051-51</v>
      </c>
    </row>
    <row r="106" spans="1:34" ht="13">
      <c r="A106" s="134"/>
      <c r="B106" s="470"/>
      <c r="C106" s="471"/>
      <c r="D106" s="859">
        <f>VLOOKUP(E106,'1.1a-Jaarprijzen'!B:G,6,FALSE)</f>
        <v>2</v>
      </c>
      <c r="E106" s="845" t="s">
        <v>550</v>
      </c>
      <c r="F106" s="798" t="s">
        <v>469</v>
      </c>
      <c r="G106" s="799" t="s">
        <v>535</v>
      </c>
      <c r="H106" s="845" t="s">
        <v>536</v>
      </c>
      <c r="I106" s="573" t="str">
        <f t="shared" si="31"/>
        <v>niet van toepassing</v>
      </c>
      <c r="J106" s="852" t="s">
        <v>326</v>
      </c>
      <c r="K106" s="800"/>
      <c r="L106" s="800">
        <v>3.54</v>
      </c>
      <c r="M106" s="867" t="s">
        <v>19</v>
      </c>
      <c r="N106" s="868"/>
      <c r="O106" s="869"/>
      <c r="P106" s="869"/>
      <c r="Q106" s="866">
        <f t="shared" si="38"/>
        <v>0</v>
      </c>
      <c r="R106" s="600">
        <v>1</v>
      </c>
      <c r="S106" s="600">
        <v>1</v>
      </c>
      <c r="T106" s="468">
        <f t="shared" si="39"/>
        <v>0</v>
      </c>
      <c r="U106" s="468">
        <f t="shared" si="40"/>
        <v>0</v>
      </c>
      <c r="V106" s="468">
        <f t="shared" si="41"/>
        <v>0</v>
      </c>
      <c r="W106" s="468">
        <f t="shared" si="42"/>
        <v>0</v>
      </c>
      <c r="X106" s="601">
        <f t="shared" si="32"/>
        <v>0</v>
      </c>
      <c r="Y106" s="601">
        <f t="shared" si="33"/>
        <v>0</v>
      </c>
      <c r="Z106" s="601">
        <f t="shared" si="34"/>
        <v>0</v>
      </c>
      <c r="AA106" s="601">
        <f t="shared" si="35"/>
        <v>0</v>
      </c>
      <c r="AB106" s="602">
        <f t="shared" si="36"/>
        <v>0</v>
      </c>
      <c r="AC106" s="847"/>
      <c r="AD106" s="603">
        <f>(T106+U106+V106)*'1.0-Contractblad'!$K$69</f>
        <v>0</v>
      </c>
      <c r="AE106" s="603"/>
      <c r="AF106" s="58">
        <f t="shared" si="37"/>
        <v>0</v>
      </c>
      <c r="AG106" s="58">
        <f t="shared" si="43"/>
        <v>0</v>
      </c>
      <c r="AH106" s="58" t="str">
        <f t="shared" si="44"/>
        <v>nvt-0</v>
      </c>
    </row>
    <row r="107" spans="1:34" ht="13">
      <c r="A107" s="134"/>
      <c r="B107" s="470"/>
      <c r="C107" s="471"/>
      <c r="D107" s="859">
        <f>VLOOKUP(E107,'1.1a-Jaarprijzen'!B:G,6,FALSE)</f>
        <v>2</v>
      </c>
      <c r="E107" s="845" t="s">
        <v>550</v>
      </c>
      <c r="F107" s="798" t="s">
        <v>469</v>
      </c>
      <c r="G107" s="799" t="s">
        <v>537</v>
      </c>
      <c r="H107" s="845" t="s">
        <v>538</v>
      </c>
      <c r="I107" s="573" t="str">
        <f t="shared" si="31"/>
        <v>entree, gang, hal, repro, kopieer</v>
      </c>
      <c r="J107" s="852" t="s">
        <v>551</v>
      </c>
      <c r="K107" s="800">
        <v>1.25</v>
      </c>
      <c r="L107" s="800"/>
      <c r="M107" s="867">
        <v>3051</v>
      </c>
      <c r="N107" s="868"/>
      <c r="O107" s="869"/>
      <c r="P107" s="869"/>
      <c r="Q107" s="866">
        <f t="shared" si="38"/>
        <v>51</v>
      </c>
      <c r="R107" s="600">
        <v>1</v>
      </c>
      <c r="S107" s="600">
        <v>1</v>
      </c>
      <c r="T107" s="468">
        <f t="shared" si="39"/>
        <v>0</v>
      </c>
      <c r="U107" s="468">
        <f t="shared" si="40"/>
        <v>0</v>
      </c>
      <c r="V107" s="468">
        <f t="shared" si="41"/>
        <v>0</v>
      </c>
      <c r="W107" s="468">
        <f t="shared" si="42"/>
        <v>0</v>
      </c>
      <c r="X107" s="601">
        <f t="shared" si="32"/>
        <v>0</v>
      </c>
      <c r="Y107" s="601">
        <f t="shared" si="33"/>
        <v>0</v>
      </c>
      <c r="Z107" s="601">
        <f t="shared" si="34"/>
        <v>0</v>
      </c>
      <c r="AA107" s="601">
        <f t="shared" si="35"/>
        <v>0</v>
      </c>
      <c r="AB107" s="602" t="str">
        <f t="shared" si="36"/>
        <v>V</v>
      </c>
      <c r="AC107" s="847" t="s">
        <v>1230</v>
      </c>
      <c r="AD107" s="603">
        <f>(T107+U107+V107)*'1.0-Contractblad'!$K$69</f>
        <v>0</v>
      </c>
      <c r="AE107" s="603"/>
      <c r="AF107" s="58">
        <f t="shared" si="37"/>
        <v>0</v>
      </c>
      <c r="AG107" s="58">
        <f t="shared" si="43"/>
        <v>63.75</v>
      </c>
      <c r="AH107" s="58" t="str">
        <f t="shared" si="44"/>
        <v>3051-51</v>
      </c>
    </row>
    <row r="108" spans="1:34" ht="13">
      <c r="A108" s="134"/>
      <c r="B108" s="470"/>
      <c r="C108" s="471"/>
      <c r="D108" s="859">
        <f>VLOOKUP(E108,'1.1a-Jaarprijzen'!B:G,6,FALSE)</f>
        <v>2</v>
      </c>
      <c r="E108" s="845" t="s">
        <v>550</v>
      </c>
      <c r="F108" s="798" t="s">
        <v>469</v>
      </c>
      <c r="G108" s="799" t="s">
        <v>539</v>
      </c>
      <c r="H108" s="845" t="s">
        <v>489</v>
      </c>
      <c r="I108" s="573" t="str">
        <f t="shared" si="31"/>
        <v>niet van toepassing</v>
      </c>
      <c r="J108" s="852" t="s">
        <v>462</v>
      </c>
      <c r="K108" s="800"/>
      <c r="L108" s="800">
        <v>37.97</v>
      </c>
      <c r="M108" s="867" t="s">
        <v>19</v>
      </c>
      <c r="N108" s="868"/>
      <c r="O108" s="869"/>
      <c r="P108" s="869"/>
      <c r="Q108" s="866">
        <f t="shared" si="38"/>
        <v>0</v>
      </c>
      <c r="R108" s="600">
        <v>1</v>
      </c>
      <c r="S108" s="600">
        <v>1</v>
      </c>
      <c r="T108" s="468">
        <f t="shared" si="39"/>
        <v>0</v>
      </c>
      <c r="U108" s="468">
        <f t="shared" si="40"/>
        <v>0</v>
      </c>
      <c r="V108" s="468">
        <f t="shared" si="41"/>
        <v>0</v>
      </c>
      <c r="W108" s="468">
        <f t="shared" si="42"/>
        <v>0</v>
      </c>
      <c r="X108" s="601">
        <f t="shared" si="32"/>
        <v>0</v>
      </c>
      <c r="Y108" s="601">
        <f t="shared" si="33"/>
        <v>0</v>
      </c>
      <c r="Z108" s="601">
        <f t="shared" si="34"/>
        <v>0</v>
      </c>
      <c r="AA108" s="601">
        <f t="shared" si="35"/>
        <v>0</v>
      </c>
      <c r="AB108" s="602">
        <f t="shared" si="36"/>
        <v>0</v>
      </c>
      <c r="AC108" s="847"/>
      <c r="AD108" s="603">
        <f>(T108+U108+V108)*'1.0-Contractblad'!$K$69</f>
        <v>0</v>
      </c>
      <c r="AE108" s="603"/>
      <c r="AF108" s="58">
        <f t="shared" si="37"/>
        <v>0</v>
      </c>
      <c r="AG108" s="58">
        <f t="shared" si="43"/>
        <v>0</v>
      </c>
      <c r="AH108" s="58" t="str">
        <f t="shared" si="44"/>
        <v>nvt-0</v>
      </c>
    </row>
    <row r="109" spans="1:34" ht="13">
      <c r="A109" s="134"/>
      <c r="B109" s="470"/>
      <c r="C109" s="471"/>
      <c r="D109" s="859">
        <f>VLOOKUP(E109,'1.1a-Jaarprijzen'!B:G,6,FALSE)</f>
        <v>2</v>
      </c>
      <c r="E109" s="845" t="s">
        <v>550</v>
      </c>
      <c r="F109" s="798" t="s">
        <v>469</v>
      </c>
      <c r="G109" s="799" t="s">
        <v>540</v>
      </c>
      <c r="H109" s="845" t="s">
        <v>541</v>
      </c>
      <c r="I109" s="573" t="str">
        <f t="shared" si="31"/>
        <v>trappenhuis</v>
      </c>
      <c r="J109" s="852" t="s">
        <v>552</v>
      </c>
      <c r="K109" s="800">
        <v>5</v>
      </c>
      <c r="L109" s="800"/>
      <c r="M109" s="867">
        <v>9051</v>
      </c>
      <c r="N109" s="868"/>
      <c r="O109" s="869"/>
      <c r="P109" s="869"/>
      <c r="Q109" s="866">
        <f t="shared" si="38"/>
        <v>51</v>
      </c>
      <c r="R109" s="600">
        <v>1</v>
      </c>
      <c r="S109" s="600">
        <v>1</v>
      </c>
      <c r="T109" s="468">
        <f t="shared" si="39"/>
        <v>0</v>
      </c>
      <c r="U109" s="468">
        <f t="shared" si="40"/>
        <v>0</v>
      </c>
      <c r="V109" s="468">
        <f t="shared" si="41"/>
        <v>0</v>
      </c>
      <c r="W109" s="468">
        <f t="shared" si="42"/>
        <v>0</v>
      </c>
      <c r="X109" s="601">
        <f t="shared" si="32"/>
        <v>0</v>
      </c>
      <c r="Y109" s="601">
        <f t="shared" si="33"/>
        <v>0</v>
      </c>
      <c r="Z109" s="601">
        <f t="shared" si="34"/>
        <v>0</v>
      </c>
      <c r="AA109" s="601">
        <f t="shared" si="35"/>
        <v>0</v>
      </c>
      <c r="AB109" s="602" t="str">
        <f t="shared" si="36"/>
        <v>V</v>
      </c>
      <c r="AC109" s="847" t="s">
        <v>1230</v>
      </c>
      <c r="AD109" s="603">
        <f>(T109+U109+V109)*'1.0-Contractblad'!$K$69</f>
        <v>0</v>
      </c>
      <c r="AE109" s="603"/>
      <c r="AF109" s="58">
        <f t="shared" si="37"/>
        <v>0</v>
      </c>
      <c r="AG109" s="58">
        <f t="shared" si="43"/>
        <v>255</v>
      </c>
      <c r="AH109" s="58" t="str">
        <f t="shared" si="44"/>
        <v>9051-51</v>
      </c>
    </row>
    <row r="110" spans="1:34" ht="13">
      <c r="A110" s="134"/>
      <c r="B110" s="470"/>
      <c r="C110" s="471"/>
      <c r="D110" s="859">
        <f>VLOOKUP(E110,'1.1a-Jaarprijzen'!B:G,6,FALSE)</f>
        <v>2</v>
      </c>
      <c r="E110" s="845" t="s">
        <v>550</v>
      </c>
      <c r="F110" s="798" t="s">
        <v>469</v>
      </c>
      <c r="G110" s="799" t="s">
        <v>542</v>
      </c>
      <c r="H110" s="845" t="s">
        <v>543</v>
      </c>
      <c r="I110" s="573" t="str">
        <f t="shared" si="31"/>
        <v>niet van toepassing</v>
      </c>
      <c r="J110" s="852" t="s">
        <v>553</v>
      </c>
      <c r="K110" s="800"/>
      <c r="L110" s="800">
        <v>26.58</v>
      </c>
      <c r="M110" s="867" t="s">
        <v>19</v>
      </c>
      <c r="N110" s="868"/>
      <c r="O110" s="869"/>
      <c r="P110" s="869"/>
      <c r="Q110" s="866">
        <f t="shared" si="38"/>
        <v>0</v>
      </c>
      <c r="R110" s="600">
        <v>1</v>
      </c>
      <c r="S110" s="600">
        <v>1</v>
      </c>
      <c r="T110" s="468">
        <f t="shared" si="39"/>
        <v>0</v>
      </c>
      <c r="U110" s="468">
        <f t="shared" si="40"/>
        <v>0</v>
      </c>
      <c r="V110" s="468">
        <f t="shared" si="41"/>
        <v>0</v>
      </c>
      <c r="W110" s="468">
        <f t="shared" si="42"/>
        <v>0</v>
      </c>
      <c r="X110" s="601">
        <f t="shared" si="32"/>
        <v>0</v>
      </c>
      <c r="Y110" s="601">
        <f t="shared" si="33"/>
        <v>0</v>
      </c>
      <c r="Z110" s="601">
        <f t="shared" si="34"/>
        <v>0</v>
      </c>
      <c r="AA110" s="601">
        <f t="shared" si="35"/>
        <v>0</v>
      </c>
      <c r="AB110" s="602">
        <f t="shared" si="36"/>
        <v>0</v>
      </c>
      <c r="AC110" s="847"/>
      <c r="AD110" s="603">
        <f>(T110+U110+V110)*'1.0-Contractblad'!$K$69</f>
        <v>0</v>
      </c>
      <c r="AE110" s="603"/>
      <c r="AF110" s="58">
        <f t="shared" si="37"/>
        <v>0</v>
      </c>
      <c r="AG110" s="58">
        <f t="shared" si="43"/>
        <v>0</v>
      </c>
      <c r="AH110" s="58" t="str">
        <f t="shared" si="44"/>
        <v>nvt-0</v>
      </c>
    </row>
    <row r="111" spans="1:34" ht="13">
      <c r="A111" s="134"/>
      <c r="B111" s="470"/>
      <c r="C111" s="471"/>
      <c r="D111" s="859">
        <f>VLOOKUP(E111,'1.1a-Jaarprijzen'!B:G,6,FALSE)</f>
        <v>2</v>
      </c>
      <c r="E111" s="845" t="s">
        <v>550</v>
      </c>
      <c r="F111" s="798" t="s">
        <v>469</v>
      </c>
      <c r="G111" s="799" t="s">
        <v>544</v>
      </c>
      <c r="H111" s="845" t="s">
        <v>545</v>
      </c>
      <c r="I111" s="573" t="str">
        <f t="shared" si="31"/>
        <v>labruimte</v>
      </c>
      <c r="J111" s="852" t="s">
        <v>462</v>
      </c>
      <c r="K111" s="800">
        <v>4.91</v>
      </c>
      <c r="L111" s="800"/>
      <c r="M111" s="867">
        <v>8051</v>
      </c>
      <c r="N111" s="868"/>
      <c r="O111" s="869"/>
      <c r="P111" s="869"/>
      <c r="Q111" s="866">
        <f t="shared" si="38"/>
        <v>51</v>
      </c>
      <c r="R111" s="600">
        <v>1</v>
      </c>
      <c r="S111" s="600">
        <v>1</v>
      </c>
      <c r="T111" s="468">
        <f t="shared" si="39"/>
        <v>0</v>
      </c>
      <c r="U111" s="468">
        <f t="shared" si="40"/>
        <v>0</v>
      </c>
      <c r="V111" s="468">
        <f t="shared" si="41"/>
        <v>0</v>
      </c>
      <c r="W111" s="468">
        <f t="shared" si="42"/>
        <v>0</v>
      </c>
      <c r="X111" s="601">
        <f t="shared" si="32"/>
        <v>0</v>
      </c>
      <c r="Y111" s="601">
        <f t="shared" si="33"/>
        <v>0</v>
      </c>
      <c r="Z111" s="601">
        <f t="shared" si="34"/>
        <v>0</v>
      </c>
      <c r="AA111" s="601">
        <f t="shared" si="35"/>
        <v>0</v>
      </c>
      <c r="AB111" s="602" t="str">
        <f t="shared" si="36"/>
        <v>V</v>
      </c>
      <c r="AC111" s="847" t="s">
        <v>1230</v>
      </c>
      <c r="AD111" s="603">
        <f>(T111+U111+V111)*'1.0-Contractblad'!$K$69</f>
        <v>0</v>
      </c>
      <c r="AE111" s="603"/>
      <c r="AF111" s="58">
        <f t="shared" si="37"/>
        <v>0</v>
      </c>
      <c r="AG111" s="58">
        <f t="shared" si="43"/>
        <v>250.41</v>
      </c>
      <c r="AH111" s="58" t="str">
        <f t="shared" si="44"/>
        <v>8051-51</v>
      </c>
    </row>
    <row r="112" spans="1:34" ht="13">
      <c r="A112" s="134"/>
      <c r="B112" s="470"/>
      <c r="C112" s="471"/>
      <c r="D112" s="859">
        <f>VLOOKUP(E112,'1.1a-Jaarprijzen'!B:G,6,FALSE)</f>
        <v>2</v>
      </c>
      <c r="E112" s="845" t="s">
        <v>550</v>
      </c>
      <c r="F112" s="798" t="s">
        <v>469</v>
      </c>
      <c r="G112" s="799" t="s">
        <v>546</v>
      </c>
      <c r="H112" s="845" t="s">
        <v>547</v>
      </c>
      <c r="I112" s="573" t="str">
        <f t="shared" si="31"/>
        <v>sanitaire ruimte (toilet-/doucheruimte)</v>
      </c>
      <c r="J112" s="852" t="s">
        <v>462</v>
      </c>
      <c r="K112" s="800">
        <v>8.67</v>
      </c>
      <c r="L112" s="800"/>
      <c r="M112" s="867">
        <v>4051</v>
      </c>
      <c r="N112" s="868"/>
      <c r="O112" s="869"/>
      <c r="P112" s="869"/>
      <c r="Q112" s="866">
        <f t="shared" si="38"/>
        <v>51</v>
      </c>
      <c r="R112" s="600">
        <v>1</v>
      </c>
      <c r="S112" s="600">
        <v>1</v>
      </c>
      <c r="T112" s="468">
        <f t="shared" si="39"/>
        <v>0</v>
      </c>
      <c r="U112" s="468">
        <f t="shared" si="40"/>
        <v>0</v>
      </c>
      <c r="V112" s="468">
        <f t="shared" si="41"/>
        <v>0</v>
      </c>
      <c r="W112" s="468">
        <f t="shared" si="42"/>
        <v>0</v>
      </c>
      <c r="X112" s="601">
        <f t="shared" si="32"/>
        <v>0</v>
      </c>
      <c r="Y112" s="601">
        <f t="shared" si="33"/>
        <v>0</v>
      </c>
      <c r="Z112" s="601">
        <f t="shared" si="34"/>
        <v>0</v>
      </c>
      <c r="AA112" s="601">
        <f t="shared" si="35"/>
        <v>0</v>
      </c>
      <c r="AB112" s="602" t="str">
        <f t="shared" si="36"/>
        <v>S</v>
      </c>
      <c r="AC112" s="847" t="s">
        <v>1230</v>
      </c>
      <c r="AD112" s="603">
        <f>(T112+U112+V112)*'1.0-Contractblad'!$K$69</f>
        <v>0</v>
      </c>
      <c r="AE112" s="603"/>
      <c r="AF112" s="58">
        <f t="shared" si="37"/>
        <v>0</v>
      </c>
      <c r="AG112" s="58">
        <f t="shared" si="43"/>
        <v>442.17</v>
      </c>
      <c r="AH112" s="58" t="str">
        <f t="shared" si="44"/>
        <v>4051-51</v>
      </c>
    </row>
    <row r="113" spans="1:34" ht="13">
      <c r="A113" s="134"/>
      <c r="B113" s="470"/>
      <c r="C113" s="471"/>
      <c r="D113" s="859">
        <f>VLOOKUP(E113,'1.1a-Jaarprijzen'!B:G,6,FALSE)</f>
        <v>2</v>
      </c>
      <c r="E113" s="845" t="s">
        <v>550</v>
      </c>
      <c r="F113" s="798" t="s">
        <v>469</v>
      </c>
      <c r="G113" s="799" t="s">
        <v>548</v>
      </c>
      <c r="H113" s="845" t="s">
        <v>549</v>
      </c>
      <c r="I113" s="573" t="str">
        <f t="shared" si="31"/>
        <v>entree, gang, hal, repro, kopieer</v>
      </c>
      <c r="J113" s="852" t="s">
        <v>455</v>
      </c>
      <c r="K113" s="800">
        <v>38.43</v>
      </c>
      <c r="L113" s="800"/>
      <c r="M113" s="867">
        <v>3051</v>
      </c>
      <c r="N113" s="868"/>
      <c r="O113" s="869"/>
      <c r="P113" s="869"/>
      <c r="Q113" s="866">
        <f t="shared" si="38"/>
        <v>51</v>
      </c>
      <c r="R113" s="600">
        <v>1</v>
      </c>
      <c r="S113" s="600">
        <v>1</v>
      </c>
      <c r="T113" s="468">
        <f t="shared" si="39"/>
        <v>0</v>
      </c>
      <c r="U113" s="468">
        <f t="shared" si="40"/>
        <v>0</v>
      </c>
      <c r="V113" s="468">
        <f t="shared" si="41"/>
        <v>0</v>
      </c>
      <c r="W113" s="468">
        <f t="shared" si="42"/>
        <v>0</v>
      </c>
      <c r="X113" s="601">
        <f t="shared" si="32"/>
        <v>0</v>
      </c>
      <c r="Y113" s="601">
        <f t="shared" si="33"/>
        <v>0</v>
      </c>
      <c r="Z113" s="601">
        <f t="shared" si="34"/>
        <v>0</v>
      </c>
      <c r="AA113" s="601">
        <f t="shared" si="35"/>
        <v>0</v>
      </c>
      <c r="AB113" s="602" t="str">
        <f t="shared" si="36"/>
        <v>V</v>
      </c>
      <c r="AC113" s="847" t="s">
        <v>1230</v>
      </c>
      <c r="AD113" s="603">
        <f>(T113+U113+V113)*'1.0-Contractblad'!$K$69</f>
        <v>0</v>
      </c>
      <c r="AE113" s="603"/>
      <c r="AF113" s="58">
        <f t="shared" si="37"/>
        <v>0</v>
      </c>
      <c r="AG113" s="58">
        <f t="shared" si="43"/>
        <v>1959.93</v>
      </c>
      <c r="AH113" s="58" t="str">
        <f t="shared" si="44"/>
        <v>3051-51</v>
      </c>
    </row>
    <row r="114" spans="1:34" ht="13">
      <c r="A114" s="134"/>
      <c r="B114" s="470"/>
      <c r="C114" s="471"/>
      <c r="D114" s="859">
        <f>VLOOKUP(E114,'1.1a-Jaarprijzen'!B:G,6,FALSE)</f>
        <v>2</v>
      </c>
      <c r="E114" s="845" t="s">
        <v>922</v>
      </c>
      <c r="F114" s="798" t="s">
        <v>469</v>
      </c>
      <c r="G114" s="799" t="s">
        <v>923</v>
      </c>
      <c r="H114" s="573" t="s">
        <v>528</v>
      </c>
      <c r="I114" s="573" t="str">
        <f t="shared" si="31"/>
        <v>entree, gang, hal, repro, kopieer</v>
      </c>
      <c r="J114" s="694" t="s">
        <v>54</v>
      </c>
      <c r="K114" s="800">
        <v>13.1</v>
      </c>
      <c r="L114" s="800"/>
      <c r="M114" s="867">
        <v>3253</v>
      </c>
      <c r="N114" s="868"/>
      <c r="O114" s="869"/>
      <c r="P114" s="869"/>
      <c r="Q114" s="866">
        <f t="shared" si="38"/>
        <v>253</v>
      </c>
      <c r="R114" s="600">
        <v>1</v>
      </c>
      <c r="S114" s="600">
        <v>1</v>
      </c>
      <c r="T114" s="468">
        <f t="shared" si="39"/>
        <v>0</v>
      </c>
      <c r="U114" s="468">
        <f t="shared" si="40"/>
        <v>0</v>
      </c>
      <c r="V114" s="468">
        <f t="shared" si="41"/>
        <v>0</v>
      </c>
      <c r="W114" s="468">
        <f t="shared" si="42"/>
        <v>0</v>
      </c>
      <c r="X114" s="601">
        <f t="shared" si="32"/>
        <v>0</v>
      </c>
      <c r="Y114" s="601">
        <f t="shared" si="33"/>
        <v>0</v>
      </c>
      <c r="Z114" s="601">
        <f t="shared" si="34"/>
        <v>0</v>
      </c>
      <c r="AA114" s="601">
        <f t="shared" si="35"/>
        <v>0</v>
      </c>
      <c r="AB114" s="602" t="str">
        <f t="shared" si="36"/>
        <v>V</v>
      </c>
      <c r="AC114" s="847"/>
      <c r="AD114" s="603">
        <f>(T114+U114+V114)*'1.0-Contractblad'!$K$69</f>
        <v>0</v>
      </c>
      <c r="AE114" s="603"/>
      <c r="AF114" s="58">
        <f t="shared" si="37"/>
        <v>0</v>
      </c>
      <c r="AG114" s="58">
        <f t="shared" si="43"/>
        <v>3314.2999999999997</v>
      </c>
      <c r="AH114" s="58" t="str">
        <f t="shared" si="44"/>
        <v>3253-253</v>
      </c>
    </row>
    <row r="115" spans="1:34" ht="13">
      <c r="A115" s="134"/>
      <c r="B115" s="470"/>
      <c r="C115" s="471"/>
      <c r="D115" s="859">
        <f>VLOOKUP(E115,'1.1a-Jaarprijzen'!B:G,6,FALSE)</f>
        <v>2</v>
      </c>
      <c r="E115" s="845" t="s">
        <v>922</v>
      </c>
      <c r="F115" s="798" t="s">
        <v>469</v>
      </c>
      <c r="G115" s="799" t="s">
        <v>924</v>
      </c>
      <c r="H115" s="573" t="s">
        <v>925</v>
      </c>
      <c r="I115" s="573" t="str">
        <f t="shared" si="31"/>
        <v>entree, gang, hal, repro, kopieer</v>
      </c>
      <c r="J115" s="694" t="s">
        <v>926</v>
      </c>
      <c r="K115" s="800">
        <v>47.1</v>
      </c>
      <c r="L115" s="800"/>
      <c r="M115" s="867">
        <v>3253</v>
      </c>
      <c r="N115" s="868"/>
      <c r="O115" s="869"/>
      <c r="P115" s="869"/>
      <c r="Q115" s="866">
        <f t="shared" si="38"/>
        <v>253</v>
      </c>
      <c r="R115" s="600">
        <v>1</v>
      </c>
      <c r="S115" s="600">
        <v>1</v>
      </c>
      <c r="T115" s="468">
        <f t="shared" si="39"/>
        <v>0</v>
      </c>
      <c r="U115" s="468">
        <f t="shared" si="40"/>
        <v>0</v>
      </c>
      <c r="V115" s="468">
        <f t="shared" si="41"/>
        <v>0</v>
      </c>
      <c r="W115" s="468">
        <f t="shared" si="42"/>
        <v>0</v>
      </c>
      <c r="X115" s="601">
        <f t="shared" si="32"/>
        <v>0</v>
      </c>
      <c r="Y115" s="601">
        <f t="shared" si="33"/>
        <v>0</v>
      </c>
      <c r="Z115" s="601">
        <f t="shared" si="34"/>
        <v>0</v>
      </c>
      <c r="AA115" s="601">
        <f t="shared" si="35"/>
        <v>0</v>
      </c>
      <c r="AB115" s="602" t="str">
        <f t="shared" si="36"/>
        <v>V</v>
      </c>
      <c r="AC115" s="847"/>
      <c r="AD115" s="603">
        <f>(T115+U115+V115)*'1.0-Contractblad'!$K$69</f>
        <v>0</v>
      </c>
      <c r="AE115" s="603"/>
      <c r="AF115" s="58">
        <f t="shared" si="37"/>
        <v>0</v>
      </c>
      <c r="AG115" s="58">
        <f t="shared" si="43"/>
        <v>11916.300000000001</v>
      </c>
      <c r="AH115" s="58" t="str">
        <f t="shared" si="44"/>
        <v>3253-253</v>
      </c>
    </row>
    <row r="116" spans="1:34" ht="13">
      <c r="A116" s="134"/>
      <c r="B116" s="470"/>
      <c r="C116" s="471"/>
      <c r="D116" s="859">
        <f>VLOOKUP(E116,'1.1a-Jaarprijzen'!B:G,6,FALSE)</f>
        <v>2</v>
      </c>
      <c r="E116" s="845" t="s">
        <v>922</v>
      </c>
      <c r="F116" s="798" t="s">
        <v>469</v>
      </c>
      <c r="G116" s="799" t="s">
        <v>439</v>
      </c>
      <c r="H116" s="573" t="s">
        <v>927</v>
      </c>
      <c r="I116" s="573" t="str">
        <f t="shared" si="31"/>
        <v>administratieve -, personeels- en vergaderruimte</v>
      </c>
      <c r="J116" s="694" t="s">
        <v>890</v>
      </c>
      <c r="K116" s="800">
        <v>82.9</v>
      </c>
      <c r="L116" s="800"/>
      <c r="M116" s="867">
        <v>1253</v>
      </c>
      <c r="N116" s="868"/>
      <c r="O116" s="869"/>
      <c r="P116" s="869"/>
      <c r="Q116" s="866">
        <f t="shared" si="38"/>
        <v>253</v>
      </c>
      <c r="R116" s="600">
        <v>1</v>
      </c>
      <c r="S116" s="600">
        <v>1</v>
      </c>
      <c r="T116" s="468">
        <f t="shared" si="39"/>
        <v>0</v>
      </c>
      <c r="U116" s="468">
        <f t="shared" si="40"/>
        <v>0</v>
      </c>
      <c r="V116" s="468">
        <f t="shared" si="41"/>
        <v>0</v>
      </c>
      <c r="W116" s="468">
        <f t="shared" si="42"/>
        <v>0</v>
      </c>
      <c r="X116" s="601">
        <f t="shared" si="32"/>
        <v>0</v>
      </c>
      <c r="Y116" s="601">
        <f t="shared" si="33"/>
        <v>0</v>
      </c>
      <c r="Z116" s="601">
        <f t="shared" si="34"/>
        <v>0</v>
      </c>
      <c r="AA116" s="601">
        <f t="shared" si="35"/>
        <v>0</v>
      </c>
      <c r="AB116" s="602" t="str">
        <f t="shared" si="36"/>
        <v>B</v>
      </c>
      <c r="AC116" s="847"/>
      <c r="AD116" s="603">
        <f>(T116+U116+V116)*'1.0-Contractblad'!$K$69</f>
        <v>0</v>
      </c>
      <c r="AE116" s="603"/>
      <c r="AF116" s="58">
        <f t="shared" si="37"/>
        <v>0</v>
      </c>
      <c r="AG116" s="58">
        <f t="shared" si="43"/>
        <v>20973.7</v>
      </c>
      <c r="AH116" s="58" t="str">
        <f t="shared" si="44"/>
        <v>1253-253</v>
      </c>
    </row>
    <row r="117" spans="1:34" ht="13">
      <c r="A117" s="134"/>
      <c r="B117" s="470"/>
      <c r="C117" s="471"/>
      <c r="D117" s="859">
        <f>VLOOKUP(E117,'1.1a-Jaarprijzen'!B:G,6,FALSE)</f>
        <v>2</v>
      </c>
      <c r="E117" s="845" t="s">
        <v>922</v>
      </c>
      <c r="F117" s="798" t="s">
        <v>469</v>
      </c>
      <c r="G117" s="799" t="s">
        <v>440</v>
      </c>
      <c r="H117" s="573" t="s">
        <v>928</v>
      </c>
      <c r="I117" s="573" t="str">
        <f t="shared" si="31"/>
        <v>administratieve -, personeels- en vergaderruimte</v>
      </c>
      <c r="J117" s="694" t="s">
        <v>890</v>
      </c>
      <c r="K117" s="800">
        <v>6.16</v>
      </c>
      <c r="L117" s="800"/>
      <c r="M117" s="867">
        <v>1253</v>
      </c>
      <c r="N117" s="868"/>
      <c r="O117" s="869"/>
      <c r="P117" s="869"/>
      <c r="Q117" s="866">
        <f t="shared" si="38"/>
        <v>253</v>
      </c>
      <c r="R117" s="600">
        <v>1</v>
      </c>
      <c r="S117" s="600">
        <v>1</v>
      </c>
      <c r="T117" s="468">
        <f t="shared" si="39"/>
        <v>0</v>
      </c>
      <c r="U117" s="468">
        <f t="shared" si="40"/>
        <v>0</v>
      </c>
      <c r="V117" s="468">
        <f t="shared" si="41"/>
        <v>0</v>
      </c>
      <c r="W117" s="468">
        <f t="shared" si="42"/>
        <v>0</v>
      </c>
      <c r="X117" s="601">
        <f t="shared" si="32"/>
        <v>0</v>
      </c>
      <c r="Y117" s="601">
        <f t="shared" si="33"/>
        <v>0</v>
      </c>
      <c r="Z117" s="601">
        <f t="shared" si="34"/>
        <v>0</v>
      </c>
      <c r="AA117" s="601">
        <f t="shared" si="35"/>
        <v>0</v>
      </c>
      <c r="AB117" s="602" t="str">
        <f t="shared" si="36"/>
        <v>B</v>
      </c>
      <c r="AC117" s="847"/>
      <c r="AD117" s="603">
        <f>(T117+U117+V117)*'1.0-Contractblad'!$K$69</f>
        <v>0</v>
      </c>
      <c r="AE117" s="603"/>
      <c r="AF117" s="58">
        <f t="shared" si="37"/>
        <v>0</v>
      </c>
      <c r="AG117" s="58">
        <f t="shared" si="43"/>
        <v>1558.48</v>
      </c>
      <c r="AH117" s="58" t="str">
        <f t="shared" si="44"/>
        <v>1253-253</v>
      </c>
    </row>
    <row r="118" spans="1:34" ht="13">
      <c r="A118" s="134"/>
      <c r="B118" s="470"/>
      <c r="C118" s="471"/>
      <c r="D118" s="859">
        <f>VLOOKUP(E118,'1.1a-Jaarprijzen'!B:G,6,FALSE)</f>
        <v>2</v>
      </c>
      <c r="E118" s="845" t="s">
        <v>922</v>
      </c>
      <c r="F118" s="798" t="s">
        <v>469</v>
      </c>
      <c r="G118" s="799" t="s">
        <v>441</v>
      </c>
      <c r="H118" s="573" t="s">
        <v>929</v>
      </c>
      <c r="I118" s="573" t="str">
        <f t="shared" si="31"/>
        <v>sanitaire ruimte (toilet-/doucheruimte)</v>
      </c>
      <c r="J118" s="694" t="s">
        <v>889</v>
      </c>
      <c r="K118" s="800">
        <v>5.08</v>
      </c>
      <c r="L118" s="800"/>
      <c r="M118" s="867">
        <v>4253</v>
      </c>
      <c r="N118" s="868"/>
      <c r="O118" s="869"/>
      <c r="P118" s="869"/>
      <c r="Q118" s="866">
        <f t="shared" si="38"/>
        <v>253</v>
      </c>
      <c r="R118" s="600">
        <v>1</v>
      </c>
      <c r="S118" s="600">
        <v>1</v>
      </c>
      <c r="T118" s="468">
        <f t="shared" si="39"/>
        <v>0</v>
      </c>
      <c r="U118" s="468">
        <f t="shared" si="40"/>
        <v>0</v>
      </c>
      <c r="V118" s="468">
        <f t="shared" si="41"/>
        <v>0</v>
      </c>
      <c r="W118" s="468">
        <f t="shared" si="42"/>
        <v>0</v>
      </c>
      <c r="X118" s="601">
        <f t="shared" si="32"/>
        <v>0</v>
      </c>
      <c r="Y118" s="601">
        <f t="shared" si="33"/>
        <v>0</v>
      </c>
      <c r="Z118" s="601">
        <f t="shared" si="34"/>
        <v>0</v>
      </c>
      <c r="AA118" s="601">
        <f t="shared" si="35"/>
        <v>0</v>
      </c>
      <c r="AB118" s="602" t="str">
        <f t="shared" si="36"/>
        <v>S</v>
      </c>
      <c r="AC118" s="847"/>
      <c r="AD118" s="603">
        <f>(T118+U118+V118)*'1.0-Contractblad'!$K$69</f>
        <v>0</v>
      </c>
      <c r="AE118" s="603"/>
      <c r="AF118" s="58">
        <f t="shared" si="37"/>
        <v>0</v>
      </c>
      <c r="AG118" s="58">
        <f t="shared" si="43"/>
        <v>1285.24</v>
      </c>
      <c r="AH118" s="58" t="str">
        <f t="shared" si="44"/>
        <v>4253-253</v>
      </c>
    </row>
    <row r="119" spans="1:34" ht="13">
      <c r="A119" s="134"/>
      <c r="B119" s="470"/>
      <c r="C119" s="471"/>
      <c r="D119" s="859">
        <f>VLOOKUP(E119,'1.1a-Jaarprijzen'!B:G,6,FALSE)</f>
        <v>2</v>
      </c>
      <c r="E119" s="845" t="s">
        <v>922</v>
      </c>
      <c r="F119" s="798" t="s">
        <v>469</v>
      </c>
      <c r="G119" s="799" t="s">
        <v>442</v>
      </c>
      <c r="H119" s="573" t="s">
        <v>930</v>
      </c>
      <c r="I119" s="573" t="str">
        <f t="shared" si="31"/>
        <v>sanitaire ruimte (toilet-/doucheruimte)</v>
      </c>
      <c r="J119" s="694" t="s">
        <v>889</v>
      </c>
      <c r="K119" s="800">
        <v>3.49</v>
      </c>
      <c r="L119" s="800"/>
      <c r="M119" s="867">
        <v>4253</v>
      </c>
      <c r="N119" s="868"/>
      <c r="O119" s="869"/>
      <c r="P119" s="869"/>
      <c r="Q119" s="866">
        <f t="shared" si="38"/>
        <v>253</v>
      </c>
      <c r="R119" s="600">
        <v>1</v>
      </c>
      <c r="S119" s="600">
        <v>1</v>
      </c>
      <c r="T119" s="468">
        <f t="shared" si="39"/>
        <v>0</v>
      </c>
      <c r="U119" s="468">
        <f t="shared" si="40"/>
        <v>0</v>
      </c>
      <c r="V119" s="468">
        <f t="shared" si="41"/>
        <v>0</v>
      </c>
      <c r="W119" s="468">
        <f t="shared" si="42"/>
        <v>0</v>
      </c>
      <c r="X119" s="601">
        <f t="shared" si="32"/>
        <v>0</v>
      </c>
      <c r="Y119" s="601">
        <f t="shared" si="33"/>
        <v>0</v>
      </c>
      <c r="Z119" s="601">
        <f t="shared" si="34"/>
        <v>0</v>
      </c>
      <c r="AA119" s="601">
        <f t="shared" si="35"/>
        <v>0</v>
      </c>
      <c r="AB119" s="602" t="str">
        <f t="shared" si="36"/>
        <v>S</v>
      </c>
      <c r="AC119" s="847"/>
      <c r="AD119" s="603">
        <f>(T119+U119+V119)*'1.0-Contractblad'!$K$69</f>
        <v>0</v>
      </c>
      <c r="AE119" s="603"/>
      <c r="AF119" s="58">
        <f t="shared" si="37"/>
        <v>0</v>
      </c>
      <c r="AG119" s="58">
        <f t="shared" si="43"/>
        <v>882.97</v>
      </c>
      <c r="AH119" s="58" t="str">
        <f t="shared" si="44"/>
        <v>4253-253</v>
      </c>
    </row>
    <row r="120" spans="1:34" ht="13">
      <c r="A120" s="134"/>
      <c r="B120" s="470"/>
      <c r="C120" s="471"/>
      <c r="D120" s="859">
        <f>VLOOKUP(E120,'1.1a-Jaarprijzen'!B:G,6,FALSE)</f>
        <v>2</v>
      </c>
      <c r="E120" s="845" t="s">
        <v>922</v>
      </c>
      <c r="F120" s="798" t="s">
        <v>469</v>
      </c>
      <c r="G120" s="799" t="s">
        <v>443</v>
      </c>
      <c r="H120" s="573" t="s">
        <v>931</v>
      </c>
      <c r="I120" s="573" t="str">
        <f t="shared" si="31"/>
        <v>entree, gang, hal, repro, kopieer</v>
      </c>
      <c r="J120" s="694" t="s">
        <v>890</v>
      </c>
      <c r="K120" s="800">
        <v>6.56</v>
      </c>
      <c r="L120" s="800"/>
      <c r="M120" s="867">
        <v>3253</v>
      </c>
      <c r="N120" s="868"/>
      <c r="O120" s="869"/>
      <c r="P120" s="869"/>
      <c r="Q120" s="866">
        <f t="shared" si="38"/>
        <v>253</v>
      </c>
      <c r="R120" s="600">
        <v>1</v>
      </c>
      <c r="S120" s="600">
        <v>1</v>
      </c>
      <c r="T120" s="468">
        <f t="shared" si="39"/>
        <v>0</v>
      </c>
      <c r="U120" s="468">
        <f t="shared" si="40"/>
        <v>0</v>
      </c>
      <c r="V120" s="468">
        <f t="shared" si="41"/>
        <v>0</v>
      </c>
      <c r="W120" s="468">
        <f t="shared" si="42"/>
        <v>0</v>
      </c>
      <c r="X120" s="601">
        <f t="shared" si="32"/>
        <v>0</v>
      </c>
      <c r="Y120" s="601">
        <f t="shared" si="33"/>
        <v>0</v>
      </c>
      <c r="Z120" s="601">
        <f t="shared" si="34"/>
        <v>0</v>
      </c>
      <c r="AA120" s="601">
        <f t="shared" si="35"/>
        <v>0</v>
      </c>
      <c r="AB120" s="602" t="str">
        <f t="shared" si="36"/>
        <v>V</v>
      </c>
      <c r="AC120" s="847"/>
      <c r="AD120" s="603">
        <f>(T120+U120+V120)*'1.0-Contractblad'!$K$69</f>
        <v>0</v>
      </c>
      <c r="AE120" s="603"/>
      <c r="AF120" s="58">
        <f t="shared" si="37"/>
        <v>0</v>
      </c>
      <c r="AG120" s="58">
        <f t="shared" si="43"/>
        <v>1659.6799999999998</v>
      </c>
      <c r="AH120" s="58" t="str">
        <f t="shared" si="44"/>
        <v>3253-253</v>
      </c>
    </row>
    <row r="121" spans="1:34" ht="13">
      <c r="A121" s="134"/>
      <c r="B121" s="470"/>
      <c r="C121" s="471"/>
      <c r="D121" s="859">
        <f>VLOOKUP(E121,'1.1a-Jaarprijzen'!B:G,6,FALSE)</f>
        <v>2</v>
      </c>
      <c r="E121" s="845" t="s">
        <v>922</v>
      </c>
      <c r="F121" s="798" t="s">
        <v>469</v>
      </c>
      <c r="G121" s="799" t="s">
        <v>444</v>
      </c>
      <c r="H121" s="573" t="s">
        <v>932</v>
      </c>
      <c r="I121" s="573" t="str">
        <f t="shared" si="31"/>
        <v>sanitaire ruimte (toilet-/doucheruimte)</v>
      </c>
      <c r="J121" s="694" t="s">
        <v>889</v>
      </c>
      <c r="K121" s="800">
        <v>6.56</v>
      </c>
      <c r="L121" s="800"/>
      <c r="M121" s="867">
        <v>4253</v>
      </c>
      <c r="N121" s="868"/>
      <c r="O121" s="869"/>
      <c r="P121" s="869"/>
      <c r="Q121" s="866">
        <f t="shared" si="38"/>
        <v>253</v>
      </c>
      <c r="R121" s="600">
        <v>1</v>
      </c>
      <c r="S121" s="600">
        <v>1</v>
      </c>
      <c r="T121" s="468">
        <f t="shared" si="39"/>
        <v>0</v>
      </c>
      <c r="U121" s="468">
        <f t="shared" si="40"/>
        <v>0</v>
      </c>
      <c r="V121" s="468">
        <f t="shared" si="41"/>
        <v>0</v>
      </c>
      <c r="W121" s="468">
        <f t="shared" si="42"/>
        <v>0</v>
      </c>
      <c r="X121" s="601">
        <f t="shared" si="32"/>
        <v>0</v>
      </c>
      <c r="Y121" s="601">
        <f t="shared" si="33"/>
        <v>0</v>
      </c>
      <c r="Z121" s="601">
        <f t="shared" si="34"/>
        <v>0</v>
      </c>
      <c r="AA121" s="601">
        <f t="shared" si="35"/>
        <v>0</v>
      </c>
      <c r="AB121" s="602" t="str">
        <f t="shared" si="36"/>
        <v>S</v>
      </c>
      <c r="AC121" s="847"/>
      <c r="AD121" s="603">
        <f>(T121+U121+V121)*'1.0-Contractblad'!$K$69</f>
        <v>0</v>
      </c>
      <c r="AE121" s="603"/>
      <c r="AF121" s="58">
        <f t="shared" si="37"/>
        <v>0</v>
      </c>
      <c r="AG121" s="58">
        <f t="shared" si="43"/>
        <v>1659.6799999999998</v>
      </c>
      <c r="AH121" s="58" t="str">
        <f t="shared" si="44"/>
        <v>4253-253</v>
      </c>
    </row>
    <row r="122" spans="1:34" ht="13">
      <c r="A122" s="134"/>
      <c r="B122" s="470"/>
      <c r="C122" s="471"/>
      <c r="D122" s="859">
        <f>VLOOKUP(E122,'1.1a-Jaarprijzen'!B:G,6,FALSE)</f>
        <v>2</v>
      </c>
      <c r="E122" s="845" t="s">
        <v>922</v>
      </c>
      <c r="F122" s="798" t="s">
        <v>469</v>
      </c>
      <c r="G122" s="799" t="s">
        <v>445</v>
      </c>
      <c r="H122" s="573" t="s">
        <v>933</v>
      </c>
      <c r="I122" s="573" t="str">
        <f t="shared" si="31"/>
        <v>entree, gang, hal, repro, kopieer</v>
      </c>
      <c r="J122" s="694" t="s">
        <v>890</v>
      </c>
      <c r="K122" s="800">
        <v>33.5</v>
      </c>
      <c r="L122" s="800"/>
      <c r="M122" s="867">
        <v>3253</v>
      </c>
      <c r="N122" s="868"/>
      <c r="O122" s="869"/>
      <c r="P122" s="869"/>
      <c r="Q122" s="866">
        <f t="shared" si="38"/>
        <v>253</v>
      </c>
      <c r="R122" s="600">
        <v>1</v>
      </c>
      <c r="S122" s="600">
        <v>1</v>
      </c>
      <c r="T122" s="468">
        <f t="shared" si="39"/>
        <v>0</v>
      </c>
      <c r="U122" s="468">
        <f t="shared" si="40"/>
        <v>0</v>
      </c>
      <c r="V122" s="468">
        <f t="shared" si="41"/>
        <v>0</v>
      </c>
      <c r="W122" s="468">
        <f t="shared" si="42"/>
        <v>0</v>
      </c>
      <c r="X122" s="601">
        <f t="shared" si="32"/>
        <v>0</v>
      </c>
      <c r="Y122" s="601">
        <f t="shared" si="33"/>
        <v>0</v>
      </c>
      <c r="Z122" s="601">
        <f t="shared" si="34"/>
        <v>0</v>
      </c>
      <c r="AA122" s="601">
        <f t="shared" si="35"/>
        <v>0</v>
      </c>
      <c r="AB122" s="602" t="str">
        <f t="shared" si="36"/>
        <v>V</v>
      </c>
      <c r="AC122" s="847"/>
      <c r="AD122" s="603">
        <f>(T122+U122+V122)*'1.0-Contractblad'!$K$69</f>
        <v>0</v>
      </c>
      <c r="AE122" s="603"/>
      <c r="AF122" s="58">
        <f t="shared" si="37"/>
        <v>0</v>
      </c>
      <c r="AG122" s="58">
        <f t="shared" si="43"/>
        <v>8475.5</v>
      </c>
      <c r="AH122" s="58" t="str">
        <f t="shared" si="44"/>
        <v>3253-253</v>
      </c>
    </row>
    <row r="123" spans="1:34" ht="13">
      <c r="A123" s="134"/>
      <c r="B123" s="470"/>
      <c r="C123" s="471"/>
      <c r="D123" s="859">
        <f>VLOOKUP(E123,'1.1a-Jaarprijzen'!B:G,6,FALSE)</f>
        <v>2</v>
      </c>
      <c r="E123" s="845" t="s">
        <v>922</v>
      </c>
      <c r="F123" s="798" t="s">
        <v>469</v>
      </c>
      <c r="G123" s="799" t="s">
        <v>446</v>
      </c>
      <c r="H123" s="573" t="s">
        <v>927</v>
      </c>
      <c r="I123" s="573" t="str">
        <f t="shared" si="31"/>
        <v>administratieve -, personeels- en vergaderruimte</v>
      </c>
      <c r="J123" s="694" t="s">
        <v>890</v>
      </c>
      <c r="K123" s="800">
        <v>14.4</v>
      </c>
      <c r="L123" s="800"/>
      <c r="M123" s="867">
        <v>1253</v>
      </c>
      <c r="N123" s="868"/>
      <c r="O123" s="869"/>
      <c r="P123" s="869"/>
      <c r="Q123" s="866">
        <f t="shared" si="38"/>
        <v>253</v>
      </c>
      <c r="R123" s="600">
        <v>1</v>
      </c>
      <c r="S123" s="600">
        <v>1</v>
      </c>
      <c r="T123" s="468">
        <f t="shared" si="39"/>
        <v>0</v>
      </c>
      <c r="U123" s="468">
        <f t="shared" si="40"/>
        <v>0</v>
      </c>
      <c r="V123" s="468">
        <f t="shared" si="41"/>
        <v>0</v>
      </c>
      <c r="W123" s="468">
        <f t="shared" si="42"/>
        <v>0</v>
      </c>
      <c r="X123" s="601">
        <f t="shared" si="32"/>
        <v>0</v>
      </c>
      <c r="Y123" s="601">
        <f t="shared" si="33"/>
        <v>0</v>
      </c>
      <c r="Z123" s="601">
        <f t="shared" si="34"/>
        <v>0</v>
      </c>
      <c r="AA123" s="601">
        <f t="shared" si="35"/>
        <v>0</v>
      </c>
      <c r="AB123" s="602" t="str">
        <f t="shared" si="36"/>
        <v>B</v>
      </c>
      <c r="AC123" s="847"/>
      <c r="AD123" s="603">
        <f>(T123+U123+V123)*'1.0-Contractblad'!$K$69</f>
        <v>0</v>
      </c>
      <c r="AE123" s="603"/>
      <c r="AF123" s="58">
        <f t="shared" si="37"/>
        <v>0</v>
      </c>
      <c r="AG123" s="58">
        <f t="shared" si="43"/>
        <v>3643.2000000000003</v>
      </c>
      <c r="AH123" s="58" t="str">
        <f t="shared" si="44"/>
        <v>1253-253</v>
      </c>
    </row>
    <row r="124" spans="1:34" ht="13">
      <c r="A124" s="134"/>
      <c r="B124" s="470"/>
      <c r="C124" s="471"/>
      <c r="D124" s="859">
        <f>VLOOKUP(E124,'1.1a-Jaarprijzen'!B:G,6,FALSE)</f>
        <v>2</v>
      </c>
      <c r="E124" s="845" t="s">
        <v>922</v>
      </c>
      <c r="F124" s="798" t="s">
        <v>469</v>
      </c>
      <c r="G124" s="799" t="s">
        <v>449</v>
      </c>
      <c r="H124" s="573" t="s">
        <v>647</v>
      </c>
      <c r="I124" s="573" t="str">
        <f t="shared" si="31"/>
        <v>kleedruimten</v>
      </c>
      <c r="J124" s="694" t="s">
        <v>889</v>
      </c>
      <c r="K124" s="800">
        <v>14.3</v>
      </c>
      <c r="L124" s="800"/>
      <c r="M124" s="867">
        <v>10253</v>
      </c>
      <c r="N124" s="868"/>
      <c r="O124" s="869"/>
      <c r="P124" s="869"/>
      <c r="Q124" s="866">
        <f t="shared" si="38"/>
        <v>253</v>
      </c>
      <c r="R124" s="600">
        <v>1</v>
      </c>
      <c r="S124" s="600">
        <v>1</v>
      </c>
      <c r="T124" s="468">
        <f t="shared" si="39"/>
        <v>0</v>
      </c>
      <c r="U124" s="468">
        <f t="shared" si="40"/>
        <v>0</v>
      </c>
      <c r="V124" s="468">
        <f t="shared" si="41"/>
        <v>0</v>
      </c>
      <c r="W124" s="468">
        <f t="shared" si="42"/>
        <v>0</v>
      </c>
      <c r="X124" s="601">
        <f t="shared" si="32"/>
        <v>0</v>
      </c>
      <c r="Y124" s="601">
        <f t="shared" si="33"/>
        <v>0</v>
      </c>
      <c r="Z124" s="601">
        <f t="shared" si="34"/>
        <v>0</v>
      </c>
      <c r="AA124" s="601">
        <f t="shared" si="35"/>
        <v>0</v>
      </c>
      <c r="AB124" s="602" t="str">
        <f t="shared" si="36"/>
        <v>V</v>
      </c>
      <c r="AC124" s="847"/>
      <c r="AD124" s="603">
        <f>(T124+U124+V124)*'1.0-Contractblad'!$K$69</f>
        <v>0</v>
      </c>
      <c r="AE124" s="603"/>
      <c r="AF124" s="58">
        <f t="shared" si="37"/>
        <v>0</v>
      </c>
      <c r="AG124" s="58">
        <f t="shared" si="43"/>
        <v>3617.9</v>
      </c>
      <c r="AH124" s="58" t="str">
        <f t="shared" si="44"/>
        <v>10253-253</v>
      </c>
    </row>
    <row r="125" spans="1:34" ht="13">
      <c r="A125" s="134"/>
      <c r="B125" s="470"/>
      <c r="C125" s="471"/>
      <c r="D125" s="859">
        <f>VLOOKUP(E125,'1.1a-Jaarprijzen'!B:G,6,FALSE)</f>
        <v>2</v>
      </c>
      <c r="E125" s="845" t="s">
        <v>922</v>
      </c>
      <c r="F125" s="798" t="s">
        <v>469</v>
      </c>
      <c r="G125" s="799" t="s">
        <v>611</v>
      </c>
      <c r="H125" s="573" t="s">
        <v>649</v>
      </c>
      <c r="I125" s="573" t="str">
        <f t="shared" si="31"/>
        <v>sanitaire ruimte (toilet-/doucheruimte)</v>
      </c>
      <c r="J125" s="694" t="s">
        <v>889</v>
      </c>
      <c r="K125" s="800">
        <v>1.42</v>
      </c>
      <c r="L125" s="800"/>
      <c r="M125" s="867">
        <v>4253</v>
      </c>
      <c r="N125" s="868"/>
      <c r="O125" s="869"/>
      <c r="P125" s="869"/>
      <c r="Q125" s="866">
        <f t="shared" si="38"/>
        <v>253</v>
      </c>
      <c r="R125" s="600">
        <v>1</v>
      </c>
      <c r="S125" s="600">
        <v>1</v>
      </c>
      <c r="T125" s="468">
        <f t="shared" si="39"/>
        <v>0</v>
      </c>
      <c r="U125" s="468">
        <f t="shared" si="40"/>
        <v>0</v>
      </c>
      <c r="V125" s="468">
        <f t="shared" si="41"/>
        <v>0</v>
      </c>
      <c r="W125" s="468">
        <f t="shared" si="42"/>
        <v>0</v>
      </c>
      <c r="X125" s="601">
        <f t="shared" si="32"/>
        <v>0</v>
      </c>
      <c r="Y125" s="601">
        <f t="shared" si="33"/>
        <v>0</v>
      </c>
      <c r="Z125" s="601">
        <f t="shared" si="34"/>
        <v>0</v>
      </c>
      <c r="AA125" s="601">
        <f t="shared" si="35"/>
        <v>0</v>
      </c>
      <c r="AB125" s="602" t="str">
        <f t="shared" si="36"/>
        <v>S</v>
      </c>
      <c r="AC125" s="847"/>
      <c r="AD125" s="603">
        <f>(T125+U125+V125)*'1.0-Contractblad'!$K$69</f>
        <v>0</v>
      </c>
      <c r="AE125" s="603"/>
      <c r="AF125" s="58">
        <f t="shared" si="37"/>
        <v>0</v>
      </c>
      <c r="AG125" s="58">
        <f t="shared" si="43"/>
        <v>359.26</v>
      </c>
      <c r="AH125" s="58" t="str">
        <f t="shared" si="44"/>
        <v>4253-253</v>
      </c>
    </row>
    <row r="126" spans="1:34" ht="13">
      <c r="A126" s="134"/>
      <c r="B126" s="470"/>
      <c r="C126" s="471"/>
      <c r="D126" s="859">
        <f>VLOOKUP(E126,'1.1a-Jaarprijzen'!B:G,6,FALSE)</f>
        <v>2</v>
      </c>
      <c r="E126" s="845" t="s">
        <v>922</v>
      </c>
      <c r="F126" s="798" t="s">
        <v>469</v>
      </c>
      <c r="G126" s="799" t="s">
        <v>619</v>
      </c>
      <c r="H126" s="573" t="s">
        <v>852</v>
      </c>
      <c r="I126" s="573" t="str">
        <f t="shared" si="31"/>
        <v>sanitaire ruimte (toilet-/doucheruimte)</v>
      </c>
      <c r="J126" s="694" t="s">
        <v>889</v>
      </c>
      <c r="K126" s="800">
        <v>1.42</v>
      </c>
      <c r="L126" s="800"/>
      <c r="M126" s="867">
        <v>4253</v>
      </c>
      <c r="N126" s="868"/>
      <c r="O126" s="869"/>
      <c r="P126" s="869"/>
      <c r="Q126" s="866">
        <f t="shared" si="38"/>
        <v>253</v>
      </c>
      <c r="R126" s="600">
        <v>1</v>
      </c>
      <c r="S126" s="600">
        <v>1</v>
      </c>
      <c r="T126" s="468">
        <f t="shared" si="39"/>
        <v>0</v>
      </c>
      <c r="U126" s="468">
        <f t="shared" si="40"/>
        <v>0</v>
      </c>
      <c r="V126" s="468">
        <f t="shared" si="41"/>
        <v>0</v>
      </c>
      <c r="W126" s="468">
        <f t="shared" si="42"/>
        <v>0</v>
      </c>
      <c r="X126" s="601">
        <f t="shared" si="32"/>
        <v>0</v>
      </c>
      <c r="Y126" s="601">
        <f t="shared" si="33"/>
        <v>0</v>
      </c>
      <c r="Z126" s="601">
        <f t="shared" si="34"/>
        <v>0</v>
      </c>
      <c r="AA126" s="601">
        <f t="shared" si="35"/>
        <v>0</v>
      </c>
      <c r="AB126" s="602" t="str">
        <f t="shared" si="36"/>
        <v>S</v>
      </c>
      <c r="AC126" s="847"/>
      <c r="AD126" s="603">
        <f>(T126+U126+V126)*'1.0-Contractblad'!$K$69</f>
        <v>0</v>
      </c>
      <c r="AE126" s="603"/>
      <c r="AF126" s="58">
        <f t="shared" si="37"/>
        <v>0</v>
      </c>
      <c r="AG126" s="58">
        <f t="shared" si="43"/>
        <v>359.26</v>
      </c>
      <c r="AH126" s="58" t="str">
        <f t="shared" si="44"/>
        <v>4253-253</v>
      </c>
    </row>
    <row r="127" spans="1:34" ht="13">
      <c r="A127" s="134"/>
      <c r="B127" s="470"/>
      <c r="C127" s="471"/>
      <c r="D127" s="859">
        <f>VLOOKUP(E127,'1.1a-Jaarprijzen'!B:G,6,FALSE)</f>
        <v>2</v>
      </c>
      <c r="E127" s="845" t="s">
        <v>922</v>
      </c>
      <c r="F127" s="798" t="s">
        <v>469</v>
      </c>
      <c r="G127" s="799" t="s">
        <v>621</v>
      </c>
      <c r="H127" s="573" t="s">
        <v>652</v>
      </c>
      <c r="I127" s="573" t="str">
        <f t="shared" si="31"/>
        <v>sanitaire ruimte (toilet-/doucheruimte)</v>
      </c>
      <c r="J127" s="694" t="s">
        <v>889</v>
      </c>
      <c r="K127" s="800">
        <v>1.45</v>
      </c>
      <c r="L127" s="800"/>
      <c r="M127" s="867">
        <v>4253</v>
      </c>
      <c r="N127" s="868"/>
      <c r="O127" s="869"/>
      <c r="P127" s="869"/>
      <c r="Q127" s="866">
        <f t="shared" si="38"/>
        <v>253</v>
      </c>
      <c r="R127" s="600">
        <v>1</v>
      </c>
      <c r="S127" s="600">
        <v>1</v>
      </c>
      <c r="T127" s="468">
        <f t="shared" si="39"/>
        <v>0</v>
      </c>
      <c r="U127" s="468">
        <f t="shared" si="40"/>
        <v>0</v>
      </c>
      <c r="V127" s="468">
        <f t="shared" si="41"/>
        <v>0</v>
      </c>
      <c r="W127" s="468">
        <f t="shared" si="42"/>
        <v>0</v>
      </c>
      <c r="X127" s="601">
        <f t="shared" si="32"/>
        <v>0</v>
      </c>
      <c r="Y127" s="601">
        <f t="shared" si="33"/>
        <v>0</v>
      </c>
      <c r="Z127" s="601">
        <f t="shared" si="34"/>
        <v>0</v>
      </c>
      <c r="AA127" s="601">
        <f t="shared" si="35"/>
        <v>0</v>
      </c>
      <c r="AB127" s="602" t="str">
        <f t="shared" si="36"/>
        <v>S</v>
      </c>
      <c r="AC127" s="847"/>
      <c r="AD127" s="603">
        <f>(T127+U127+V127)*'1.0-Contractblad'!$K$69</f>
        <v>0</v>
      </c>
      <c r="AE127" s="603"/>
      <c r="AF127" s="58">
        <f t="shared" si="37"/>
        <v>0</v>
      </c>
      <c r="AG127" s="58">
        <f t="shared" si="43"/>
        <v>366.84999999999997</v>
      </c>
      <c r="AH127" s="58" t="str">
        <f t="shared" si="44"/>
        <v>4253-253</v>
      </c>
    </row>
    <row r="128" spans="1:34" ht="13">
      <c r="A128" s="134"/>
      <c r="B128" s="470"/>
      <c r="C128" s="471"/>
      <c r="D128" s="859">
        <f>VLOOKUP(E128,'1.1a-Jaarprijzen'!B:G,6,FALSE)</f>
        <v>2</v>
      </c>
      <c r="E128" s="845" t="s">
        <v>922</v>
      </c>
      <c r="F128" s="798" t="s">
        <v>469</v>
      </c>
      <c r="G128" s="799" t="s">
        <v>627</v>
      </c>
      <c r="H128" s="573" t="s">
        <v>934</v>
      </c>
      <c r="I128" s="573" t="str">
        <f t="shared" si="31"/>
        <v>sanitaire ruimte (toilet-/doucheruimte)</v>
      </c>
      <c r="J128" s="694" t="s">
        <v>889</v>
      </c>
      <c r="K128" s="800">
        <v>81.2</v>
      </c>
      <c r="L128" s="800"/>
      <c r="M128" s="867">
        <v>4253</v>
      </c>
      <c r="N128" s="868"/>
      <c r="O128" s="869"/>
      <c r="P128" s="869"/>
      <c r="Q128" s="866">
        <f t="shared" si="38"/>
        <v>253</v>
      </c>
      <c r="R128" s="600">
        <v>1</v>
      </c>
      <c r="S128" s="600">
        <v>1</v>
      </c>
      <c r="T128" s="468">
        <f t="shared" si="39"/>
        <v>0</v>
      </c>
      <c r="U128" s="468">
        <f t="shared" si="40"/>
        <v>0</v>
      </c>
      <c r="V128" s="468">
        <f t="shared" si="41"/>
        <v>0</v>
      </c>
      <c r="W128" s="468">
        <f t="shared" si="42"/>
        <v>0</v>
      </c>
      <c r="X128" s="601">
        <f t="shared" si="32"/>
        <v>0</v>
      </c>
      <c r="Y128" s="601">
        <f t="shared" si="33"/>
        <v>0</v>
      </c>
      <c r="Z128" s="601">
        <f t="shared" si="34"/>
        <v>0</v>
      </c>
      <c r="AA128" s="601">
        <f t="shared" si="35"/>
        <v>0</v>
      </c>
      <c r="AB128" s="602" t="str">
        <f t="shared" si="36"/>
        <v>S</v>
      </c>
      <c r="AC128" s="847" t="s">
        <v>1115</v>
      </c>
      <c r="AD128" s="603">
        <f>(T128+U128+V128)*'1.0-Contractblad'!$K$69</f>
        <v>0</v>
      </c>
      <c r="AE128" s="603"/>
      <c r="AF128" s="58">
        <f t="shared" si="37"/>
        <v>0</v>
      </c>
      <c r="AG128" s="58">
        <f t="shared" si="43"/>
        <v>20543.600000000002</v>
      </c>
      <c r="AH128" s="58" t="str">
        <f t="shared" si="44"/>
        <v>4253-253</v>
      </c>
    </row>
    <row r="129" spans="1:34" ht="13">
      <c r="A129" s="134"/>
      <c r="B129" s="470"/>
      <c r="C129" s="471"/>
      <c r="D129" s="859">
        <f>VLOOKUP(E129,'1.1a-Jaarprijzen'!B:G,6,FALSE)</f>
        <v>2</v>
      </c>
      <c r="E129" s="845" t="s">
        <v>922</v>
      </c>
      <c r="F129" s="798" t="s">
        <v>469</v>
      </c>
      <c r="G129" s="799" t="s">
        <v>628</v>
      </c>
      <c r="H129" s="573" t="s">
        <v>935</v>
      </c>
      <c r="I129" s="573" t="str">
        <f t="shared" si="31"/>
        <v>sanitaire ruimte (toilet-/doucheruimte)</v>
      </c>
      <c r="J129" s="694" t="s">
        <v>889</v>
      </c>
      <c r="K129" s="800"/>
      <c r="L129" s="800"/>
      <c r="M129" s="867">
        <v>4253</v>
      </c>
      <c r="N129" s="868"/>
      <c r="O129" s="869"/>
      <c r="P129" s="869"/>
      <c r="Q129" s="866">
        <f t="shared" si="38"/>
        <v>253</v>
      </c>
      <c r="R129" s="600">
        <v>1</v>
      </c>
      <c r="S129" s="600">
        <v>1</v>
      </c>
      <c r="T129" s="468">
        <f t="shared" si="39"/>
        <v>0</v>
      </c>
      <c r="U129" s="468">
        <f t="shared" si="40"/>
        <v>0</v>
      </c>
      <c r="V129" s="468">
        <f t="shared" si="41"/>
        <v>0</v>
      </c>
      <c r="W129" s="468">
        <f t="shared" si="42"/>
        <v>0</v>
      </c>
      <c r="X129" s="601">
        <f t="shared" si="32"/>
        <v>0</v>
      </c>
      <c r="Y129" s="601">
        <f t="shared" si="33"/>
        <v>0</v>
      </c>
      <c r="Z129" s="601">
        <f t="shared" si="34"/>
        <v>0</v>
      </c>
      <c r="AA129" s="601">
        <f t="shared" si="35"/>
        <v>0</v>
      </c>
      <c r="AB129" s="602" t="str">
        <f t="shared" si="36"/>
        <v>S</v>
      </c>
      <c r="AC129" s="847" t="s">
        <v>1115</v>
      </c>
      <c r="AD129" s="603">
        <f>(T129+U129+V129)*'1.0-Contractblad'!$K$69</f>
        <v>0</v>
      </c>
      <c r="AE129" s="603"/>
      <c r="AF129" s="58">
        <f t="shared" si="37"/>
        <v>0</v>
      </c>
      <c r="AG129" s="58">
        <f t="shared" si="43"/>
        <v>0</v>
      </c>
      <c r="AH129" s="58" t="str">
        <f t="shared" si="44"/>
        <v>4253-253</v>
      </c>
    </row>
    <row r="130" spans="1:34" ht="13">
      <c r="A130" s="134"/>
      <c r="B130" s="470"/>
      <c r="C130" s="471"/>
      <c r="D130" s="859">
        <f>VLOOKUP(E130,'1.1a-Jaarprijzen'!B:G,6,FALSE)</f>
        <v>2</v>
      </c>
      <c r="E130" s="845" t="s">
        <v>922</v>
      </c>
      <c r="F130" s="798" t="s">
        <v>469</v>
      </c>
      <c r="G130" s="799" t="s">
        <v>936</v>
      </c>
      <c r="H130" s="573" t="s">
        <v>935</v>
      </c>
      <c r="I130" s="573" t="str">
        <f t="shared" si="31"/>
        <v>sanitaire ruimte (toilet-/doucheruimte)</v>
      </c>
      <c r="J130" s="694" t="s">
        <v>889</v>
      </c>
      <c r="K130" s="800"/>
      <c r="L130" s="800"/>
      <c r="M130" s="867">
        <v>4253</v>
      </c>
      <c r="N130" s="868"/>
      <c r="O130" s="869"/>
      <c r="P130" s="869"/>
      <c r="Q130" s="866">
        <f t="shared" si="38"/>
        <v>253</v>
      </c>
      <c r="R130" s="600">
        <v>1</v>
      </c>
      <c r="S130" s="600">
        <v>1</v>
      </c>
      <c r="T130" s="468">
        <f t="shared" si="39"/>
        <v>0</v>
      </c>
      <c r="U130" s="468">
        <f t="shared" si="40"/>
        <v>0</v>
      </c>
      <c r="V130" s="468">
        <f t="shared" si="41"/>
        <v>0</v>
      </c>
      <c r="W130" s="468">
        <f t="shared" si="42"/>
        <v>0</v>
      </c>
      <c r="X130" s="601">
        <f t="shared" si="32"/>
        <v>0</v>
      </c>
      <c r="Y130" s="601">
        <f t="shared" si="33"/>
        <v>0</v>
      </c>
      <c r="Z130" s="601">
        <f t="shared" si="34"/>
        <v>0</v>
      </c>
      <c r="AA130" s="601">
        <f t="shared" si="35"/>
        <v>0</v>
      </c>
      <c r="AB130" s="602" t="str">
        <f t="shared" si="36"/>
        <v>S</v>
      </c>
      <c r="AC130" s="847" t="s">
        <v>1115</v>
      </c>
      <c r="AD130" s="603">
        <f>(T130+U130+V130)*'1.0-Contractblad'!$K$69</f>
        <v>0</v>
      </c>
      <c r="AE130" s="603"/>
      <c r="AF130" s="58">
        <f t="shared" si="37"/>
        <v>0</v>
      </c>
      <c r="AG130" s="58">
        <f t="shared" si="43"/>
        <v>0</v>
      </c>
      <c r="AH130" s="58" t="str">
        <f t="shared" si="44"/>
        <v>4253-253</v>
      </c>
    </row>
    <row r="131" spans="1:34" ht="13">
      <c r="A131" s="134"/>
      <c r="B131" s="470"/>
      <c r="C131" s="471"/>
      <c r="D131" s="859">
        <f>VLOOKUP(E131,'1.1a-Jaarprijzen'!B:G,6,FALSE)</f>
        <v>2</v>
      </c>
      <c r="E131" s="845" t="s">
        <v>922</v>
      </c>
      <c r="F131" s="798" t="s">
        <v>469</v>
      </c>
      <c r="G131" s="799" t="s">
        <v>937</v>
      </c>
      <c r="H131" s="573" t="s">
        <v>935</v>
      </c>
      <c r="I131" s="573" t="str">
        <f t="shared" si="31"/>
        <v>sanitaire ruimte (toilet-/doucheruimte)</v>
      </c>
      <c r="J131" s="694" t="s">
        <v>889</v>
      </c>
      <c r="K131" s="800"/>
      <c r="L131" s="800"/>
      <c r="M131" s="867">
        <v>4253</v>
      </c>
      <c r="N131" s="868"/>
      <c r="O131" s="869"/>
      <c r="P131" s="869"/>
      <c r="Q131" s="866">
        <f t="shared" si="38"/>
        <v>253</v>
      </c>
      <c r="R131" s="600">
        <v>1</v>
      </c>
      <c r="S131" s="600">
        <v>1</v>
      </c>
      <c r="T131" s="468">
        <f t="shared" si="39"/>
        <v>0</v>
      </c>
      <c r="U131" s="468">
        <f t="shared" si="40"/>
        <v>0</v>
      </c>
      <c r="V131" s="468">
        <f t="shared" si="41"/>
        <v>0</v>
      </c>
      <c r="W131" s="468">
        <f t="shared" si="42"/>
        <v>0</v>
      </c>
      <c r="X131" s="601">
        <f t="shared" si="32"/>
        <v>0</v>
      </c>
      <c r="Y131" s="601">
        <f t="shared" si="33"/>
        <v>0</v>
      </c>
      <c r="Z131" s="601">
        <f t="shared" si="34"/>
        <v>0</v>
      </c>
      <c r="AA131" s="601">
        <f t="shared" si="35"/>
        <v>0</v>
      </c>
      <c r="AB131" s="602" t="str">
        <f t="shared" si="36"/>
        <v>S</v>
      </c>
      <c r="AC131" s="847" t="s">
        <v>1115</v>
      </c>
      <c r="AD131" s="603">
        <f>(T131+U131+V131)*'1.0-Contractblad'!$K$69</f>
        <v>0</v>
      </c>
      <c r="AE131" s="603"/>
      <c r="AF131" s="58">
        <f t="shared" si="37"/>
        <v>0</v>
      </c>
      <c r="AG131" s="58">
        <f t="shared" si="43"/>
        <v>0</v>
      </c>
      <c r="AH131" s="58" t="str">
        <f t="shared" si="44"/>
        <v>4253-253</v>
      </c>
    </row>
    <row r="132" spans="1:34" ht="13">
      <c r="A132" s="134"/>
      <c r="B132" s="470"/>
      <c r="C132" s="471"/>
      <c r="D132" s="859">
        <f>VLOOKUP(E132,'1.1a-Jaarprijzen'!B:G,6,FALSE)</f>
        <v>2</v>
      </c>
      <c r="E132" s="845" t="s">
        <v>922</v>
      </c>
      <c r="F132" s="798" t="s">
        <v>469</v>
      </c>
      <c r="G132" s="799" t="s">
        <v>938</v>
      </c>
      <c r="H132" s="573" t="s">
        <v>935</v>
      </c>
      <c r="I132" s="573" t="str">
        <f t="shared" si="31"/>
        <v>sanitaire ruimte (toilet-/doucheruimte)</v>
      </c>
      <c r="J132" s="694" t="s">
        <v>889</v>
      </c>
      <c r="K132" s="800"/>
      <c r="L132" s="800"/>
      <c r="M132" s="867">
        <v>4253</v>
      </c>
      <c r="N132" s="868"/>
      <c r="O132" s="869"/>
      <c r="P132" s="869"/>
      <c r="Q132" s="866">
        <f t="shared" si="38"/>
        <v>253</v>
      </c>
      <c r="R132" s="600">
        <v>1</v>
      </c>
      <c r="S132" s="600">
        <v>1</v>
      </c>
      <c r="T132" s="468">
        <f t="shared" si="39"/>
        <v>0</v>
      </c>
      <c r="U132" s="468">
        <f t="shared" si="40"/>
        <v>0</v>
      </c>
      <c r="V132" s="468">
        <f t="shared" si="41"/>
        <v>0</v>
      </c>
      <c r="W132" s="468">
        <f t="shared" si="42"/>
        <v>0</v>
      </c>
      <c r="X132" s="601">
        <f t="shared" si="32"/>
        <v>0</v>
      </c>
      <c r="Y132" s="601">
        <f t="shared" si="33"/>
        <v>0</v>
      </c>
      <c r="Z132" s="601">
        <f t="shared" si="34"/>
        <v>0</v>
      </c>
      <c r="AA132" s="601">
        <f t="shared" si="35"/>
        <v>0</v>
      </c>
      <c r="AB132" s="602" t="str">
        <f t="shared" si="36"/>
        <v>S</v>
      </c>
      <c r="AC132" s="847" t="s">
        <v>1115</v>
      </c>
      <c r="AD132" s="603">
        <f>(T132+U132+V132)*'1.0-Contractblad'!$K$69</f>
        <v>0</v>
      </c>
      <c r="AE132" s="603"/>
      <c r="AF132" s="58">
        <f t="shared" si="37"/>
        <v>0</v>
      </c>
      <c r="AG132" s="58">
        <f t="shared" si="43"/>
        <v>0</v>
      </c>
      <c r="AH132" s="58" t="str">
        <f t="shared" si="44"/>
        <v>4253-253</v>
      </c>
    </row>
    <row r="133" spans="1:34" ht="13">
      <c r="A133" s="134"/>
      <c r="B133" s="470"/>
      <c r="C133" s="471"/>
      <c r="D133" s="859">
        <f>VLOOKUP(E133,'1.1a-Jaarprijzen'!B:G,6,FALSE)</f>
        <v>2</v>
      </c>
      <c r="E133" s="845" t="s">
        <v>922</v>
      </c>
      <c r="F133" s="798" t="s">
        <v>469</v>
      </c>
      <c r="G133" s="799" t="s">
        <v>709</v>
      </c>
      <c r="H133" s="573" t="s">
        <v>677</v>
      </c>
      <c r="I133" s="573" t="str">
        <f t="shared" si="31"/>
        <v>niet van toepassing</v>
      </c>
      <c r="J133" s="694" t="s">
        <v>889</v>
      </c>
      <c r="K133" s="800"/>
      <c r="L133" s="800">
        <v>5.99</v>
      </c>
      <c r="M133" s="867" t="s">
        <v>19</v>
      </c>
      <c r="N133" s="868"/>
      <c r="O133" s="869"/>
      <c r="P133" s="869"/>
      <c r="Q133" s="866">
        <f t="shared" si="38"/>
        <v>0</v>
      </c>
      <c r="R133" s="600">
        <v>1</v>
      </c>
      <c r="S133" s="600">
        <v>1</v>
      </c>
      <c r="T133" s="468">
        <f t="shared" si="39"/>
        <v>0</v>
      </c>
      <c r="U133" s="468">
        <f t="shared" si="40"/>
        <v>0</v>
      </c>
      <c r="V133" s="468">
        <f t="shared" si="41"/>
        <v>0</v>
      </c>
      <c r="W133" s="468">
        <f t="shared" si="42"/>
        <v>0</v>
      </c>
      <c r="X133" s="601">
        <f t="shared" si="32"/>
        <v>0</v>
      </c>
      <c r="Y133" s="601">
        <f t="shared" si="33"/>
        <v>0</v>
      </c>
      <c r="Z133" s="601">
        <f t="shared" si="34"/>
        <v>0</v>
      </c>
      <c r="AA133" s="601">
        <f t="shared" si="35"/>
        <v>0</v>
      </c>
      <c r="AB133" s="602">
        <f t="shared" si="36"/>
        <v>0</v>
      </c>
      <c r="AC133" s="847"/>
      <c r="AD133" s="603">
        <f>(T133+U133+V133)*'1.0-Contractblad'!$K$69</f>
        <v>0</v>
      </c>
      <c r="AE133" s="603"/>
      <c r="AF133" s="58">
        <f t="shared" si="37"/>
        <v>0</v>
      </c>
      <c r="AG133" s="58">
        <f t="shared" si="43"/>
        <v>0</v>
      </c>
      <c r="AH133" s="58" t="str">
        <f t="shared" si="44"/>
        <v>nvt-0</v>
      </c>
    </row>
    <row r="134" spans="1:34" ht="13">
      <c r="A134" s="134"/>
      <c r="B134" s="470"/>
      <c r="C134" s="471"/>
      <c r="D134" s="859">
        <f>VLOOKUP(E134,'1.1a-Jaarprijzen'!B:G,6,FALSE)</f>
        <v>2</v>
      </c>
      <c r="E134" s="845" t="s">
        <v>922</v>
      </c>
      <c r="F134" s="798" t="s">
        <v>469</v>
      </c>
      <c r="G134" s="799" t="s">
        <v>706</v>
      </c>
      <c r="H134" s="573" t="s">
        <v>883</v>
      </c>
      <c r="I134" s="573" t="str">
        <f t="shared" si="31"/>
        <v>sanitaire ruimte (toilet-/doucheruimte)</v>
      </c>
      <c r="J134" s="694" t="s">
        <v>889</v>
      </c>
      <c r="K134" s="800">
        <v>5.99</v>
      </c>
      <c r="L134" s="800"/>
      <c r="M134" s="867">
        <v>4253</v>
      </c>
      <c r="N134" s="868"/>
      <c r="O134" s="869"/>
      <c r="P134" s="869"/>
      <c r="Q134" s="866">
        <f t="shared" si="38"/>
        <v>253</v>
      </c>
      <c r="R134" s="600">
        <v>1</v>
      </c>
      <c r="S134" s="600">
        <v>1</v>
      </c>
      <c r="T134" s="468">
        <f t="shared" si="39"/>
        <v>0</v>
      </c>
      <c r="U134" s="468">
        <f t="shared" si="40"/>
        <v>0</v>
      </c>
      <c r="V134" s="468">
        <f t="shared" si="41"/>
        <v>0</v>
      </c>
      <c r="W134" s="468">
        <f t="shared" si="42"/>
        <v>0</v>
      </c>
      <c r="X134" s="601">
        <f t="shared" si="32"/>
        <v>0</v>
      </c>
      <c r="Y134" s="601">
        <f t="shared" si="33"/>
        <v>0</v>
      </c>
      <c r="Z134" s="601">
        <f t="shared" si="34"/>
        <v>0</v>
      </c>
      <c r="AA134" s="601">
        <f t="shared" si="35"/>
        <v>0</v>
      </c>
      <c r="AB134" s="602" t="str">
        <f t="shared" si="36"/>
        <v>S</v>
      </c>
      <c r="AC134" s="847"/>
      <c r="AD134" s="603">
        <f>(T134+U134+V134)*'1.0-Contractblad'!$K$69</f>
        <v>0</v>
      </c>
      <c r="AE134" s="603"/>
      <c r="AF134" s="58">
        <f t="shared" si="37"/>
        <v>0</v>
      </c>
      <c r="AG134" s="58">
        <f t="shared" si="43"/>
        <v>1515.47</v>
      </c>
      <c r="AH134" s="58" t="str">
        <f t="shared" si="44"/>
        <v>4253-253</v>
      </c>
    </row>
    <row r="135" spans="1:34" ht="13">
      <c r="A135" s="134"/>
      <c r="B135" s="470"/>
      <c r="C135" s="471"/>
      <c r="D135" s="859">
        <f>VLOOKUP(E135,'1.1a-Jaarprijzen'!B:G,6,FALSE)</f>
        <v>2</v>
      </c>
      <c r="E135" s="845" t="s">
        <v>922</v>
      </c>
      <c r="F135" s="798" t="s">
        <v>469</v>
      </c>
      <c r="G135" s="799" t="s">
        <v>710</v>
      </c>
      <c r="H135" s="573" t="s">
        <v>939</v>
      </c>
      <c r="I135" s="573" t="str">
        <f t="shared" si="31"/>
        <v>sanitaire ruimte (toilet-/doucheruimte)</v>
      </c>
      <c r="J135" s="694" t="s">
        <v>889</v>
      </c>
      <c r="K135" s="800">
        <v>1.45</v>
      </c>
      <c r="L135" s="800"/>
      <c r="M135" s="867">
        <v>4253</v>
      </c>
      <c r="N135" s="868"/>
      <c r="O135" s="869"/>
      <c r="P135" s="869"/>
      <c r="Q135" s="866">
        <f t="shared" si="38"/>
        <v>253</v>
      </c>
      <c r="R135" s="600">
        <v>1</v>
      </c>
      <c r="S135" s="600">
        <v>1</v>
      </c>
      <c r="T135" s="468">
        <f t="shared" si="39"/>
        <v>0</v>
      </c>
      <c r="U135" s="468">
        <f t="shared" si="40"/>
        <v>0</v>
      </c>
      <c r="V135" s="468">
        <f t="shared" si="41"/>
        <v>0</v>
      </c>
      <c r="W135" s="468">
        <f t="shared" si="42"/>
        <v>0</v>
      </c>
      <c r="X135" s="601">
        <f t="shared" si="32"/>
        <v>0</v>
      </c>
      <c r="Y135" s="601">
        <f t="shared" si="33"/>
        <v>0</v>
      </c>
      <c r="Z135" s="601">
        <f t="shared" si="34"/>
        <v>0</v>
      </c>
      <c r="AA135" s="601">
        <f t="shared" si="35"/>
        <v>0</v>
      </c>
      <c r="AB135" s="602" t="str">
        <f t="shared" si="36"/>
        <v>S</v>
      </c>
      <c r="AC135" s="847"/>
      <c r="AD135" s="603">
        <f>(T135+U135+V135)*'1.0-Contractblad'!$K$69</f>
        <v>0</v>
      </c>
      <c r="AE135" s="603"/>
      <c r="AF135" s="58">
        <f t="shared" si="37"/>
        <v>0</v>
      </c>
      <c r="AG135" s="58">
        <f t="shared" si="43"/>
        <v>366.84999999999997</v>
      </c>
      <c r="AH135" s="58" t="str">
        <f t="shared" si="44"/>
        <v>4253-253</v>
      </c>
    </row>
    <row r="136" spans="1:34" ht="13">
      <c r="A136" s="134"/>
      <c r="B136" s="470"/>
      <c r="C136" s="471"/>
      <c r="D136" s="859">
        <f>VLOOKUP(E136,'1.1a-Jaarprijzen'!B:G,6,FALSE)</f>
        <v>2</v>
      </c>
      <c r="E136" s="845" t="s">
        <v>922</v>
      </c>
      <c r="F136" s="798" t="s">
        <v>469</v>
      </c>
      <c r="G136" s="799" t="s">
        <v>713</v>
      </c>
      <c r="H136" s="573" t="s">
        <v>939</v>
      </c>
      <c r="I136" s="573" t="str">
        <f t="shared" si="31"/>
        <v>sanitaire ruimte (toilet-/doucheruimte)</v>
      </c>
      <c r="J136" s="694" t="s">
        <v>889</v>
      </c>
      <c r="K136" s="800">
        <v>1.45</v>
      </c>
      <c r="L136" s="800"/>
      <c r="M136" s="867">
        <v>4253</v>
      </c>
      <c r="N136" s="868"/>
      <c r="O136" s="869"/>
      <c r="P136" s="869"/>
      <c r="Q136" s="866">
        <f t="shared" si="38"/>
        <v>253</v>
      </c>
      <c r="R136" s="600">
        <v>1</v>
      </c>
      <c r="S136" s="600">
        <v>1</v>
      </c>
      <c r="T136" s="468">
        <f t="shared" si="39"/>
        <v>0</v>
      </c>
      <c r="U136" s="468">
        <f t="shared" si="40"/>
        <v>0</v>
      </c>
      <c r="V136" s="468">
        <f t="shared" si="41"/>
        <v>0</v>
      </c>
      <c r="W136" s="468">
        <f t="shared" si="42"/>
        <v>0</v>
      </c>
      <c r="X136" s="601">
        <f t="shared" si="32"/>
        <v>0</v>
      </c>
      <c r="Y136" s="601">
        <f t="shared" si="33"/>
        <v>0</v>
      </c>
      <c r="Z136" s="601">
        <f t="shared" si="34"/>
        <v>0</v>
      </c>
      <c r="AA136" s="601">
        <f t="shared" si="35"/>
        <v>0</v>
      </c>
      <c r="AB136" s="602" t="str">
        <f t="shared" si="36"/>
        <v>S</v>
      </c>
      <c r="AC136" s="847"/>
      <c r="AD136" s="603">
        <f>(T136+U136+V136)*'1.0-Contractblad'!$K$69</f>
        <v>0</v>
      </c>
      <c r="AE136" s="603"/>
      <c r="AF136" s="58">
        <f t="shared" si="37"/>
        <v>0</v>
      </c>
      <c r="AG136" s="58">
        <f t="shared" si="43"/>
        <v>366.84999999999997</v>
      </c>
      <c r="AH136" s="58" t="str">
        <f t="shared" si="44"/>
        <v>4253-253</v>
      </c>
    </row>
    <row r="137" spans="1:34" ht="13">
      <c r="A137" s="134"/>
      <c r="B137" s="470"/>
      <c r="C137" s="471"/>
      <c r="D137" s="859">
        <f>VLOOKUP(E137,'1.1a-Jaarprijzen'!B:G,6,FALSE)</f>
        <v>2</v>
      </c>
      <c r="E137" s="845" t="s">
        <v>922</v>
      </c>
      <c r="F137" s="798" t="s">
        <v>736</v>
      </c>
      <c r="G137" s="799" t="s">
        <v>456</v>
      </c>
      <c r="H137" s="573" t="s">
        <v>453</v>
      </c>
      <c r="I137" s="573" t="str">
        <f t="shared" si="31"/>
        <v>entree, gang, hal, repro, kopieer</v>
      </c>
      <c r="J137" s="694" t="s">
        <v>890</v>
      </c>
      <c r="K137" s="800">
        <v>20</v>
      </c>
      <c r="L137" s="800"/>
      <c r="M137" s="867">
        <v>3253</v>
      </c>
      <c r="N137" s="868"/>
      <c r="O137" s="869"/>
      <c r="P137" s="869"/>
      <c r="Q137" s="866">
        <f t="shared" si="38"/>
        <v>253</v>
      </c>
      <c r="R137" s="600">
        <v>1</v>
      </c>
      <c r="S137" s="600">
        <v>1</v>
      </c>
      <c r="T137" s="468">
        <f t="shared" si="39"/>
        <v>0</v>
      </c>
      <c r="U137" s="468">
        <f t="shared" si="40"/>
        <v>0</v>
      </c>
      <c r="V137" s="468">
        <f t="shared" si="41"/>
        <v>0</v>
      </c>
      <c r="W137" s="468">
        <f t="shared" si="42"/>
        <v>0</v>
      </c>
      <c r="X137" s="601">
        <f t="shared" si="32"/>
        <v>0</v>
      </c>
      <c r="Y137" s="601">
        <f t="shared" si="33"/>
        <v>0</v>
      </c>
      <c r="Z137" s="601">
        <f t="shared" si="34"/>
        <v>0</v>
      </c>
      <c r="AA137" s="601">
        <f t="shared" si="35"/>
        <v>0</v>
      </c>
      <c r="AB137" s="602" t="str">
        <f t="shared" si="36"/>
        <v>V</v>
      </c>
      <c r="AC137" s="847"/>
      <c r="AD137" s="603">
        <f>(T137+U137+V137)*'1.0-Contractblad'!$K$69</f>
        <v>0</v>
      </c>
      <c r="AE137" s="603"/>
      <c r="AF137" s="58">
        <f t="shared" si="37"/>
        <v>0</v>
      </c>
      <c r="AG137" s="58">
        <f t="shared" si="43"/>
        <v>5060</v>
      </c>
      <c r="AH137" s="58" t="str">
        <f t="shared" si="44"/>
        <v>3253-253</v>
      </c>
    </row>
    <row r="138" spans="1:34" ht="13">
      <c r="A138" s="134"/>
      <c r="B138" s="470"/>
      <c r="C138" s="471"/>
      <c r="D138" s="859">
        <f>VLOOKUP(E138,'1.1a-Jaarprijzen'!B:G,6,FALSE)</f>
        <v>2</v>
      </c>
      <c r="E138" s="845" t="s">
        <v>922</v>
      </c>
      <c r="F138" s="798" t="s">
        <v>736</v>
      </c>
      <c r="G138" s="799" t="s">
        <v>457</v>
      </c>
      <c r="H138" s="573" t="s">
        <v>514</v>
      </c>
      <c r="I138" s="573" t="str">
        <f t="shared" si="31"/>
        <v>administratieve -, personeels- en vergaderruimte</v>
      </c>
      <c r="J138" s="694" t="s">
        <v>940</v>
      </c>
      <c r="K138" s="800">
        <v>19.100000000000001</v>
      </c>
      <c r="L138" s="800"/>
      <c r="M138" s="867">
        <v>1253</v>
      </c>
      <c r="N138" s="868"/>
      <c r="O138" s="869"/>
      <c r="P138" s="869"/>
      <c r="Q138" s="866">
        <f t="shared" si="38"/>
        <v>253</v>
      </c>
      <c r="R138" s="600">
        <v>1</v>
      </c>
      <c r="S138" s="600">
        <v>1</v>
      </c>
      <c r="T138" s="468">
        <f t="shared" si="39"/>
        <v>0</v>
      </c>
      <c r="U138" s="468">
        <f t="shared" si="40"/>
        <v>0</v>
      </c>
      <c r="V138" s="468">
        <f t="shared" si="41"/>
        <v>0</v>
      </c>
      <c r="W138" s="468">
        <f t="shared" si="42"/>
        <v>0</v>
      </c>
      <c r="X138" s="601">
        <f t="shared" si="32"/>
        <v>0</v>
      </c>
      <c r="Y138" s="601">
        <f t="shared" si="33"/>
        <v>0</v>
      </c>
      <c r="Z138" s="601">
        <f t="shared" si="34"/>
        <v>0</v>
      </c>
      <c r="AA138" s="601">
        <f t="shared" si="35"/>
        <v>0</v>
      </c>
      <c r="AB138" s="602" t="str">
        <f t="shared" si="36"/>
        <v>B</v>
      </c>
      <c r="AC138" s="847"/>
      <c r="AD138" s="603">
        <f>(T138+U138+V138)*'1.0-Contractblad'!$K$69</f>
        <v>0</v>
      </c>
      <c r="AE138" s="603"/>
      <c r="AF138" s="58">
        <f t="shared" si="37"/>
        <v>0</v>
      </c>
      <c r="AG138" s="58">
        <f t="shared" si="43"/>
        <v>4832.3</v>
      </c>
      <c r="AH138" s="58" t="str">
        <f t="shared" si="44"/>
        <v>1253-253</v>
      </c>
    </row>
    <row r="139" spans="1:34" ht="13">
      <c r="A139" s="134"/>
      <c r="B139" s="470"/>
      <c r="C139" s="471"/>
      <c r="D139" s="859">
        <f>VLOOKUP(E139,'1.1a-Jaarprijzen'!B:G,6,FALSE)</f>
        <v>2</v>
      </c>
      <c r="E139" s="845" t="s">
        <v>922</v>
      </c>
      <c r="F139" s="798" t="s">
        <v>736</v>
      </c>
      <c r="G139" s="799" t="s">
        <v>458</v>
      </c>
      <c r="H139" s="573" t="s">
        <v>927</v>
      </c>
      <c r="I139" s="573" t="str">
        <f t="shared" si="31"/>
        <v>administratieve -, personeels- en vergaderruimte</v>
      </c>
      <c r="J139" s="694" t="s">
        <v>890</v>
      </c>
      <c r="K139" s="800">
        <v>93</v>
      </c>
      <c r="L139" s="800"/>
      <c r="M139" s="867">
        <v>1253</v>
      </c>
      <c r="N139" s="868"/>
      <c r="O139" s="869"/>
      <c r="P139" s="869"/>
      <c r="Q139" s="866">
        <f t="shared" si="38"/>
        <v>253</v>
      </c>
      <c r="R139" s="600">
        <v>1</v>
      </c>
      <c r="S139" s="600">
        <v>1</v>
      </c>
      <c r="T139" s="468">
        <f t="shared" si="39"/>
        <v>0</v>
      </c>
      <c r="U139" s="468">
        <f t="shared" si="40"/>
        <v>0</v>
      </c>
      <c r="V139" s="468">
        <f t="shared" si="41"/>
        <v>0</v>
      </c>
      <c r="W139" s="468">
        <f t="shared" si="42"/>
        <v>0</v>
      </c>
      <c r="X139" s="601">
        <f t="shared" si="32"/>
        <v>0</v>
      </c>
      <c r="Y139" s="601">
        <f t="shared" si="33"/>
        <v>0</v>
      </c>
      <c r="Z139" s="601">
        <f t="shared" si="34"/>
        <v>0</v>
      </c>
      <c r="AA139" s="601">
        <f t="shared" si="35"/>
        <v>0</v>
      </c>
      <c r="AB139" s="602" t="str">
        <f t="shared" si="36"/>
        <v>B</v>
      </c>
      <c r="AC139" s="847"/>
      <c r="AD139" s="603">
        <f>(T139+U139+V139)*'1.0-Contractblad'!$K$69</f>
        <v>0</v>
      </c>
      <c r="AE139" s="603"/>
      <c r="AF139" s="58">
        <f t="shared" si="37"/>
        <v>0</v>
      </c>
      <c r="AG139" s="58">
        <f t="shared" si="43"/>
        <v>23529</v>
      </c>
      <c r="AH139" s="58" t="str">
        <f t="shared" si="44"/>
        <v>1253-253</v>
      </c>
    </row>
    <row r="140" spans="1:34" ht="13">
      <c r="A140" s="134"/>
      <c r="B140" s="470"/>
      <c r="C140" s="471"/>
      <c r="D140" s="859">
        <f>VLOOKUP(E140,'1.1a-Jaarprijzen'!B:G,6,FALSE)</f>
        <v>2</v>
      </c>
      <c r="E140" s="845" t="s">
        <v>922</v>
      </c>
      <c r="F140" s="798" t="s">
        <v>736</v>
      </c>
      <c r="G140" s="799" t="s">
        <v>459</v>
      </c>
      <c r="H140" s="573" t="s">
        <v>928</v>
      </c>
      <c r="I140" s="573" t="str">
        <f t="shared" si="31"/>
        <v>administratieve -, personeels- en vergaderruimte</v>
      </c>
      <c r="J140" s="694" t="s">
        <v>890</v>
      </c>
      <c r="K140" s="800">
        <v>6.24</v>
      </c>
      <c r="L140" s="800"/>
      <c r="M140" s="867">
        <v>1253</v>
      </c>
      <c r="N140" s="868"/>
      <c r="O140" s="869"/>
      <c r="P140" s="869"/>
      <c r="Q140" s="866">
        <f t="shared" si="38"/>
        <v>253</v>
      </c>
      <c r="R140" s="600">
        <v>1</v>
      </c>
      <c r="S140" s="600">
        <v>1</v>
      </c>
      <c r="T140" s="468">
        <f t="shared" si="39"/>
        <v>0</v>
      </c>
      <c r="U140" s="468">
        <f t="shared" si="40"/>
        <v>0</v>
      </c>
      <c r="V140" s="468">
        <f t="shared" si="41"/>
        <v>0</v>
      </c>
      <c r="W140" s="468">
        <f t="shared" si="42"/>
        <v>0</v>
      </c>
      <c r="X140" s="601">
        <f t="shared" si="32"/>
        <v>0</v>
      </c>
      <c r="Y140" s="601">
        <f t="shared" si="33"/>
        <v>0</v>
      </c>
      <c r="Z140" s="601">
        <f t="shared" si="34"/>
        <v>0</v>
      </c>
      <c r="AA140" s="601">
        <f t="shared" si="35"/>
        <v>0</v>
      </c>
      <c r="AB140" s="602" t="str">
        <f t="shared" si="36"/>
        <v>B</v>
      </c>
      <c r="AC140" s="847"/>
      <c r="AD140" s="603">
        <f>(T140+U140+V140)*'1.0-Contractblad'!$K$69</f>
        <v>0</v>
      </c>
      <c r="AE140" s="603"/>
      <c r="AF140" s="58">
        <f t="shared" si="37"/>
        <v>0</v>
      </c>
      <c r="AG140" s="58">
        <f t="shared" si="43"/>
        <v>1578.72</v>
      </c>
      <c r="AH140" s="58" t="str">
        <f t="shared" si="44"/>
        <v>1253-253</v>
      </c>
    </row>
    <row r="141" spans="1:34" ht="13">
      <c r="A141" s="134"/>
      <c r="B141" s="470"/>
      <c r="C141" s="471"/>
      <c r="D141" s="859">
        <f>VLOOKUP(E141,'1.1a-Jaarprijzen'!B:G,6,FALSE)</f>
        <v>2</v>
      </c>
      <c r="E141" s="845" t="s">
        <v>922</v>
      </c>
      <c r="F141" s="798" t="s">
        <v>736</v>
      </c>
      <c r="G141" s="799" t="s">
        <v>460</v>
      </c>
      <c r="H141" s="573" t="s">
        <v>514</v>
      </c>
      <c r="I141" s="573" t="str">
        <f t="shared" si="31"/>
        <v>administratieve -, personeels- en vergaderruimte</v>
      </c>
      <c r="J141" s="694" t="s">
        <v>940</v>
      </c>
      <c r="K141" s="800">
        <v>27.9</v>
      </c>
      <c r="L141" s="800"/>
      <c r="M141" s="867">
        <v>1253</v>
      </c>
      <c r="N141" s="868"/>
      <c r="O141" s="869"/>
      <c r="P141" s="869"/>
      <c r="Q141" s="866">
        <f t="shared" si="38"/>
        <v>253</v>
      </c>
      <c r="R141" s="600">
        <v>1</v>
      </c>
      <c r="S141" s="600">
        <v>1</v>
      </c>
      <c r="T141" s="468">
        <f t="shared" si="39"/>
        <v>0</v>
      </c>
      <c r="U141" s="468">
        <f t="shared" si="40"/>
        <v>0</v>
      </c>
      <c r="V141" s="468">
        <f t="shared" si="41"/>
        <v>0</v>
      </c>
      <c r="W141" s="468">
        <f t="shared" si="42"/>
        <v>0</v>
      </c>
      <c r="X141" s="601">
        <f t="shared" si="32"/>
        <v>0</v>
      </c>
      <c r="Y141" s="601">
        <f t="shared" si="33"/>
        <v>0</v>
      </c>
      <c r="Z141" s="601">
        <f t="shared" si="34"/>
        <v>0</v>
      </c>
      <c r="AA141" s="601">
        <f t="shared" si="35"/>
        <v>0</v>
      </c>
      <c r="AB141" s="602" t="str">
        <f t="shared" si="36"/>
        <v>B</v>
      </c>
      <c r="AC141" s="847"/>
      <c r="AD141" s="603">
        <f>(T141+U141+V141)*'1.0-Contractblad'!$K$69</f>
        <v>0</v>
      </c>
      <c r="AE141" s="603"/>
      <c r="AF141" s="58">
        <f t="shared" si="37"/>
        <v>0</v>
      </c>
      <c r="AG141" s="58">
        <f t="shared" si="43"/>
        <v>7058.7</v>
      </c>
      <c r="AH141" s="58" t="str">
        <f t="shared" si="44"/>
        <v>1253-253</v>
      </c>
    </row>
    <row r="142" spans="1:34" ht="13">
      <c r="A142" s="134"/>
      <c r="B142" s="470"/>
      <c r="C142" s="471"/>
      <c r="D142" s="859">
        <f>VLOOKUP(E142,'1.1a-Jaarprijzen'!B:G,6,FALSE)</f>
        <v>2</v>
      </c>
      <c r="E142" s="845" t="s">
        <v>922</v>
      </c>
      <c r="F142" s="798" t="s">
        <v>736</v>
      </c>
      <c r="G142" s="799" t="s">
        <v>461</v>
      </c>
      <c r="H142" s="573" t="s">
        <v>941</v>
      </c>
      <c r="I142" s="573" t="str">
        <f t="shared" si="31"/>
        <v>pantry, keuken, koffiecorner</v>
      </c>
      <c r="J142" s="694" t="s">
        <v>942</v>
      </c>
      <c r="K142" s="800">
        <v>109</v>
      </c>
      <c r="L142" s="800"/>
      <c r="M142" s="867">
        <v>5253</v>
      </c>
      <c r="N142" s="868"/>
      <c r="O142" s="869"/>
      <c r="P142" s="869"/>
      <c r="Q142" s="866">
        <f t="shared" si="38"/>
        <v>253</v>
      </c>
      <c r="R142" s="600">
        <v>1</v>
      </c>
      <c r="S142" s="600">
        <v>1</v>
      </c>
      <c r="T142" s="468">
        <f t="shared" si="39"/>
        <v>0</v>
      </c>
      <c r="U142" s="468">
        <f t="shared" si="40"/>
        <v>0</v>
      </c>
      <c r="V142" s="468">
        <f t="shared" si="41"/>
        <v>0</v>
      </c>
      <c r="W142" s="468">
        <f t="shared" si="42"/>
        <v>0</v>
      </c>
      <c r="X142" s="601">
        <f t="shared" si="32"/>
        <v>0</v>
      </c>
      <c r="Y142" s="601">
        <f t="shared" si="33"/>
        <v>0</v>
      </c>
      <c r="Z142" s="601">
        <f t="shared" si="34"/>
        <v>0</v>
      </c>
      <c r="AA142" s="601">
        <f t="shared" si="35"/>
        <v>0</v>
      </c>
      <c r="AB142" s="602" t="str">
        <f t="shared" si="36"/>
        <v>V</v>
      </c>
      <c r="AC142" s="847"/>
      <c r="AD142" s="603">
        <f>(T142+U142+V142)*'1.0-Contractblad'!$K$69</f>
        <v>0</v>
      </c>
      <c r="AE142" s="603"/>
      <c r="AF142" s="58">
        <f t="shared" si="37"/>
        <v>0</v>
      </c>
      <c r="AG142" s="58">
        <f t="shared" si="43"/>
        <v>27577</v>
      </c>
      <c r="AH142" s="58" t="str">
        <f t="shared" si="44"/>
        <v>5253-253</v>
      </c>
    </row>
    <row r="143" spans="1:34" ht="13">
      <c r="A143" s="134"/>
      <c r="B143" s="470"/>
      <c r="C143" s="471"/>
      <c r="D143" s="859">
        <f>VLOOKUP(E143,'1.1a-Jaarprijzen'!B:G,6,FALSE)</f>
        <v>2</v>
      </c>
      <c r="E143" s="845" t="s">
        <v>922</v>
      </c>
      <c r="F143" s="798" t="s">
        <v>736</v>
      </c>
      <c r="G143" s="799" t="s">
        <v>682</v>
      </c>
      <c r="H143" s="573" t="s">
        <v>732</v>
      </c>
      <c r="I143" s="573" t="str">
        <f t="shared" si="31"/>
        <v>niet van toepassing</v>
      </c>
      <c r="J143" s="694" t="s">
        <v>890</v>
      </c>
      <c r="K143" s="800"/>
      <c r="L143" s="800">
        <v>16</v>
      </c>
      <c r="M143" s="867" t="s">
        <v>19</v>
      </c>
      <c r="N143" s="868"/>
      <c r="O143" s="869"/>
      <c r="P143" s="869"/>
      <c r="Q143" s="866">
        <f t="shared" si="38"/>
        <v>0</v>
      </c>
      <c r="R143" s="600">
        <v>1</v>
      </c>
      <c r="S143" s="600">
        <v>1</v>
      </c>
      <c r="T143" s="468">
        <f t="shared" si="39"/>
        <v>0</v>
      </c>
      <c r="U143" s="468">
        <f t="shared" si="40"/>
        <v>0</v>
      </c>
      <c r="V143" s="468">
        <f t="shared" si="41"/>
        <v>0</v>
      </c>
      <c r="W143" s="468">
        <f t="shared" si="42"/>
        <v>0</v>
      </c>
      <c r="X143" s="601">
        <f t="shared" si="32"/>
        <v>0</v>
      </c>
      <c r="Y143" s="601">
        <f t="shared" si="33"/>
        <v>0</v>
      </c>
      <c r="Z143" s="601">
        <f t="shared" si="34"/>
        <v>0</v>
      </c>
      <c r="AA143" s="601">
        <f t="shared" si="35"/>
        <v>0</v>
      </c>
      <c r="AB143" s="602">
        <f t="shared" si="36"/>
        <v>0</v>
      </c>
      <c r="AC143" s="847"/>
      <c r="AD143" s="603">
        <f>(T143+U143+V143)*'1.0-Contractblad'!$K$69</f>
        <v>0</v>
      </c>
      <c r="AE143" s="603"/>
      <c r="AF143" s="58">
        <f t="shared" si="37"/>
        <v>0</v>
      </c>
      <c r="AG143" s="58">
        <f t="shared" si="43"/>
        <v>0</v>
      </c>
      <c r="AH143" s="58" t="str">
        <f t="shared" si="44"/>
        <v>nvt-0</v>
      </c>
    </row>
    <row r="144" spans="1:34" ht="13">
      <c r="A144" s="134"/>
      <c r="B144" s="470"/>
      <c r="C144" s="471"/>
      <c r="D144" s="859">
        <f>VLOOKUP(E144,'1.1a-Jaarprijzen'!B:G,6,FALSE)</f>
        <v>2</v>
      </c>
      <c r="E144" s="845" t="s">
        <v>922</v>
      </c>
      <c r="F144" s="798" t="s">
        <v>736</v>
      </c>
      <c r="G144" s="799" t="s">
        <v>683</v>
      </c>
      <c r="H144" s="573" t="s">
        <v>732</v>
      </c>
      <c r="I144" s="573" t="str">
        <f t="shared" si="31"/>
        <v>niet van toepassing</v>
      </c>
      <c r="J144" s="694" t="s">
        <v>890</v>
      </c>
      <c r="K144" s="800"/>
      <c r="L144" s="800">
        <v>10.1</v>
      </c>
      <c r="M144" s="867" t="s">
        <v>19</v>
      </c>
      <c r="N144" s="868"/>
      <c r="O144" s="869"/>
      <c r="P144" s="869"/>
      <c r="Q144" s="866">
        <f t="shared" si="38"/>
        <v>0</v>
      </c>
      <c r="R144" s="600">
        <v>1</v>
      </c>
      <c r="S144" s="600">
        <v>1</v>
      </c>
      <c r="T144" s="468">
        <f t="shared" si="39"/>
        <v>0</v>
      </c>
      <c r="U144" s="468">
        <f t="shared" si="40"/>
        <v>0</v>
      </c>
      <c r="V144" s="468">
        <f t="shared" si="41"/>
        <v>0</v>
      </c>
      <c r="W144" s="468">
        <f t="shared" si="42"/>
        <v>0</v>
      </c>
      <c r="X144" s="601">
        <f t="shared" si="32"/>
        <v>0</v>
      </c>
      <c r="Y144" s="601">
        <f t="shared" si="33"/>
        <v>0</v>
      </c>
      <c r="Z144" s="601">
        <f t="shared" si="34"/>
        <v>0</v>
      </c>
      <c r="AA144" s="601">
        <f t="shared" si="35"/>
        <v>0</v>
      </c>
      <c r="AB144" s="602">
        <f t="shared" si="36"/>
        <v>0</v>
      </c>
      <c r="AC144" s="847"/>
      <c r="AD144" s="603">
        <f>(T144+U144+V144)*'1.0-Contractblad'!$K$69</f>
        <v>0</v>
      </c>
      <c r="AE144" s="603"/>
      <c r="AF144" s="58">
        <f t="shared" si="37"/>
        <v>0</v>
      </c>
      <c r="AG144" s="58">
        <f t="shared" si="43"/>
        <v>0</v>
      </c>
      <c r="AH144" s="58" t="str">
        <f t="shared" si="44"/>
        <v>nvt-0</v>
      </c>
    </row>
    <row r="145" spans="1:34" ht="13">
      <c r="A145" s="134"/>
      <c r="B145" s="470"/>
      <c r="C145" s="471"/>
      <c r="D145" s="859">
        <f>VLOOKUP(E145,'1.1a-Jaarprijzen'!B:G,6,FALSE)</f>
        <v>2</v>
      </c>
      <c r="E145" s="845" t="s">
        <v>922</v>
      </c>
      <c r="F145" s="798" t="s">
        <v>736</v>
      </c>
      <c r="G145" s="799" t="s">
        <v>684</v>
      </c>
      <c r="H145" s="573" t="s">
        <v>732</v>
      </c>
      <c r="I145" s="573" t="str">
        <f t="shared" si="31"/>
        <v>niet van toepassing</v>
      </c>
      <c r="J145" s="694" t="s">
        <v>890</v>
      </c>
      <c r="K145" s="800"/>
      <c r="L145" s="800">
        <v>9.94</v>
      </c>
      <c r="M145" s="867" t="s">
        <v>19</v>
      </c>
      <c r="N145" s="868"/>
      <c r="O145" s="869"/>
      <c r="P145" s="869"/>
      <c r="Q145" s="866">
        <f t="shared" si="38"/>
        <v>0</v>
      </c>
      <c r="R145" s="600">
        <v>1</v>
      </c>
      <c r="S145" s="600">
        <v>1</v>
      </c>
      <c r="T145" s="468">
        <f t="shared" si="39"/>
        <v>0</v>
      </c>
      <c r="U145" s="468">
        <f t="shared" si="40"/>
        <v>0</v>
      </c>
      <c r="V145" s="468">
        <f t="shared" si="41"/>
        <v>0</v>
      </c>
      <c r="W145" s="468">
        <f t="shared" si="42"/>
        <v>0</v>
      </c>
      <c r="X145" s="601">
        <f t="shared" si="32"/>
        <v>0</v>
      </c>
      <c r="Y145" s="601">
        <f t="shared" si="33"/>
        <v>0</v>
      </c>
      <c r="Z145" s="601">
        <f t="shared" si="34"/>
        <v>0</v>
      </c>
      <c r="AA145" s="601">
        <f t="shared" si="35"/>
        <v>0</v>
      </c>
      <c r="AB145" s="602">
        <f t="shared" si="36"/>
        <v>0</v>
      </c>
      <c r="AC145" s="847"/>
      <c r="AD145" s="603">
        <f>(T145+U145+V145)*'1.0-Contractblad'!$K$69</f>
        <v>0</v>
      </c>
      <c r="AE145" s="603"/>
      <c r="AF145" s="58">
        <f t="shared" si="37"/>
        <v>0</v>
      </c>
      <c r="AG145" s="58">
        <f t="shared" si="43"/>
        <v>0</v>
      </c>
      <c r="AH145" s="58" t="str">
        <f t="shared" si="44"/>
        <v>nvt-0</v>
      </c>
    </row>
    <row r="146" spans="1:34" ht="13">
      <c r="A146" s="134"/>
      <c r="B146" s="470"/>
      <c r="C146" s="471"/>
      <c r="D146" s="859">
        <f>VLOOKUP(E146,'1.1a-Jaarprijzen'!B:G,6,FALSE)</f>
        <v>2</v>
      </c>
      <c r="E146" s="845" t="s">
        <v>922</v>
      </c>
      <c r="F146" s="798" t="s">
        <v>736</v>
      </c>
      <c r="G146" s="799" t="s">
        <v>714</v>
      </c>
      <c r="H146" s="573" t="s">
        <v>453</v>
      </c>
      <c r="I146" s="573" t="str">
        <f t="shared" si="31"/>
        <v>entree, gang, hal, repro, kopieer</v>
      </c>
      <c r="J146" s="694" t="s">
        <v>890</v>
      </c>
      <c r="K146" s="800">
        <v>21.6</v>
      </c>
      <c r="L146" s="800"/>
      <c r="M146" s="867">
        <v>3253</v>
      </c>
      <c r="N146" s="868"/>
      <c r="O146" s="869"/>
      <c r="P146" s="869"/>
      <c r="Q146" s="866">
        <f t="shared" si="38"/>
        <v>253</v>
      </c>
      <c r="R146" s="600">
        <v>1</v>
      </c>
      <c r="S146" s="600">
        <v>1</v>
      </c>
      <c r="T146" s="468">
        <f t="shared" si="39"/>
        <v>0</v>
      </c>
      <c r="U146" s="468">
        <f t="shared" si="40"/>
        <v>0</v>
      </c>
      <c r="V146" s="468">
        <f t="shared" si="41"/>
        <v>0</v>
      </c>
      <c r="W146" s="468">
        <f t="shared" si="42"/>
        <v>0</v>
      </c>
      <c r="X146" s="601">
        <f t="shared" si="32"/>
        <v>0</v>
      </c>
      <c r="Y146" s="601">
        <f t="shared" si="33"/>
        <v>0</v>
      </c>
      <c r="Z146" s="601">
        <f t="shared" si="34"/>
        <v>0</v>
      </c>
      <c r="AA146" s="601">
        <f t="shared" si="35"/>
        <v>0</v>
      </c>
      <c r="AB146" s="602" t="str">
        <f t="shared" si="36"/>
        <v>V</v>
      </c>
      <c r="AC146" s="847"/>
      <c r="AD146" s="603">
        <f>(T146+U146+V146)*'1.0-Contractblad'!$K$69</f>
        <v>0</v>
      </c>
      <c r="AE146" s="603"/>
      <c r="AF146" s="58">
        <f t="shared" si="37"/>
        <v>0</v>
      </c>
      <c r="AG146" s="58">
        <f t="shared" si="43"/>
        <v>5464.8</v>
      </c>
      <c r="AH146" s="58" t="str">
        <f t="shared" si="44"/>
        <v>3253-253</v>
      </c>
    </row>
    <row r="147" spans="1:34" ht="13">
      <c r="A147" s="134"/>
      <c r="B147" s="470"/>
      <c r="C147" s="471"/>
      <c r="D147" s="859">
        <f>VLOOKUP(E147,'1.1a-Jaarprijzen'!B:G,6,FALSE)</f>
        <v>2</v>
      </c>
      <c r="E147" s="845" t="s">
        <v>922</v>
      </c>
      <c r="F147" s="798" t="s">
        <v>469</v>
      </c>
      <c r="G147" s="799" t="s">
        <v>707</v>
      </c>
      <c r="H147" s="573" t="s">
        <v>943</v>
      </c>
      <c r="I147" s="573" t="str">
        <f t="shared" si="31"/>
        <v>niet van toepassing</v>
      </c>
      <c r="J147" s="694" t="s">
        <v>326</v>
      </c>
      <c r="K147" s="800"/>
      <c r="L147" s="800"/>
      <c r="M147" s="867" t="s">
        <v>19</v>
      </c>
      <c r="N147" s="868"/>
      <c r="O147" s="869"/>
      <c r="P147" s="869"/>
      <c r="Q147" s="866">
        <f t="shared" si="38"/>
        <v>0</v>
      </c>
      <c r="R147" s="600">
        <v>1</v>
      </c>
      <c r="S147" s="600">
        <v>1</v>
      </c>
      <c r="T147" s="468">
        <f t="shared" si="39"/>
        <v>0</v>
      </c>
      <c r="U147" s="468">
        <f t="shared" si="40"/>
        <v>0</v>
      </c>
      <c r="V147" s="468">
        <f t="shared" si="41"/>
        <v>0</v>
      </c>
      <c r="W147" s="468">
        <f t="shared" si="42"/>
        <v>0</v>
      </c>
      <c r="X147" s="601">
        <f t="shared" si="32"/>
        <v>0</v>
      </c>
      <c r="Y147" s="601">
        <f t="shared" si="33"/>
        <v>0</v>
      </c>
      <c r="Z147" s="601">
        <f t="shared" si="34"/>
        <v>0</v>
      </c>
      <c r="AA147" s="601">
        <f t="shared" si="35"/>
        <v>0</v>
      </c>
      <c r="AB147" s="602">
        <f t="shared" si="36"/>
        <v>0</v>
      </c>
      <c r="AC147" s="847"/>
      <c r="AD147" s="603">
        <f>(T147+U147+V147)*'1.0-Contractblad'!$K$69</f>
        <v>0</v>
      </c>
      <c r="AE147" s="603"/>
      <c r="AF147" s="58">
        <f t="shared" si="37"/>
        <v>0</v>
      </c>
      <c r="AG147" s="58">
        <f t="shared" si="43"/>
        <v>0</v>
      </c>
      <c r="AH147" s="58" t="str">
        <f t="shared" si="44"/>
        <v>nvt-0</v>
      </c>
    </row>
    <row r="148" spans="1:34" ht="13">
      <c r="A148" s="134"/>
      <c r="B148" s="470"/>
      <c r="C148" s="471"/>
      <c r="D148" s="859">
        <f>VLOOKUP(E148,'1.1a-Jaarprijzen'!B:G,6,FALSE)</f>
        <v>2</v>
      </c>
      <c r="E148" s="845" t="s">
        <v>922</v>
      </c>
      <c r="F148" s="798" t="s">
        <v>469</v>
      </c>
      <c r="G148" s="799" t="s">
        <v>705</v>
      </c>
      <c r="H148" s="573" t="s">
        <v>944</v>
      </c>
      <c r="I148" s="573" t="str">
        <f t="shared" si="31"/>
        <v>administratieve -, personeels- en vergaderruimte</v>
      </c>
      <c r="J148" s="694" t="s">
        <v>326</v>
      </c>
      <c r="K148" s="800"/>
      <c r="L148" s="800"/>
      <c r="M148" s="867">
        <v>1253</v>
      </c>
      <c r="N148" s="868"/>
      <c r="O148" s="869"/>
      <c r="P148" s="869"/>
      <c r="Q148" s="866">
        <f t="shared" si="38"/>
        <v>253</v>
      </c>
      <c r="R148" s="600">
        <v>1</v>
      </c>
      <c r="S148" s="600">
        <v>1</v>
      </c>
      <c r="T148" s="468">
        <f t="shared" si="39"/>
        <v>0</v>
      </c>
      <c r="U148" s="468">
        <f t="shared" si="40"/>
        <v>0</v>
      </c>
      <c r="V148" s="468">
        <f t="shared" si="41"/>
        <v>0</v>
      </c>
      <c r="W148" s="468">
        <f t="shared" si="42"/>
        <v>0</v>
      </c>
      <c r="X148" s="601">
        <f t="shared" si="32"/>
        <v>0</v>
      </c>
      <c r="Y148" s="601">
        <f t="shared" si="33"/>
        <v>0</v>
      </c>
      <c r="Z148" s="601">
        <f t="shared" si="34"/>
        <v>0</v>
      </c>
      <c r="AA148" s="601">
        <f t="shared" si="35"/>
        <v>0</v>
      </c>
      <c r="AB148" s="602" t="str">
        <f t="shared" si="36"/>
        <v>B</v>
      </c>
      <c r="AC148" s="801"/>
      <c r="AD148" s="603">
        <f>(T148+U148+V148)*'1.0-Contractblad'!$K$69</f>
        <v>0</v>
      </c>
      <c r="AE148" s="603"/>
      <c r="AF148" s="58">
        <f t="shared" si="37"/>
        <v>0</v>
      </c>
      <c r="AG148" s="58">
        <f t="shared" si="43"/>
        <v>0</v>
      </c>
      <c r="AH148" s="58" t="str">
        <f t="shared" si="44"/>
        <v>1253-253</v>
      </c>
    </row>
    <row r="149" spans="1:34" ht="13">
      <c r="A149" s="134"/>
      <c r="B149" s="470"/>
      <c r="C149" s="471"/>
      <c r="D149" s="859">
        <f>VLOOKUP(E149,'1.1a-Jaarprijzen'!B:G,6,FALSE)</f>
        <v>2</v>
      </c>
      <c r="E149" s="845" t="s">
        <v>922</v>
      </c>
      <c r="F149" s="798" t="s">
        <v>469</v>
      </c>
      <c r="G149" s="799" t="s">
        <v>712</v>
      </c>
      <c r="H149" s="573" t="s">
        <v>854</v>
      </c>
      <c r="I149" s="573" t="str">
        <f t="shared" si="31"/>
        <v>niet van toepassing</v>
      </c>
      <c r="J149" s="694" t="s">
        <v>326</v>
      </c>
      <c r="K149" s="800"/>
      <c r="L149" s="800"/>
      <c r="M149" s="867" t="s">
        <v>19</v>
      </c>
      <c r="N149" s="868"/>
      <c r="O149" s="869"/>
      <c r="P149" s="869"/>
      <c r="Q149" s="866">
        <f t="shared" si="38"/>
        <v>0</v>
      </c>
      <c r="R149" s="600">
        <v>1</v>
      </c>
      <c r="S149" s="600">
        <v>1</v>
      </c>
      <c r="T149" s="468">
        <f t="shared" si="39"/>
        <v>0</v>
      </c>
      <c r="U149" s="468">
        <f t="shared" si="40"/>
        <v>0</v>
      </c>
      <c r="V149" s="468">
        <f t="shared" si="41"/>
        <v>0</v>
      </c>
      <c r="W149" s="468">
        <f t="shared" si="42"/>
        <v>0</v>
      </c>
      <c r="X149" s="601">
        <f t="shared" si="32"/>
        <v>0</v>
      </c>
      <c r="Y149" s="601">
        <f t="shared" si="33"/>
        <v>0</v>
      </c>
      <c r="Z149" s="601">
        <f t="shared" si="34"/>
        <v>0</v>
      </c>
      <c r="AA149" s="601">
        <f t="shared" si="35"/>
        <v>0</v>
      </c>
      <c r="AB149" s="602">
        <f t="shared" si="36"/>
        <v>0</v>
      </c>
      <c r="AC149" s="801"/>
      <c r="AD149" s="603">
        <f>(T149+U149+V149)*'1.0-Contractblad'!$K$69</f>
        <v>0</v>
      </c>
      <c r="AE149" s="603"/>
      <c r="AF149" s="58">
        <f t="shared" si="37"/>
        <v>0</v>
      </c>
      <c r="AG149" s="58">
        <f t="shared" si="43"/>
        <v>0</v>
      </c>
      <c r="AH149" s="58" t="str">
        <f t="shared" si="44"/>
        <v>nvt-0</v>
      </c>
    </row>
    <row r="150" spans="1:34" ht="13">
      <c r="A150" s="134"/>
      <c r="B150" s="470"/>
      <c r="C150" s="471"/>
      <c r="D150" s="859">
        <f>VLOOKUP(E150,'1.1a-Jaarprijzen'!B:G,6,FALSE)</f>
        <v>2</v>
      </c>
      <c r="E150" s="845" t="s">
        <v>922</v>
      </c>
      <c r="F150" s="798" t="s">
        <v>469</v>
      </c>
      <c r="G150" s="799" t="s">
        <v>711</v>
      </c>
      <c r="H150" s="573" t="s">
        <v>945</v>
      </c>
      <c r="I150" s="573" t="str">
        <f t="shared" si="31"/>
        <v>niet van toepassing</v>
      </c>
      <c r="J150" s="694" t="s">
        <v>326</v>
      </c>
      <c r="K150" s="800"/>
      <c r="L150" s="800"/>
      <c r="M150" s="867" t="s">
        <v>19</v>
      </c>
      <c r="N150" s="868"/>
      <c r="O150" s="869"/>
      <c r="P150" s="869"/>
      <c r="Q150" s="866">
        <f t="shared" si="38"/>
        <v>0</v>
      </c>
      <c r="R150" s="600">
        <v>1</v>
      </c>
      <c r="S150" s="600">
        <v>1</v>
      </c>
      <c r="T150" s="468">
        <f t="shared" si="39"/>
        <v>0</v>
      </c>
      <c r="U150" s="468">
        <f t="shared" si="40"/>
        <v>0</v>
      </c>
      <c r="V150" s="468">
        <f t="shared" si="41"/>
        <v>0</v>
      </c>
      <c r="W150" s="468">
        <f t="shared" si="42"/>
        <v>0</v>
      </c>
      <c r="X150" s="601">
        <f t="shared" si="32"/>
        <v>0</v>
      </c>
      <c r="Y150" s="601">
        <f t="shared" si="33"/>
        <v>0</v>
      </c>
      <c r="Z150" s="601">
        <f t="shared" si="34"/>
        <v>0</v>
      </c>
      <c r="AA150" s="601">
        <f t="shared" si="35"/>
        <v>0</v>
      </c>
      <c r="AB150" s="602">
        <f t="shared" si="36"/>
        <v>0</v>
      </c>
      <c r="AC150" s="801"/>
      <c r="AD150" s="603">
        <f>(T150+U150+V150)*'1.0-Contractblad'!$K$69</f>
        <v>0</v>
      </c>
      <c r="AE150" s="603"/>
      <c r="AF150" s="58">
        <f t="shared" si="37"/>
        <v>0</v>
      </c>
      <c r="AG150" s="58">
        <f t="shared" si="43"/>
        <v>0</v>
      </c>
      <c r="AH150" s="58" t="str">
        <f t="shared" si="44"/>
        <v>nvt-0</v>
      </c>
    </row>
    <row r="151" spans="1:34" ht="13">
      <c r="A151" s="134"/>
      <c r="B151" s="470"/>
      <c r="C151" s="471"/>
      <c r="D151" s="859">
        <f>VLOOKUP(E151,'1.1a-Jaarprijzen'!B:G,6,FALSE)</f>
        <v>2</v>
      </c>
      <c r="E151" s="845" t="s">
        <v>922</v>
      </c>
      <c r="F151" s="798" t="s">
        <v>469</v>
      </c>
      <c r="G151" s="799">
        <v>0.38</v>
      </c>
      <c r="H151" s="573" t="s">
        <v>854</v>
      </c>
      <c r="I151" s="573" t="str">
        <f t="shared" si="31"/>
        <v>niet van toepassing</v>
      </c>
      <c r="J151" s="694" t="s">
        <v>326</v>
      </c>
      <c r="K151" s="800"/>
      <c r="L151" s="800"/>
      <c r="M151" s="867" t="s">
        <v>19</v>
      </c>
      <c r="N151" s="868"/>
      <c r="O151" s="869"/>
      <c r="P151" s="869"/>
      <c r="Q151" s="866">
        <f t="shared" si="38"/>
        <v>0</v>
      </c>
      <c r="R151" s="600">
        <v>1</v>
      </c>
      <c r="S151" s="600">
        <v>1</v>
      </c>
      <c r="T151" s="468">
        <f t="shared" si="39"/>
        <v>0</v>
      </c>
      <c r="U151" s="468">
        <f t="shared" si="40"/>
        <v>0</v>
      </c>
      <c r="V151" s="468">
        <f t="shared" si="41"/>
        <v>0</v>
      </c>
      <c r="W151" s="468">
        <f t="shared" si="42"/>
        <v>0</v>
      </c>
      <c r="X151" s="601">
        <f t="shared" si="32"/>
        <v>0</v>
      </c>
      <c r="Y151" s="601">
        <f t="shared" si="33"/>
        <v>0</v>
      </c>
      <c r="Z151" s="601">
        <f t="shared" si="34"/>
        <v>0</v>
      </c>
      <c r="AA151" s="601">
        <f t="shared" si="35"/>
        <v>0</v>
      </c>
      <c r="AB151" s="602">
        <f t="shared" si="36"/>
        <v>0</v>
      </c>
      <c r="AC151" s="801"/>
      <c r="AD151" s="603">
        <f>(T151+U151+V151)*'1.0-Contractblad'!$K$69</f>
        <v>0</v>
      </c>
      <c r="AE151" s="603"/>
      <c r="AF151" s="58">
        <f t="shared" si="37"/>
        <v>0</v>
      </c>
      <c r="AG151" s="58">
        <f t="shared" si="43"/>
        <v>0</v>
      </c>
      <c r="AH151" s="58" t="str">
        <f t="shared" si="44"/>
        <v>nvt-0</v>
      </c>
    </row>
    <row r="152" spans="1:34" ht="13">
      <c r="A152" s="134"/>
      <c r="B152" s="470"/>
      <c r="C152" s="471"/>
      <c r="D152" s="859">
        <f>VLOOKUP(E152,'1.1a-Jaarprijzen'!B:G,6,FALSE)</f>
        <v>2</v>
      </c>
      <c r="E152" s="845" t="s">
        <v>834</v>
      </c>
      <c r="F152" s="798" t="s">
        <v>469</v>
      </c>
      <c r="G152" s="799" t="s">
        <v>802</v>
      </c>
      <c r="H152" s="573" t="s">
        <v>803</v>
      </c>
      <c r="I152" s="573" t="str">
        <f t="shared" si="31"/>
        <v>buitenbordes</v>
      </c>
      <c r="J152" s="694" t="s">
        <v>804</v>
      </c>
      <c r="K152" s="800">
        <v>31.7</v>
      </c>
      <c r="L152" s="800"/>
      <c r="M152" s="867">
        <v>16156</v>
      </c>
      <c r="N152" s="868"/>
      <c r="O152" s="869"/>
      <c r="P152" s="869"/>
      <c r="Q152" s="866">
        <f t="shared" si="38"/>
        <v>156</v>
      </c>
      <c r="R152" s="600">
        <v>1</v>
      </c>
      <c r="S152" s="600">
        <v>1</v>
      </c>
      <c r="T152" s="468">
        <f t="shared" si="39"/>
        <v>0</v>
      </c>
      <c r="U152" s="468">
        <f t="shared" si="40"/>
        <v>0</v>
      </c>
      <c r="V152" s="468">
        <f t="shared" si="41"/>
        <v>0</v>
      </c>
      <c r="W152" s="468">
        <f t="shared" si="42"/>
        <v>0</v>
      </c>
      <c r="X152" s="601">
        <f t="shared" si="32"/>
        <v>0</v>
      </c>
      <c r="Y152" s="601">
        <f t="shared" si="33"/>
        <v>0</v>
      </c>
      <c r="Z152" s="601">
        <f t="shared" si="34"/>
        <v>0</v>
      </c>
      <c r="AA152" s="601">
        <f t="shared" si="35"/>
        <v>0</v>
      </c>
      <c r="AB152" s="602" t="str">
        <f t="shared" si="36"/>
        <v>V</v>
      </c>
      <c r="AC152" s="847" t="s">
        <v>1235</v>
      </c>
      <c r="AD152" s="603">
        <f>(T152+U152+V152)*'1.0-Contractblad'!$K$69</f>
        <v>0</v>
      </c>
      <c r="AE152" s="603"/>
      <c r="AF152" s="58">
        <f t="shared" si="37"/>
        <v>0</v>
      </c>
      <c r="AG152" s="58">
        <f t="shared" si="43"/>
        <v>4945.2</v>
      </c>
      <c r="AH152" s="58" t="str">
        <f t="shared" si="44"/>
        <v>16156-156</v>
      </c>
    </row>
    <row r="153" spans="1:34" ht="13">
      <c r="A153" s="134"/>
      <c r="B153" s="470"/>
      <c r="C153" s="471"/>
      <c r="D153" s="859">
        <f>VLOOKUP(E153,'1.1a-Jaarprijzen'!B:G,6,FALSE)</f>
        <v>2</v>
      </c>
      <c r="E153" s="845" t="s">
        <v>834</v>
      </c>
      <c r="F153" s="798" t="s">
        <v>469</v>
      </c>
      <c r="G153" s="799" t="s">
        <v>805</v>
      </c>
      <c r="H153" s="573" t="s">
        <v>670</v>
      </c>
      <c r="I153" s="573" t="str">
        <f t="shared" si="31"/>
        <v>entree, gang, hal, repro, kopieer</v>
      </c>
      <c r="J153" s="694" t="s">
        <v>455</v>
      </c>
      <c r="K153" s="800">
        <v>16.8</v>
      </c>
      <c r="L153" s="800"/>
      <c r="M153" s="867">
        <v>3156</v>
      </c>
      <c r="N153" s="868"/>
      <c r="O153" s="869"/>
      <c r="P153" s="869"/>
      <c r="Q153" s="866">
        <f t="shared" si="38"/>
        <v>156</v>
      </c>
      <c r="R153" s="600">
        <v>1</v>
      </c>
      <c r="S153" s="600">
        <v>1</v>
      </c>
      <c r="T153" s="468">
        <f t="shared" si="39"/>
        <v>0</v>
      </c>
      <c r="U153" s="468">
        <f t="shared" si="40"/>
        <v>0</v>
      </c>
      <c r="V153" s="468">
        <f t="shared" si="41"/>
        <v>0</v>
      </c>
      <c r="W153" s="468">
        <f t="shared" si="42"/>
        <v>0</v>
      </c>
      <c r="X153" s="601">
        <f t="shared" si="32"/>
        <v>0</v>
      </c>
      <c r="Y153" s="601">
        <f t="shared" si="33"/>
        <v>0</v>
      </c>
      <c r="Z153" s="601">
        <f t="shared" si="34"/>
        <v>0</v>
      </c>
      <c r="AA153" s="601">
        <f t="shared" si="35"/>
        <v>0</v>
      </c>
      <c r="AB153" s="602" t="str">
        <f t="shared" si="36"/>
        <v>V</v>
      </c>
      <c r="AC153" s="847" t="s">
        <v>1235</v>
      </c>
      <c r="AD153" s="603">
        <f>(T153+U153+V153)*'1.0-Contractblad'!$K$69</f>
        <v>0</v>
      </c>
      <c r="AE153" s="603"/>
      <c r="AF153" s="58">
        <f t="shared" si="37"/>
        <v>0</v>
      </c>
      <c r="AG153" s="58">
        <f t="shared" si="43"/>
        <v>2620.8000000000002</v>
      </c>
      <c r="AH153" s="58" t="str">
        <f t="shared" si="44"/>
        <v>3156-156</v>
      </c>
    </row>
    <row r="154" spans="1:34" ht="13">
      <c r="A154" s="134"/>
      <c r="B154" s="470"/>
      <c r="C154" s="471"/>
      <c r="D154" s="859">
        <f>VLOOKUP(E154,'1.1a-Jaarprijzen'!B:G,6,FALSE)</f>
        <v>2</v>
      </c>
      <c r="E154" s="845" t="s">
        <v>834</v>
      </c>
      <c r="F154" s="798" t="s">
        <v>469</v>
      </c>
      <c r="G154" s="799" t="s">
        <v>806</v>
      </c>
      <c r="H154" s="573" t="s">
        <v>609</v>
      </c>
      <c r="I154" s="573" t="str">
        <f t="shared" si="31"/>
        <v>entree, gang, hal, repro, kopieer</v>
      </c>
      <c r="J154" s="694" t="s">
        <v>455</v>
      </c>
      <c r="K154" s="800">
        <v>3.7</v>
      </c>
      <c r="L154" s="800"/>
      <c r="M154" s="867">
        <v>3156</v>
      </c>
      <c r="N154" s="868"/>
      <c r="O154" s="869"/>
      <c r="P154" s="869"/>
      <c r="Q154" s="866">
        <f t="shared" si="38"/>
        <v>156</v>
      </c>
      <c r="R154" s="600">
        <v>1</v>
      </c>
      <c r="S154" s="600">
        <v>1</v>
      </c>
      <c r="T154" s="468">
        <f t="shared" si="39"/>
        <v>0</v>
      </c>
      <c r="U154" s="468">
        <f t="shared" si="40"/>
        <v>0</v>
      </c>
      <c r="V154" s="468">
        <f t="shared" si="41"/>
        <v>0</v>
      </c>
      <c r="W154" s="468">
        <f t="shared" si="42"/>
        <v>0</v>
      </c>
      <c r="X154" s="601">
        <f t="shared" si="32"/>
        <v>0</v>
      </c>
      <c r="Y154" s="601">
        <f t="shared" si="33"/>
        <v>0</v>
      </c>
      <c r="Z154" s="601">
        <f t="shared" si="34"/>
        <v>0</v>
      </c>
      <c r="AA154" s="601">
        <f t="shared" si="35"/>
        <v>0</v>
      </c>
      <c r="AB154" s="602" t="str">
        <f t="shared" si="36"/>
        <v>V</v>
      </c>
      <c r="AC154" s="847" t="s">
        <v>1235</v>
      </c>
      <c r="AD154" s="603">
        <f>(T154+U154+V154)*'1.0-Contractblad'!$K$69</f>
        <v>0</v>
      </c>
      <c r="AE154" s="603"/>
      <c r="AF154" s="58">
        <f t="shared" si="37"/>
        <v>0</v>
      </c>
      <c r="AG154" s="58">
        <f t="shared" si="43"/>
        <v>577.20000000000005</v>
      </c>
      <c r="AH154" s="58" t="str">
        <f t="shared" si="44"/>
        <v>3156-156</v>
      </c>
    </row>
    <row r="155" spans="1:34" ht="13">
      <c r="A155" s="134"/>
      <c r="B155" s="470"/>
      <c r="C155" s="471"/>
      <c r="D155" s="859">
        <f>VLOOKUP(E155,'1.1a-Jaarprijzen'!B:G,6,FALSE)</f>
        <v>2</v>
      </c>
      <c r="E155" s="845" t="s">
        <v>834</v>
      </c>
      <c r="F155" s="798" t="s">
        <v>469</v>
      </c>
      <c r="G155" s="799" t="s">
        <v>807</v>
      </c>
      <c r="H155" s="573" t="s">
        <v>808</v>
      </c>
      <c r="I155" s="573" t="str">
        <f t="shared" si="31"/>
        <v>entree, gang, hal, repro, kopieer</v>
      </c>
      <c r="J155" s="694" t="s">
        <v>455</v>
      </c>
      <c r="K155" s="800">
        <v>3.05</v>
      </c>
      <c r="L155" s="800"/>
      <c r="M155" s="867">
        <v>3156</v>
      </c>
      <c r="N155" s="868"/>
      <c r="O155" s="869"/>
      <c r="P155" s="869"/>
      <c r="Q155" s="866">
        <f t="shared" si="38"/>
        <v>156</v>
      </c>
      <c r="R155" s="600">
        <v>1</v>
      </c>
      <c r="S155" s="600">
        <v>1</v>
      </c>
      <c r="T155" s="468">
        <f t="shared" si="39"/>
        <v>0</v>
      </c>
      <c r="U155" s="468">
        <f t="shared" si="40"/>
        <v>0</v>
      </c>
      <c r="V155" s="468">
        <f t="shared" si="41"/>
        <v>0</v>
      </c>
      <c r="W155" s="468">
        <f t="shared" si="42"/>
        <v>0</v>
      </c>
      <c r="X155" s="601">
        <f t="shared" si="32"/>
        <v>0</v>
      </c>
      <c r="Y155" s="601">
        <f t="shared" si="33"/>
        <v>0</v>
      </c>
      <c r="Z155" s="601">
        <f t="shared" si="34"/>
        <v>0</v>
      </c>
      <c r="AA155" s="601">
        <f t="shared" si="35"/>
        <v>0</v>
      </c>
      <c r="AB155" s="602" t="str">
        <f t="shared" si="36"/>
        <v>V</v>
      </c>
      <c r="AC155" s="847" t="s">
        <v>1235</v>
      </c>
      <c r="AD155" s="603">
        <f>(T155+U155+V155)*'1.0-Contractblad'!$K$69</f>
        <v>0</v>
      </c>
      <c r="AE155" s="603"/>
      <c r="AF155" s="58">
        <f t="shared" si="37"/>
        <v>0</v>
      </c>
      <c r="AG155" s="58">
        <f t="shared" si="43"/>
        <v>475.79999999999995</v>
      </c>
      <c r="AH155" s="58" t="str">
        <f t="shared" si="44"/>
        <v>3156-156</v>
      </c>
    </row>
    <row r="156" spans="1:34" ht="13">
      <c r="A156" s="134"/>
      <c r="B156" s="470"/>
      <c r="C156" s="471"/>
      <c r="D156" s="859">
        <f>VLOOKUP(E156,'1.1a-Jaarprijzen'!B:G,6,FALSE)</f>
        <v>2</v>
      </c>
      <c r="E156" s="845" t="s">
        <v>834</v>
      </c>
      <c r="F156" s="798" t="s">
        <v>469</v>
      </c>
      <c r="G156" s="799" t="s">
        <v>809</v>
      </c>
      <c r="H156" s="573" t="s">
        <v>466</v>
      </c>
      <c r="I156" s="573" t="str">
        <f t="shared" si="31"/>
        <v>sanitaire ruimte (toilet-/doucheruimte)</v>
      </c>
      <c r="J156" s="694" t="s">
        <v>462</v>
      </c>
      <c r="K156" s="800">
        <v>1.19</v>
      </c>
      <c r="L156" s="800"/>
      <c r="M156" s="867">
        <v>4156</v>
      </c>
      <c r="N156" s="868"/>
      <c r="O156" s="869"/>
      <c r="P156" s="869"/>
      <c r="Q156" s="866">
        <f t="shared" si="38"/>
        <v>156</v>
      </c>
      <c r="R156" s="600">
        <v>1</v>
      </c>
      <c r="S156" s="600">
        <v>1</v>
      </c>
      <c r="T156" s="468">
        <f t="shared" si="39"/>
        <v>0</v>
      </c>
      <c r="U156" s="468">
        <f t="shared" si="40"/>
        <v>0</v>
      </c>
      <c r="V156" s="468">
        <f t="shared" si="41"/>
        <v>0</v>
      </c>
      <c r="W156" s="468">
        <f t="shared" si="42"/>
        <v>0</v>
      </c>
      <c r="X156" s="601">
        <f t="shared" si="32"/>
        <v>0</v>
      </c>
      <c r="Y156" s="601">
        <f t="shared" si="33"/>
        <v>0</v>
      </c>
      <c r="Z156" s="601">
        <f t="shared" si="34"/>
        <v>0</v>
      </c>
      <c r="AA156" s="601">
        <f t="shared" si="35"/>
        <v>0</v>
      </c>
      <c r="AB156" s="602" t="str">
        <f t="shared" si="36"/>
        <v>S</v>
      </c>
      <c r="AC156" s="847" t="s">
        <v>1235</v>
      </c>
      <c r="AD156" s="603">
        <f>(T156+U156+V156)*'1.0-Contractblad'!$K$69</f>
        <v>0</v>
      </c>
      <c r="AE156" s="603"/>
      <c r="AF156" s="58">
        <f t="shared" si="37"/>
        <v>0</v>
      </c>
      <c r="AG156" s="58">
        <f t="shared" si="43"/>
        <v>185.64</v>
      </c>
      <c r="AH156" s="58" t="str">
        <f t="shared" si="44"/>
        <v>4156-156</v>
      </c>
    </row>
    <row r="157" spans="1:34" ht="13">
      <c r="A157" s="134"/>
      <c r="B157" s="470"/>
      <c r="C157" s="471"/>
      <c r="D157" s="859">
        <f>VLOOKUP(E157,'1.1a-Jaarprijzen'!B:G,6,FALSE)</f>
        <v>2</v>
      </c>
      <c r="E157" s="845" t="s">
        <v>834</v>
      </c>
      <c r="F157" s="798" t="s">
        <v>469</v>
      </c>
      <c r="G157" s="799" t="s">
        <v>810</v>
      </c>
      <c r="H157" s="573" t="s">
        <v>466</v>
      </c>
      <c r="I157" s="573" t="str">
        <f t="shared" si="31"/>
        <v>sanitaire ruimte (toilet-/doucheruimte)</v>
      </c>
      <c r="J157" s="694" t="s">
        <v>462</v>
      </c>
      <c r="K157" s="800">
        <v>1.19</v>
      </c>
      <c r="L157" s="800"/>
      <c r="M157" s="867">
        <v>4156</v>
      </c>
      <c r="N157" s="868"/>
      <c r="O157" s="869"/>
      <c r="P157" s="869"/>
      <c r="Q157" s="866">
        <f t="shared" si="38"/>
        <v>156</v>
      </c>
      <c r="R157" s="600">
        <v>1</v>
      </c>
      <c r="S157" s="600">
        <v>1</v>
      </c>
      <c r="T157" s="468">
        <f t="shared" si="39"/>
        <v>0</v>
      </c>
      <c r="U157" s="468">
        <f t="shared" si="40"/>
        <v>0</v>
      </c>
      <c r="V157" s="468">
        <f t="shared" si="41"/>
        <v>0</v>
      </c>
      <c r="W157" s="468">
        <f t="shared" si="42"/>
        <v>0</v>
      </c>
      <c r="X157" s="601">
        <f t="shared" si="32"/>
        <v>0</v>
      </c>
      <c r="Y157" s="601">
        <f t="shared" si="33"/>
        <v>0</v>
      </c>
      <c r="Z157" s="601">
        <f t="shared" si="34"/>
        <v>0</v>
      </c>
      <c r="AA157" s="601">
        <f t="shared" si="35"/>
        <v>0</v>
      </c>
      <c r="AB157" s="602" t="str">
        <f t="shared" si="36"/>
        <v>S</v>
      </c>
      <c r="AC157" s="847" t="s">
        <v>1235</v>
      </c>
      <c r="AD157" s="603">
        <f>(T157+U157+V157)*'1.0-Contractblad'!$K$69</f>
        <v>0</v>
      </c>
      <c r="AE157" s="603"/>
      <c r="AF157" s="58">
        <f t="shared" si="37"/>
        <v>0</v>
      </c>
      <c r="AG157" s="58">
        <f t="shared" si="43"/>
        <v>185.64</v>
      </c>
      <c r="AH157" s="58" t="str">
        <f t="shared" si="44"/>
        <v>4156-156</v>
      </c>
    </row>
    <row r="158" spans="1:34" ht="13">
      <c r="A158" s="134"/>
      <c r="B158" s="470"/>
      <c r="C158" s="471"/>
      <c r="D158" s="859">
        <f>VLOOKUP(E158,'1.1a-Jaarprijzen'!B:G,6,FALSE)</f>
        <v>2</v>
      </c>
      <c r="E158" s="845" t="s">
        <v>834</v>
      </c>
      <c r="F158" s="798" t="s">
        <v>469</v>
      </c>
      <c r="G158" s="799" t="s">
        <v>811</v>
      </c>
      <c r="H158" s="573" t="s">
        <v>812</v>
      </c>
      <c r="I158" s="573" t="str">
        <f t="shared" si="31"/>
        <v>administratieve -, personeels- en vergaderruimte</v>
      </c>
      <c r="J158" s="694" t="s">
        <v>455</v>
      </c>
      <c r="K158" s="800">
        <v>25.75</v>
      </c>
      <c r="L158" s="800"/>
      <c r="M158" s="867">
        <v>1156</v>
      </c>
      <c r="N158" s="868"/>
      <c r="O158" s="869"/>
      <c r="P158" s="869"/>
      <c r="Q158" s="866">
        <f t="shared" si="38"/>
        <v>156</v>
      </c>
      <c r="R158" s="600">
        <v>1</v>
      </c>
      <c r="S158" s="600">
        <v>1</v>
      </c>
      <c r="T158" s="468">
        <f t="shared" si="39"/>
        <v>0</v>
      </c>
      <c r="U158" s="468">
        <f t="shared" si="40"/>
        <v>0</v>
      </c>
      <c r="V158" s="468">
        <f t="shared" si="41"/>
        <v>0</v>
      </c>
      <c r="W158" s="468">
        <f t="shared" si="42"/>
        <v>0</v>
      </c>
      <c r="X158" s="601">
        <f t="shared" si="32"/>
        <v>0</v>
      </c>
      <c r="Y158" s="601">
        <f t="shared" si="33"/>
        <v>0</v>
      </c>
      <c r="Z158" s="601">
        <f t="shared" si="34"/>
        <v>0</v>
      </c>
      <c r="AA158" s="601">
        <f t="shared" si="35"/>
        <v>0</v>
      </c>
      <c r="AB158" s="602" t="str">
        <f t="shared" si="36"/>
        <v>B</v>
      </c>
      <c r="AC158" s="847" t="s">
        <v>1235</v>
      </c>
      <c r="AD158" s="603">
        <f>(T158+U158+V158)*'1.0-Contractblad'!$K$69</f>
        <v>0</v>
      </c>
      <c r="AE158" s="603"/>
      <c r="AF158" s="58">
        <f t="shared" si="37"/>
        <v>0</v>
      </c>
      <c r="AG158" s="58">
        <f t="shared" si="43"/>
        <v>4017</v>
      </c>
      <c r="AH158" s="58" t="str">
        <f t="shared" si="44"/>
        <v>1156-156</v>
      </c>
    </row>
    <row r="159" spans="1:34" ht="13">
      <c r="A159" s="134"/>
      <c r="B159" s="470"/>
      <c r="C159" s="471"/>
      <c r="D159" s="859">
        <f>VLOOKUP(E159,'1.1a-Jaarprijzen'!B:G,6,FALSE)</f>
        <v>2</v>
      </c>
      <c r="E159" s="845" t="s">
        <v>834</v>
      </c>
      <c r="F159" s="798" t="s">
        <v>469</v>
      </c>
      <c r="G159" s="799" t="s">
        <v>813</v>
      </c>
      <c r="H159" s="573" t="s">
        <v>814</v>
      </c>
      <c r="I159" s="573" t="str">
        <f t="shared" si="31"/>
        <v>entree, gang, hal, repro, kopieer</v>
      </c>
      <c r="J159" s="694" t="s">
        <v>804</v>
      </c>
      <c r="K159" s="800">
        <v>2.5</v>
      </c>
      <c r="L159" s="800"/>
      <c r="M159" s="867">
        <v>3156</v>
      </c>
      <c r="N159" s="868"/>
      <c r="O159" s="869"/>
      <c r="P159" s="869"/>
      <c r="Q159" s="866">
        <f t="shared" si="38"/>
        <v>156</v>
      </c>
      <c r="R159" s="600">
        <v>1</v>
      </c>
      <c r="S159" s="600">
        <v>1</v>
      </c>
      <c r="T159" s="468">
        <f t="shared" si="39"/>
        <v>0</v>
      </c>
      <c r="U159" s="468">
        <f t="shared" si="40"/>
        <v>0</v>
      </c>
      <c r="V159" s="468">
        <f t="shared" si="41"/>
        <v>0</v>
      </c>
      <c r="W159" s="468">
        <f t="shared" si="42"/>
        <v>0</v>
      </c>
      <c r="X159" s="601">
        <f t="shared" si="32"/>
        <v>0</v>
      </c>
      <c r="Y159" s="601">
        <f t="shared" si="33"/>
        <v>0</v>
      </c>
      <c r="Z159" s="601">
        <f t="shared" si="34"/>
        <v>0</v>
      </c>
      <c r="AA159" s="601">
        <f t="shared" si="35"/>
        <v>0</v>
      </c>
      <c r="AB159" s="602" t="str">
        <f t="shared" si="36"/>
        <v>V</v>
      </c>
      <c r="AC159" s="847" t="s">
        <v>1235</v>
      </c>
      <c r="AD159" s="603">
        <f>(T159+U159+V159)*'1.0-Contractblad'!$K$69</f>
        <v>0</v>
      </c>
      <c r="AE159" s="603"/>
      <c r="AF159" s="58">
        <f t="shared" si="37"/>
        <v>0</v>
      </c>
      <c r="AG159" s="58">
        <f t="shared" si="43"/>
        <v>390</v>
      </c>
      <c r="AH159" s="58" t="str">
        <f t="shared" si="44"/>
        <v>3156-156</v>
      </c>
    </row>
    <row r="160" spans="1:34" ht="13">
      <c r="A160" s="134"/>
      <c r="B160" s="470"/>
      <c r="C160" s="471"/>
      <c r="D160" s="859">
        <f>VLOOKUP(E160,'1.1a-Jaarprijzen'!B:G,6,FALSE)</f>
        <v>2</v>
      </c>
      <c r="E160" s="845" t="s">
        <v>834</v>
      </c>
      <c r="F160" s="798" t="s">
        <v>469</v>
      </c>
      <c r="G160" s="799" t="s">
        <v>815</v>
      </c>
      <c r="H160" s="573" t="s">
        <v>489</v>
      </c>
      <c r="I160" s="573" t="str">
        <f t="shared" si="31"/>
        <v>niet van toepassing</v>
      </c>
      <c r="J160" s="694" t="s">
        <v>816</v>
      </c>
      <c r="K160" s="800"/>
      <c r="L160" s="800">
        <v>134.76</v>
      </c>
      <c r="M160" s="867" t="s">
        <v>19</v>
      </c>
      <c r="N160" s="868"/>
      <c r="O160" s="869"/>
      <c r="P160" s="869"/>
      <c r="Q160" s="866">
        <f t="shared" si="38"/>
        <v>0</v>
      </c>
      <c r="R160" s="600">
        <v>1</v>
      </c>
      <c r="S160" s="600">
        <v>1</v>
      </c>
      <c r="T160" s="468">
        <f t="shared" si="39"/>
        <v>0</v>
      </c>
      <c r="U160" s="468">
        <f t="shared" si="40"/>
        <v>0</v>
      </c>
      <c r="V160" s="468">
        <f t="shared" si="41"/>
        <v>0</v>
      </c>
      <c r="W160" s="468">
        <f t="shared" si="42"/>
        <v>0</v>
      </c>
      <c r="X160" s="601">
        <f t="shared" si="32"/>
        <v>0</v>
      </c>
      <c r="Y160" s="601">
        <f t="shared" si="33"/>
        <v>0</v>
      </c>
      <c r="Z160" s="601">
        <f t="shared" si="34"/>
        <v>0</v>
      </c>
      <c r="AA160" s="601">
        <f t="shared" si="35"/>
        <v>0</v>
      </c>
      <c r="AB160" s="602">
        <f t="shared" si="36"/>
        <v>0</v>
      </c>
      <c r="AC160" s="847"/>
      <c r="AD160" s="603">
        <f>(T160+U160+V160)*'1.0-Contractblad'!$K$69</f>
        <v>0</v>
      </c>
      <c r="AE160" s="603"/>
      <c r="AF160" s="58">
        <f t="shared" si="37"/>
        <v>0</v>
      </c>
      <c r="AG160" s="58">
        <f t="shared" si="43"/>
        <v>0</v>
      </c>
      <c r="AH160" s="58" t="str">
        <f t="shared" si="44"/>
        <v>nvt-0</v>
      </c>
    </row>
    <row r="161" spans="1:34" ht="13">
      <c r="A161" s="134"/>
      <c r="B161" s="470"/>
      <c r="C161" s="471"/>
      <c r="D161" s="859">
        <f>VLOOKUP(E161,'1.1a-Jaarprijzen'!B:G,6,FALSE)</f>
        <v>2</v>
      </c>
      <c r="E161" s="845" t="s">
        <v>834</v>
      </c>
      <c r="F161" s="798" t="s">
        <v>469</v>
      </c>
      <c r="G161" s="799" t="s">
        <v>817</v>
      </c>
      <c r="H161" s="573" t="s">
        <v>818</v>
      </c>
      <c r="I161" s="573" t="str">
        <f t="shared" si="31"/>
        <v>kleedruimten</v>
      </c>
      <c r="J161" s="694" t="s">
        <v>462</v>
      </c>
      <c r="K161" s="800">
        <v>41.68</v>
      </c>
      <c r="L161" s="800"/>
      <c r="M161" s="867">
        <v>10156</v>
      </c>
      <c r="N161" s="868"/>
      <c r="O161" s="869"/>
      <c r="P161" s="869"/>
      <c r="Q161" s="866">
        <f t="shared" si="38"/>
        <v>156</v>
      </c>
      <c r="R161" s="600">
        <v>1</v>
      </c>
      <c r="S161" s="600">
        <v>1</v>
      </c>
      <c r="T161" s="468">
        <f t="shared" si="39"/>
        <v>0</v>
      </c>
      <c r="U161" s="468">
        <f t="shared" si="40"/>
        <v>0</v>
      </c>
      <c r="V161" s="468">
        <f t="shared" si="41"/>
        <v>0</v>
      </c>
      <c r="W161" s="468">
        <f t="shared" si="42"/>
        <v>0</v>
      </c>
      <c r="X161" s="601">
        <f t="shared" si="32"/>
        <v>0</v>
      </c>
      <c r="Y161" s="601">
        <f t="shared" si="33"/>
        <v>0</v>
      </c>
      <c r="Z161" s="601">
        <f t="shared" si="34"/>
        <v>0</v>
      </c>
      <c r="AA161" s="601">
        <f t="shared" si="35"/>
        <v>0</v>
      </c>
      <c r="AB161" s="602" t="str">
        <f t="shared" si="36"/>
        <v>V</v>
      </c>
      <c r="AC161" s="847" t="s">
        <v>1235</v>
      </c>
      <c r="AD161" s="603">
        <f>(T161+U161+V161)*'1.0-Contractblad'!$K$69</f>
        <v>0</v>
      </c>
      <c r="AE161" s="603"/>
      <c r="AF161" s="58">
        <f t="shared" si="37"/>
        <v>0</v>
      </c>
      <c r="AG161" s="58">
        <f t="shared" si="43"/>
        <v>6502.08</v>
      </c>
      <c r="AH161" s="58" t="str">
        <f t="shared" si="44"/>
        <v>10156-156</v>
      </c>
    </row>
    <row r="162" spans="1:34" ht="13">
      <c r="A162" s="134"/>
      <c r="B162" s="470"/>
      <c r="C162" s="471"/>
      <c r="D162" s="859">
        <f>VLOOKUP(E162,'1.1a-Jaarprijzen'!B:G,6,FALSE)</f>
        <v>2</v>
      </c>
      <c r="E162" s="845" t="s">
        <v>834</v>
      </c>
      <c r="F162" s="798" t="s">
        <v>469</v>
      </c>
      <c r="G162" s="799" t="s">
        <v>819</v>
      </c>
      <c r="H162" s="573" t="s">
        <v>466</v>
      </c>
      <c r="I162" s="573" t="str">
        <f t="shared" si="31"/>
        <v>sanitaire ruimte (toilet-/doucheruimte)</v>
      </c>
      <c r="J162" s="694" t="s">
        <v>462</v>
      </c>
      <c r="K162" s="800">
        <v>1.21</v>
      </c>
      <c r="L162" s="800"/>
      <c r="M162" s="867">
        <v>4156</v>
      </c>
      <c r="N162" s="868"/>
      <c r="O162" s="869"/>
      <c r="P162" s="869"/>
      <c r="Q162" s="866">
        <f t="shared" si="38"/>
        <v>156</v>
      </c>
      <c r="R162" s="600">
        <v>1</v>
      </c>
      <c r="S162" s="600">
        <v>1</v>
      </c>
      <c r="T162" s="468">
        <f t="shared" si="39"/>
        <v>0</v>
      </c>
      <c r="U162" s="468">
        <f t="shared" si="40"/>
        <v>0</v>
      </c>
      <c r="V162" s="468">
        <f t="shared" si="41"/>
        <v>0</v>
      </c>
      <c r="W162" s="468">
        <f t="shared" si="42"/>
        <v>0</v>
      </c>
      <c r="X162" s="601">
        <f t="shared" si="32"/>
        <v>0</v>
      </c>
      <c r="Y162" s="601">
        <f t="shared" si="33"/>
        <v>0</v>
      </c>
      <c r="Z162" s="601">
        <f t="shared" si="34"/>
        <v>0</v>
      </c>
      <c r="AA162" s="601">
        <f t="shared" si="35"/>
        <v>0</v>
      </c>
      <c r="AB162" s="602" t="str">
        <f t="shared" si="36"/>
        <v>S</v>
      </c>
      <c r="AC162" s="847" t="s">
        <v>1235</v>
      </c>
      <c r="AD162" s="603">
        <f>(T162+U162+V162)*'1.0-Contractblad'!$K$69</f>
        <v>0</v>
      </c>
      <c r="AE162" s="603"/>
      <c r="AF162" s="58">
        <f t="shared" si="37"/>
        <v>0</v>
      </c>
      <c r="AG162" s="58">
        <f t="shared" si="43"/>
        <v>188.76</v>
      </c>
      <c r="AH162" s="58" t="str">
        <f t="shared" si="44"/>
        <v>4156-156</v>
      </c>
    </row>
    <row r="163" spans="1:34" ht="13">
      <c r="A163" s="134"/>
      <c r="B163" s="470"/>
      <c r="C163" s="471"/>
      <c r="D163" s="859">
        <f>VLOOKUP(E163,'1.1a-Jaarprijzen'!B:G,6,FALSE)</f>
        <v>2</v>
      </c>
      <c r="E163" s="845" t="s">
        <v>834</v>
      </c>
      <c r="F163" s="798" t="s">
        <v>469</v>
      </c>
      <c r="G163" s="799" t="s">
        <v>820</v>
      </c>
      <c r="H163" s="573" t="s">
        <v>493</v>
      </c>
      <c r="I163" s="573" t="str">
        <f t="shared" si="31"/>
        <v>sanitaire ruimte (toilet-/doucheruimte)</v>
      </c>
      <c r="J163" s="694" t="s">
        <v>462</v>
      </c>
      <c r="K163" s="800">
        <v>2.4</v>
      </c>
      <c r="L163" s="800"/>
      <c r="M163" s="867">
        <v>4156</v>
      </c>
      <c r="N163" s="868"/>
      <c r="O163" s="869"/>
      <c r="P163" s="869"/>
      <c r="Q163" s="866">
        <f t="shared" si="38"/>
        <v>156</v>
      </c>
      <c r="R163" s="600">
        <v>1</v>
      </c>
      <c r="S163" s="600">
        <v>1</v>
      </c>
      <c r="T163" s="468">
        <f t="shared" si="39"/>
        <v>0</v>
      </c>
      <c r="U163" s="468">
        <f t="shared" si="40"/>
        <v>0</v>
      </c>
      <c r="V163" s="468">
        <f t="shared" si="41"/>
        <v>0</v>
      </c>
      <c r="W163" s="468">
        <f t="shared" si="42"/>
        <v>0</v>
      </c>
      <c r="X163" s="601">
        <f t="shared" si="32"/>
        <v>0</v>
      </c>
      <c r="Y163" s="601">
        <f t="shared" si="33"/>
        <v>0</v>
      </c>
      <c r="Z163" s="601">
        <f t="shared" si="34"/>
        <v>0</v>
      </c>
      <c r="AA163" s="601">
        <f t="shared" si="35"/>
        <v>0</v>
      </c>
      <c r="AB163" s="602" t="str">
        <f t="shared" si="36"/>
        <v>S</v>
      </c>
      <c r="AC163" s="847" t="s">
        <v>1235</v>
      </c>
      <c r="AD163" s="603">
        <f>(T163+U163+V163)*'1.0-Contractblad'!$K$69</f>
        <v>0</v>
      </c>
      <c r="AE163" s="603"/>
      <c r="AF163" s="58">
        <f t="shared" si="37"/>
        <v>0</v>
      </c>
      <c r="AG163" s="58">
        <f t="shared" si="43"/>
        <v>374.4</v>
      </c>
      <c r="AH163" s="58" t="str">
        <f t="shared" si="44"/>
        <v>4156-156</v>
      </c>
    </row>
    <row r="164" spans="1:34" ht="13">
      <c r="A164" s="134"/>
      <c r="B164" s="470"/>
      <c r="C164" s="471"/>
      <c r="D164" s="859">
        <f>VLOOKUP(E164,'1.1a-Jaarprijzen'!B:G,6,FALSE)</f>
        <v>2</v>
      </c>
      <c r="E164" s="845" t="s">
        <v>834</v>
      </c>
      <c r="F164" s="798" t="s">
        <v>469</v>
      </c>
      <c r="G164" s="799" t="s">
        <v>821</v>
      </c>
      <c r="H164" s="573" t="s">
        <v>493</v>
      </c>
      <c r="I164" s="573" t="str">
        <f t="shared" si="31"/>
        <v>sanitaire ruimte (toilet-/doucheruimte)</v>
      </c>
      <c r="J164" s="694" t="s">
        <v>462</v>
      </c>
      <c r="K164" s="800">
        <v>2.4</v>
      </c>
      <c r="L164" s="800"/>
      <c r="M164" s="867">
        <v>4156</v>
      </c>
      <c r="N164" s="868"/>
      <c r="O164" s="869"/>
      <c r="P164" s="869"/>
      <c r="Q164" s="866">
        <f t="shared" si="38"/>
        <v>156</v>
      </c>
      <c r="R164" s="600">
        <v>1</v>
      </c>
      <c r="S164" s="600">
        <v>1</v>
      </c>
      <c r="T164" s="468">
        <f t="shared" si="39"/>
        <v>0</v>
      </c>
      <c r="U164" s="468">
        <f t="shared" si="40"/>
        <v>0</v>
      </c>
      <c r="V164" s="468">
        <f t="shared" si="41"/>
        <v>0</v>
      </c>
      <c r="W164" s="468">
        <f t="shared" si="42"/>
        <v>0</v>
      </c>
      <c r="X164" s="601">
        <f t="shared" si="32"/>
        <v>0</v>
      </c>
      <c r="Y164" s="601">
        <f t="shared" si="33"/>
        <v>0</v>
      </c>
      <c r="Z164" s="601">
        <f t="shared" si="34"/>
        <v>0</v>
      </c>
      <c r="AA164" s="601">
        <f t="shared" si="35"/>
        <v>0</v>
      </c>
      <c r="AB164" s="602" t="str">
        <f t="shared" si="36"/>
        <v>S</v>
      </c>
      <c r="AC164" s="847" t="s">
        <v>1235</v>
      </c>
      <c r="AD164" s="603">
        <f>(T164+U164+V164)*'1.0-Contractblad'!$K$69</f>
        <v>0</v>
      </c>
      <c r="AE164" s="603"/>
      <c r="AF164" s="58">
        <f t="shared" si="37"/>
        <v>0</v>
      </c>
      <c r="AG164" s="58">
        <f t="shared" si="43"/>
        <v>374.4</v>
      </c>
      <c r="AH164" s="58" t="str">
        <f t="shared" si="44"/>
        <v>4156-156</v>
      </c>
    </row>
    <row r="165" spans="1:34" ht="13">
      <c r="A165" s="134"/>
      <c r="B165" s="470"/>
      <c r="C165" s="471"/>
      <c r="D165" s="859">
        <f>VLOOKUP(E165,'1.1a-Jaarprijzen'!B:G,6,FALSE)</f>
        <v>2</v>
      </c>
      <c r="E165" s="845" t="s">
        <v>834</v>
      </c>
      <c r="F165" s="798" t="s">
        <v>469</v>
      </c>
      <c r="G165" s="799" t="s">
        <v>822</v>
      </c>
      <c r="H165" s="573" t="s">
        <v>493</v>
      </c>
      <c r="I165" s="573" t="str">
        <f t="shared" si="31"/>
        <v>sanitaire ruimte (toilet-/doucheruimte)</v>
      </c>
      <c r="J165" s="694" t="s">
        <v>462</v>
      </c>
      <c r="K165" s="800">
        <v>2.4</v>
      </c>
      <c r="L165" s="800"/>
      <c r="M165" s="867">
        <v>4156</v>
      </c>
      <c r="N165" s="868"/>
      <c r="O165" s="869"/>
      <c r="P165" s="869"/>
      <c r="Q165" s="866">
        <f t="shared" si="38"/>
        <v>156</v>
      </c>
      <c r="R165" s="600">
        <v>1</v>
      </c>
      <c r="S165" s="600">
        <v>1</v>
      </c>
      <c r="T165" s="468">
        <f t="shared" si="39"/>
        <v>0</v>
      </c>
      <c r="U165" s="468">
        <f t="shared" si="40"/>
        <v>0</v>
      </c>
      <c r="V165" s="468">
        <f t="shared" si="41"/>
        <v>0</v>
      </c>
      <c r="W165" s="468">
        <f t="shared" si="42"/>
        <v>0</v>
      </c>
      <c r="X165" s="601">
        <f t="shared" si="32"/>
        <v>0</v>
      </c>
      <c r="Y165" s="601">
        <f t="shared" si="33"/>
        <v>0</v>
      </c>
      <c r="Z165" s="601">
        <f t="shared" si="34"/>
        <v>0</v>
      </c>
      <c r="AA165" s="601">
        <f t="shared" si="35"/>
        <v>0</v>
      </c>
      <c r="AB165" s="602" t="str">
        <f t="shared" si="36"/>
        <v>S</v>
      </c>
      <c r="AC165" s="847" t="s">
        <v>1235</v>
      </c>
      <c r="AD165" s="603">
        <f>(T165+U165+V165)*'1.0-Contractblad'!$K$69</f>
        <v>0</v>
      </c>
      <c r="AE165" s="603"/>
      <c r="AF165" s="58">
        <f t="shared" si="37"/>
        <v>0</v>
      </c>
      <c r="AG165" s="58">
        <f t="shared" si="43"/>
        <v>374.4</v>
      </c>
      <c r="AH165" s="58" t="str">
        <f t="shared" si="44"/>
        <v>4156-156</v>
      </c>
    </row>
    <row r="166" spans="1:34" ht="13">
      <c r="A166" s="134"/>
      <c r="B166" s="470"/>
      <c r="C166" s="471"/>
      <c r="D166" s="859">
        <f>VLOOKUP(E166,'1.1a-Jaarprijzen'!B:G,6,FALSE)</f>
        <v>2</v>
      </c>
      <c r="E166" s="845" t="s">
        <v>834</v>
      </c>
      <c r="F166" s="798" t="s">
        <v>469</v>
      </c>
      <c r="G166" s="799" t="s">
        <v>823</v>
      </c>
      <c r="H166" s="573" t="s">
        <v>495</v>
      </c>
      <c r="I166" s="573" t="str">
        <f t="shared" si="31"/>
        <v>sanitaire ruimte (toilet-/doucheruimte)</v>
      </c>
      <c r="J166" s="694" t="s">
        <v>462</v>
      </c>
      <c r="K166" s="800">
        <v>1.2</v>
      </c>
      <c r="L166" s="800"/>
      <c r="M166" s="867">
        <v>4156</v>
      </c>
      <c r="N166" s="868"/>
      <c r="O166" s="869"/>
      <c r="P166" s="869"/>
      <c r="Q166" s="866">
        <f t="shared" si="38"/>
        <v>156</v>
      </c>
      <c r="R166" s="600">
        <v>1</v>
      </c>
      <c r="S166" s="600">
        <v>1</v>
      </c>
      <c r="T166" s="468">
        <f t="shared" si="39"/>
        <v>0</v>
      </c>
      <c r="U166" s="468">
        <f t="shared" si="40"/>
        <v>0</v>
      </c>
      <c r="V166" s="468">
        <f t="shared" si="41"/>
        <v>0</v>
      </c>
      <c r="W166" s="468">
        <f t="shared" si="42"/>
        <v>0</v>
      </c>
      <c r="X166" s="601">
        <f t="shared" si="32"/>
        <v>0</v>
      </c>
      <c r="Y166" s="601">
        <f t="shared" si="33"/>
        <v>0</v>
      </c>
      <c r="Z166" s="601">
        <f t="shared" si="34"/>
        <v>0</v>
      </c>
      <c r="AA166" s="601">
        <f t="shared" si="35"/>
        <v>0</v>
      </c>
      <c r="AB166" s="602" t="str">
        <f t="shared" si="36"/>
        <v>S</v>
      </c>
      <c r="AC166" s="847" t="s">
        <v>1235</v>
      </c>
      <c r="AD166" s="603">
        <f>(T166+U166+V166)*'1.0-Contractblad'!$K$69</f>
        <v>0</v>
      </c>
      <c r="AE166" s="603"/>
      <c r="AF166" s="58">
        <f t="shared" si="37"/>
        <v>0</v>
      </c>
      <c r="AG166" s="58">
        <f t="shared" si="43"/>
        <v>187.2</v>
      </c>
      <c r="AH166" s="58" t="str">
        <f t="shared" si="44"/>
        <v>4156-156</v>
      </c>
    </row>
    <row r="167" spans="1:34" ht="13">
      <c r="A167" s="134"/>
      <c r="B167" s="470"/>
      <c r="C167" s="471"/>
      <c r="D167" s="859">
        <f>VLOOKUP(E167,'1.1a-Jaarprijzen'!B:G,6,FALSE)</f>
        <v>2</v>
      </c>
      <c r="E167" s="845" t="s">
        <v>834</v>
      </c>
      <c r="F167" s="798" t="s">
        <v>469</v>
      </c>
      <c r="G167" s="799" t="s">
        <v>824</v>
      </c>
      <c r="H167" s="573" t="s">
        <v>493</v>
      </c>
      <c r="I167" s="573" t="str">
        <f t="shared" si="31"/>
        <v>sanitaire ruimte (toilet-/doucheruimte)</v>
      </c>
      <c r="J167" s="694" t="s">
        <v>462</v>
      </c>
      <c r="K167" s="800">
        <v>2.4300000000000002</v>
      </c>
      <c r="L167" s="800"/>
      <c r="M167" s="867">
        <v>4156</v>
      </c>
      <c r="N167" s="868"/>
      <c r="O167" s="869"/>
      <c r="P167" s="869"/>
      <c r="Q167" s="866">
        <f t="shared" si="38"/>
        <v>156</v>
      </c>
      <c r="R167" s="600">
        <v>1</v>
      </c>
      <c r="S167" s="600">
        <v>1</v>
      </c>
      <c r="T167" s="468">
        <f t="shared" si="39"/>
        <v>0</v>
      </c>
      <c r="U167" s="468">
        <f t="shared" si="40"/>
        <v>0</v>
      </c>
      <c r="V167" s="468">
        <f t="shared" si="41"/>
        <v>0</v>
      </c>
      <c r="W167" s="468">
        <f t="shared" si="42"/>
        <v>0</v>
      </c>
      <c r="X167" s="601">
        <f t="shared" si="32"/>
        <v>0</v>
      </c>
      <c r="Y167" s="601">
        <f t="shared" si="33"/>
        <v>0</v>
      </c>
      <c r="Z167" s="601">
        <f t="shared" si="34"/>
        <v>0</v>
      </c>
      <c r="AA167" s="601">
        <f t="shared" si="35"/>
        <v>0</v>
      </c>
      <c r="AB167" s="602" t="str">
        <f t="shared" si="36"/>
        <v>S</v>
      </c>
      <c r="AC167" s="847" t="s">
        <v>1235</v>
      </c>
      <c r="AD167" s="603">
        <f>(T167+U167+V167)*'1.0-Contractblad'!$K$69</f>
        <v>0</v>
      </c>
      <c r="AE167" s="603"/>
      <c r="AF167" s="58">
        <f t="shared" si="37"/>
        <v>0</v>
      </c>
      <c r="AG167" s="58">
        <f t="shared" si="43"/>
        <v>379.08000000000004</v>
      </c>
      <c r="AH167" s="58" t="str">
        <f t="shared" si="44"/>
        <v>4156-156</v>
      </c>
    </row>
    <row r="168" spans="1:34" ht="13">
      <c r="A168" s="134"/>
      <c r="B168" s="470"/>
      <c r="C168" s="471"/>
      <c r="D168" s="859">
        <f>VLOOKUP(E168,'1.1a-Jaarprijzen'!B:G,6,FALSE)</f>
        <v>2</v>
      </c>
      <c r="E168" s="845" t="s">
        <v>834</v>
      </c>
      <c r="F168" s="798" t="s">
        <v>469</v>
      </c>
      <c r="G168" s="799" t="s">
        <v>825</v>
      </c>
      <c r="H168" s="573" t="s">
        <v>604</v>
      </c>
      <c r="I168" s="573" t="str">
        <f t="shared" ref="I168:I233" si="45">IF($M168="",0,VLOOKUP($M168,Kengetal,4,FALSE))</f>
        <v>niet van toepassing</v>
      </c>
      <c r="J168" s="694" t="s">
        <v>455</v>
      </c>
      <c r="K168" s="800"/>
      <c r="L168" s="800">
        <v>17.760000000000002</v>
      </c>
      <c r="M168" s="867" t="s">
        <v>19</v>
      </c>
      <c r="N168" s="868"/>
      <c r="O168" s="869"/>
      <c r="P168" s="869"/>
      <c r="Q168" s="866">
        <f t="shared" si="38"/>
        <v>0</v>
      </c>
      <c r="R168" s="600">
        <v>1</v>
      </c>
      <c r="S168" s="600">
        <v>1</v>
      </c>
      <c r="T168" s="468">
        <f t="shared" si="39"/>
        <v>0</v>
      </c>
      <c r="U168" s="468">
        <f t="shared" si="40"/>
        <v>0</v>
      </c>
      <c r="V168" s="468">
        <f t="shared" si="41"/>
        <v>0</v>
      </c>
      <c r="W168" s="468">
        <f t="shared" si="42"/>
        <v>0</v>
      </c>
      <c r="X168" s="601">
        <f t="shared" ref="X168:X224" si="46">IF($M168=0,0,VLOOKUP($M168,Kengetal,6,FALSE))</f>
        <v>0</v>
      </c>
      <c r="Y168" s="601">
        <f t="shared" ref="Y168:Y224" si="47">IF($M168=0,0,VLOOKUP($M168,Kengetal,8,FALSE))</f>
        <v>0</v>
      </c>
      <c r="Z168" s="601">
        <f t="shared" ref="Z168:Z224" si="48">IF($N168=0,0,VLOOKUP($N168,Kengetal,6,FALSE))</f>
        <v>0</v>
      </c>
      <c r="AA168" s="601">
        <f t="shared" ref="AA168:AA224" si="49">IF($O168=0,0,VLOOKUP($O168,Kengetal,6,FALSE))</f>
        <v>0</v>
      </c>
      <c r="AB168" s="602">
        <f t="shared" ref="AB168:AB224" si="50">IF(M168="","",VLOOKUP(M168,Kengetal,15,FALSE))</f>
        <v>0</v>
      </c>
      <c r="AC168" s="847"/>
      <c r="AD168" s="603">
        <f>(T168+U168+V168)*'1.0-Contractblad'!$K$69</f>
        <v>0</v>
      </c>
      <c r="AE168" s="603"/>
      <c r="AF168" s="58">
        <f t="shared" ref="AF168:AF224" si="51">IF(M168=8255,T168+U168,0)</f>
        <v>0</v>
      </c>
      <c r="AG168" s="58">
        <f t="shared" si="43"/>
        <v>0</v>
      </c>
      <c r="AH168" s="58" t="str">
        <f t="shared" si="44"/>
        <v>nvt-0</v>
      </c>
    </row>
    <row r="169" spans="1:34" ht="13">
      <c r="A169" s="134"/>
      <c r="B169" s="470"/>
      <c r="C169" s="471"/>
      <c r="D169" s="859">
        <f>VLOOKUP(E169,'1.1a-Jaarprijzen'!B:G,6,FALSE)</f>
        <v>2</v>
      </c>
      <c r="E169" s="845" t="s">
        <v>834</v>
      </c>
      <c r="F169" s="798" t="s">
        <v>469</v>
      </c>
      <c r="G169" s="799" t="s">
        <v>826</v>
      </c>
      <c r="H169" s="573" t="s">
        <v>827</v>
      </c>
      <c r="I169" s="573" t="str">
        <f t="shared" si="45"/>
        <v>administratieve -, personeels- en vergaderruimte</v>
      </c>
      <c r="J169" s="694" t="s">
        <v>455</v>
      </c>
      <c r="K169" s="800">
        <v>83.2</v>
      </c>
      <c r="L169" s="800"/>
      <c r="M169" s="867">
        <v>1156</v>
      </c>
      <c r="N169" s="868"/>
      <c r="O169" s="869"/>
      <c r="P169" s="869"/>
      <c r="Q169" s="866">
        <f t="shared" ref="Q169:Q225" si="52">VLOOKUP(M169,Kengetal,3,FALSE)+VLOOKUP(N169,Kengetal,3,FALSE)+VLOOKUP(O169,Kengetal,3,FALSE)</f>
        <v>156</v>
      </c>
      <c r="R169" s="600">
        <v>1</v>
      </c>
      <c r="S169" s="600">
        <v>1</v>
      </c>
      <c r="T169" s="468">
        <f t="shared" ref="T169:T225" si="53">X169*K169*R169</f>
        <v>0</v>
      </c>
      <c r="U169" s="468">
        <f t="shared" ref="U169:U225" si="54">Y169*K169*S169</f>
        <v>0</v>
      </c>
      <c r="V169" s="468">
        <f t="shared" ref="V169:V225" si="55">Z169*K169*R169</f>
        <v>0</v>
      </c>
      <c r="W169" s="468">
        <f t="shared" ref="W169:W225" si="56">AA169*K169*U169</f>
        <v>0</v>
      </c>
      <c r="X169" s="601">
        <f t="shared" si="46"/>
        <v>0</v>
      </c>
      <c r="Y169" s="601">
        <f t="shared" si="47"/>
        <v>0</v>
      </c>
      <c r="Z169" s="601">
        <f t="shared" si="48"/>
        <v>0</v>
      </c>
      <c r="AA169" s="601">
        <f t="shared" si="49"/>
        <v>0</v>
      </c>
      <c r="AB169" s="602" t="str">
        <f t="shared" si="50"/>
        <v>B</v>
      </c>
      <c r="AC169" s="847" t="s">
        <v>1235</v>
      </c>
      <c r="AD169" s="603">
        <f>(T169+U169+V169)*'1.0-Contractblad'!$K$69</f>
        <v>0</v>
      </c>
      <c r="AE169" s="603"/>
      <c r="AF169" s="58">
        <f t="shared" si="51"/>
        <v>0</v>
      </c>
      <c r="AG169" s="58">
        <f t="shared" ref="AG169:AG225" si="57">K169*Q169</f>
        <v>12979.2</v>
      </c>
      <c r="AH169" s="58" t="str">
        <f t="shared" ref="AH169:AH225" si="58">CONCATENATE(M169,"-",Q169)</f>
        <v>1156-156</v>
      </c>
    </row>
    <row r="170" spans="1:34" ht="13">
      <c r="A170" s="134"/>
      <c r="B170" s="470"/>
      <c r="C170" s="471"/>
      <c r="D170" s="859">
        <f>VLOOKUP(E170,'1.1a-Jaarprijzen'!B:G,6,FALSE)</f>
        <v>2</v>
      </c>
      <c r="E170" s="845" t="s">
        <v>834</v>
      </c>
      <c r="F170" s="798" t="s">
        <v>469</v>
      </c>
      <c r="G170" s="799" t="s">
        <v>828</v>
      </c>
      <c r="H170" s="573" t="s">
        <v>829</v>
      </c>
      <c r="I170" s="573" t="str">
        <f t="shared" si="45"/>
        <v>administratieve -, personeels- en vergaderruimte</v>
      </c>
      <c r="J170" s="694" t="s">
        <v>462</v>
      </c>
      <c r="K170" s="800">
        <v>14.14</v>
      </c>
      <c r="L170" s="800" t="s">
        <v>118</v>
      </c>
      <c r="M170" s="867">
        <v>1156</v>
      </c>
      <c r="N170" s="868"/>
      <c r="O170" s="869"/>
      <c r="P170" s="869"/>
      <c r="Q170" s="866">
        <f t="shared" si="52"/>
        <v>156</v>
      </c>
      <c r="R170" s="600">
        <v>1</v>
      </c>
      <c r="S170" s="600">
        <v>1</v>
      </c>
      <c r="T170" s="468">
        <f t="shared" si="53"/>
        <v>0</v>
      </c>
      <c r="U170" s="468">
        <f t="shared" si="54"/>
        <v>0</v>
      </c>
      <c r="V170" s="468">
        <f t="shared" si="55"/>
        <v>0</v>
      </c>
      <c r="W170" s="468">
        <f t="shared" si="56"/>
        <v>0</v>
      </c>
      <c r="X170" s="601">
        <f t="shared" si="46"/>
        <v>0</v>
      </c>
      <c r="Y170" s="601">
        <f t="shared" si="47"/>
        <v>0</v>
      </c>
      <c r="Z170" s="601">
        <f t="shared" si="48"/>
        <v>0</v>
      </c>
      <c r="AA170" s="601">
        <f t="shared" si="49"/>
        <v>0</v>
      </c>
      <c r="AB170" s="602" t="str">
        <f t="shared" si="50"/>
        <v>B</v>
      </c>
      <c r="AC170" s="847" t="s">
        <v>1235</v>
      </c>
      <c r="AD170" s="603">
        <f>(T170+U170+V170)*'1.0-Contractblad'!$K$69</f>
        <v>0</v>
      </c>
      <c r="AE170" s="603"/>
      <c r="AF170" s="58">
        <f t="shared" si="51"/>
        <v>0</v>
      </c>
      <c r="AG170" s="58">
        <f t="shared" si="57"/>
        <v>2205.84</v>
      </c>
      <c r="AH170" s="58" t="str">
        <f t="shared" si="58"/>
        <v>1156-156</v>
      </c>
    </row>
    <row r="171" spans="1:34" ht="13">
      <c r="A171" s="134"/>
      <c r="B171" s="470"/>
      <c r="C171" s="471"/>
      <c r="D171" s="859">
        <f>VLOOKUP(E171,'1.1a-Jaarprijzen'!B:G,6,FALSE)</f>
        <v>2</v>
      </c>
      <c r="E171" s="845" t="s">
        <v>834</v>
      </c>
      <c r="F171" s="798" t="s">
        <v>469</v>
      </c>
      <c r="G171" s="799" t="s">
        <v>830</v>
      </c>
      <c r="H171" s="573" t="s">
        <v>604</v>
      </c>
      <c r="I171" s="573" t="str">
        <f t="shared" si="45"/>
        <v>niet van toepassing</v>
      </c>
      <c r="J171" s="694" t="s">
        <v>455</v>
      </c>
      <c r="K171" s="800"/>
      <c r="L171" s="800">
        <v>24.96</v>
      </c>
      <c r="M171" s="867" t="s">
        <v>19</v>
      </c>
      <c r="N171" s="868"/>
      <c r="O171" s="869"/>
      <c r="P171" s="869"/>
      <c r="Q171" s="866">
        <f t="shared" si="52"/>
        <v>0</v>
      </c>
      <c r="R171" s="600">
        <v>1</v>
      </c>
      <c r="S171" s="600">
        <v>1</v>
      </c>
      <c r="T171" s="468">
        <f t="shared" si="53"/>
        <v>0</v>
      </c>
      <c r="U171" s="468">
        <f t="shared" si="54"/>
        <v>0</v>
      </c>
      <c r="V171" s="468">
        <f t="shared" si="55"/>
        <v>0</v>
      </c>
      <c r="W171" s="468">
        <f t="shared" si="56"/>
        <v>0</v>
      </c>
      <c r="X171" s="601">
        <f t="shared" si="46"/>
        <v>0</v>
      </c>
      <c r="Y171" s="601">
        <f t="shared" si="47"/>
        <v>0</v>
      </c>
      <c r="Z171" s="601">
        <f t="shared" si="48"/>
        <v>0</v>
      </c>
      <c r="AA171" s="601">
        <f t="shared" si="49"/>
        <v>0</v>
      </c>
      <c r="AB171" s="602">
        <f t="shared" si="50"/>
        <v>0</v>
      </c>
      <c r="AC171" s="847"/>
      <c r="AD171" s="603">
        <f>(T171+U171+V171)*'1.0-Contractblad'!$K$69</f>
        <v>0</v>
      </c>
      <c r="AE171" s="603"/>
      <c r="AF171" s="58">
        <f t="shared" si="51"/>
        <v>0</v>
      </c>
      <c r="AG171" s="58">
        <f t="shared" si="57"/>
        <v>0</v>
      </c>
      <c r="AH171" s="58" t="str">
        <f t="shared" si="58"/>
        <v>nvt-0</v>
      </c>
    </row>
    <row r="172" spans="1:34" ht="13">
      <c r="A172" s="134"/>
      <c r="B172" s="470"/>
      <c r="C172" s="471"/>
      <c r="D172" s="859">
        <f>VLOOKUP(E172,'1.1a-Jaarprijzen'!B:G,6,FALSE)</f>
        <v>2</v>
      </c>
      <c r="E172" s="845" t="s">
        <v>834</v>
      </c>
      <c r="F172" s="798" t="s">
        <v>469</v>
      </c>
      <c r="G172" s="799" t="s">
        <v>831</v>
      </c>
      <c r="H172" s="573" t="s">
        <v>832</v>
      </c>
      <c r="I172" s="573" t="str">
        <f t="shared" si="45"/>
        <v>pantry, keuken, koffiecorner</v>
      </c>
      <c r="J172" s="694" t="s">
        <v>455</v>
      </c>
      <c r="K172" s="800">
        <v>11.6</v>
      </c>
      <c r="L172" s="800"/>
      <c r="M172" s="867">
        <v>5156</v>
      </c>
      <c r="N172" s="868"/>
      <c r="O172" s="869"/>
      <c r="P172" s="869"/>
      <c r="Q172" s="866">
        <f t="shared" si="52"/>
        <v>156</v>
      </c>
      <c r="R172" s="600">
        <v>1</v>
      </c>
      <c r="S172" s="600">
        <v>1</v>
      </c>
      <c r="T172" s="468">
        <f t="shared" si="53"/>
        <v>0</v>
      </c>
      <c r="U172" s="468">
        <f t="shared" si="54"/>
        <v>0</v>
      </c>
      <c r="V172" s="468">
        <f t="shared" si="55"/>
        <v>0</v>
      </c>
      <c r="W172" s="468">
        <f t="shared" si="56"/>
        <v>0</v>
      </c>
      <c r="X172" s="601">
        <f t="shared" si="46"/>
        <v>0</v>
      </c>
      <c r="Y172" s="601">
        <f t="shared" si="47"/>
        <v>0</v>
      </c>
      <c r="Z172" s="601">
        <f t="shared" si="48"/>
        <v>0</v>
      </c>
      <c r="AA172" s="601">
        <f t="shared" si="49"/>
        <v>0</v>
      </c>
      <c r="AB172" s="602" t="str">
        <f t="shared" si="50"/>
        <v>V</v>
      </c>
      <c r="AC172" s="847" t="s">
        <v>1235</v>
      </c>
      <c r="AD172" s="603">
        <f>(T172+U172+V172)*'1.0-Contractblad'!$K$69</f>
        <v>0</v>
      </c>
      <c r="AE172" s="603"/>
      <c r="AF172" s="58">
        <f t="shared" si="51"/>
        <v>0</v>
      </c>
      <c r="AG172" s="58">
        <f t="shared" si="57"/>
        <v>1809.6</v>
      </c>
      <c r="AH172" s="58" t="str">
        <f t="shared" si="58"/>
        <v>5156-156</v>
      </c>
    </row>
    <row r="173" spans="1:34" ht="13">
      <c r="A173" s="134"/>
      <c r="B173" s="470"/>
      <c r="C173" s="471"/>
      <c r="D173" s="859">
        <f>VLOOKUP(E173,'1.1a-Jaarprijzen'!B:G,6,FALSE)</f>
        <v>2</v>
      </c>
      <c r="E173" s="845" t="s">
        <v>834</v>
      </c>
      <c r="F173" s="798" t="s">
        <v>469</v>
      </c>
      <c r="G173" s="799" t="s">
        <v>833</v>
      </c>
      <c r="H173" s="573" t="s">
        <v>502</v>
      </c>
      <c r="I173" s="573" t="str">
        <f t="shared" si="45"/>
        <v>pantry, keuken, koffiecorner</v>
      </c>
      <c r="J173" s="694" t="s">
        <v>455</v>
      </c>
      <c r="K173" s="800">
        <v>58.7</v>
      </c>
      <c r="L173" s="800"/>
      <c r="M173" s="867">
        <v>5156</v>
      </c>
      <c r="N173" s="868"/>
      <c r="O173" s="869"/>
      <c r="P173" s="869"/>
      <c r="Q173" s="866">
        <f t="shared" si="52"/>
        <v>156</v>
      </c>
      <c r="R173" s="600">
        <v>1</v>
      </c>
      <c r="S173" s="600">
        <v>1</v>
      </c>
      <c r="T173" s="468">
        <f t="shared" si="53"/>
        <v>0</v>
      </c>
      <c r="U173" s="468">
        <f t="shared" si="54"/>
        <v>0</v>
      </c>
      <c r="V173" s="468">
        <f t="shared" si="55"/>
        <v>0</v>
      </c>
      <c r="W173" s="468">
        <f t="shared" si="56"/>
        <v>0</v>
      </c>
      <c r="X173" s="601">
        <f t="shared" si="46"/>
        <v>0</v>
      </c>
      <c r="Y173" s="601">
        <f t="shared" si="47"/>
        <v>0</v>
      </c>
      <c r="Z173" s="601">
        <f t="shared" si="48"/>
        <v>0</v>
      </c>
      <c r="AA173" s="601">
        <f t="shared" si="49"/>
        <v>0</v>
      </c>
      <c r="AB173" s="602" t="str">
        <f t="shared" si="50"/>
        <v>V</v>
      </c>
      <c r="AC173" s="847" t="s">
        <v>1235</v>
      </c>
      <c r="AD173" s="603">
        <f>(T173+U173+V173)*'1.0-Contractblad'!$K$69</f>
        <v>0</v>
      </c>
      <c r="AE173" s="603"/>
      <c r="AF173" s="58">
        <f t="shared" si="51"/>
        <v>0</v>
      </c>
      <c r="AG173" s="58">
        <f t="shared" si="57"/>
        <v>9157.2000000000007</v>
      </c>
      <c r="AH173" s="58" t="str">
        <f t="shared" si="58"/>
        <v>5156-156</v>
      </c>
    </row>
    <row r="174" spans="1:34" ht="13">
      <c r="A174" s="134"/>
      <c r="B174" s="470"/>
      <c r="C174" s="471"/>
      <c r="D174" s="859">
        <f>VLOOKUP(E174,'1.1a-Jaarprijzen'!B:G,6,FALSE)</f>
        <v>2</v>
      </c>
      <c r="E174" s="845" t="s">
        <v>834</v>
      </c>
      <c r="F174" s="798" t="s">
        <v>469</v>
      </c>
      <c r="G174" s="799" t="s">
        <v>1095</v>
      </c>
      <c r="H174" s="573" t="s">
        <v>769</v>
      </c>
      <c r="I174" s="573" t="str">
        <f t="shared" si="45"/>
        <v>entree, gang, hal, repro, kopieer</v>
      </c>
      <c r="J174" s="694" t="s">
        <v>455</v>
      </c>
      <c r="K174" s="800">
        <v>23.7</v>
      </c>
      <c r="L174" s="800"/>
      <c r="M174" s="867">
        <v>3156</v>
      </c>
      <c r="N174" s="868"/>
      <c r="O174" s="869"/>
      <c r="P174" s="869"/>
      <c r="Q174" s="866">
        <f t="shared" si="52"/>
        <v>156</v>
      </c>
      <c r="R174" s="600">
        <v>1</v>
      </c>
      <c r="S174" s="600">
        <v>1</v>
      </c>
      <c r="T174" s="468">
        <f t="shared" si="53"/>
        <v>0</v>
      </c>
      <c r="U174" s="468">
        <f t="shared" si="54"/>
        <v>0</v>
      </c>
      <c r="V174" s="468">
        <f t="shared" si="55"/>
        <v>0</v>
      </c>
      <c r="W174" s="468">
        <f t="shared" si="56"/>
        <v>0</v>
      </c>
      <c r="X174" s="601">
        <f t="shared" si="46"/>
        <v>0</v>
      </c>
      <c r="Y174" s="601">
        <f t="shared" si="47"/>
        <v>0</v>
      </c>
      <c r="Z174" s="601">
        <f t="shared" si="48"/>
        <v>0</v>
      </c>
      <c r="AA174" s="601">
        <f t="shared" si="49"/>
        <v>0</v>
      </c>
      <c r="AB174" s="602" t="str">
        <f t="shared" si="50"/>
        <v>V</v>
      </c>
      <c r="AC174" s="847" t="s">
        <v>1235</v>
      </c>
      <c r="AD174" s="603">
        <f>(T174+U174+V174)*'1.0-Contractblad'!$K$69</f>
        <v>0</v>
      </c>
      <c r="AE174" s="603"/>
      <c r="AF174" s="58">
        <f t="shared" si="51"/>
        <v>0</v>
      </c>
      <c r="AG174" s="58">
        <f t="shared" si="57"/>
        <v>3697.2</v>
      </c>
      <c r="AH174" s="58" t="str">
        <f t="shared" si="58"/>
        <v>3156-156</v>
      </c>
    </row>
    <row r="175" spans="1:34" ht="13">
      <c r="A175" s="134"/>
      <c r="B175" s="470"/>
      <c r="C175" s="471"/>
      <c r="D175" s="859">
        <f>VLOOKUP(E175,'1.1a-Jaarprijzen'!B:G,6,FALSE)</f>
        <v>2</v>
      </c>
      <c r="E175" s="845" t="s">
        <v>834</v>
      </c>
      <c r="F175" s="798" t="s">
        <v>469</v>
      </c>
      <c r="G175" s="799" t="s">
        <v>835</v>
      </c>
      <c r="H175" s="573" t="s">
        <v>452</v>
      </c>
      <c r="I175" s="573" t="str">
        <f t="shared" si="45"/>
        <v>administratieve -, personeels- en vergaderruimte</v>
      </c>
      <c r="J175" s="694" t="s">
        <v>462</v>
      </c>
      <c r="K175" s="800">
        <v>15.7</v>
      </c>
      <c r="L175" s="800"/>
      <c r="M175" s="867">
        <v>1156</v>
      </c>
      <c r="N175" s="868"/>
      <c r="O175" s="869"/>
      <c r="P175" s="869"/>
      <c r="Q175" s="866">
        <f t="shared" si="52"/>
        <v>156</v>
      </c>
      <c r="R175" s="600">
        <v>1</v>
      </c>
      <c r="S175" s="600">
        <v>1</v>
      </c>
      <c r="T175" s="468">
        <f t="shared" si="53"/>
        <v>0</v>
      </c>
      <c r="U175" s="468">
        <f t="shared" si="54"/>
        <v>0</v>
      </c>
      <c r="V175" s="468">
        <f t="shared" si="55"/>
        <v>0</v>
      </c>
      <c r="W175" s="468">
        <f t="shared" si="56"/>
        <v>0</v>
      </c>
      <c r="X175" s="601">
        <f t="shared" si="46"/>
        <v>0</v>
      </c>
      <c r="Y175" s="601">
        <f t="shared" si="47"/>
        <v>0</v>
      </c>
      <c r="Z175" s="601">
        <f t="shared" si="48"/>
        <v>0</v>
      </c>
      <c r="AA175" s="601">
        <f t="shared" si="49"/>
        <v>0</v>
      </c>
      <c r="AB175" s="602" t="str">
        <f t="shared" si="50"/>
        <v>B</v>
      </c>
      <c r="AC175" s="847" t="s">
        <v>1235</v>
      </c>
      <c r="AD175" s="603">
        <f>(T175+U175+V175)*'1.0-Contractblad'!$K$69</f>
        <v>0</v>
      </c>
      <c r="AE175" s="603"/>
      <c r="AF175" s="58">
        <f t="shared" si="51"/>
        <v>0</v>
      </c>
      <c r="AG175" s="58">
        <f t="shared" si="57"/>
        <v>2449.1999999999998</v>
      </c>
      <c r="AH175" s="58" t="str">
        <f t="shared" si="58"/>
        <v>1156-156</v>
      </c>
    </row>
    <row r="176" spans="1:34" ht="13">
      <c r="A176" s="134"/>
      <c r="B176" s="470"/>
      <c r="C176" s="471"/>
      <c r="D176" s="859">
        <f>VLOOKUP(E176,'1.1a-Jaarprijzen'!B:G,6,FALSE)</f>
        <v>2</v>
      </c>
      <c r="E176" s="845" t="s">
        <v>834</v>
      </c>
      <c r="F176" s="798" t="s">
        <v>736</v>
      </c>
      <c r="G176" s="799" t="s">
        <v>837</v>
      </c>
      <c r="H176" s="573" t="s">
        <v>836</v>
      </c>
      <c r="I176" s="573" t="str">
        <f t="shared" si="45"/>
        <v>entree, gang, hal, repro, kopieer</v>
      </c>
      <c r="J176" s="694" t="s">
        <v>462</v>
      </c>
      <c r="K176" s="800"/>
      <c r="L176" s="800">
        <v>10.74</v>
      </c>
      <c r="M176" s="867">
        <v>3156</v>
      </c>
      <c r="N176" s="868"/>
      <c r="O176" s="869"/>
      <c r="P176" s="869"/>
      <c r="Q176" s="866">
        <f t="shared" si="52"/>
        <v>156</v>
      </c>
      <c r="R176" s="600">
        <v>1</v>
      </c>
      <c r="S176" s="600">
        <v>1</v>
      </c>
      <c r="T176" s="468">
        <f t="shared" si="53"/>
        <v>0</v>
      </c>
      <c r="U176" s="468">
        <f t="shared" si="54"/>
        <v>0</v>
      </c>
      <c r="V176" s="468">
        <f t="shared" si="55"/>
        <v>0</v>
      </c>
      <c r="W176" s="468">
        <f t="shared" si="56"/>
        <v>0</v>
      </c>
      <c r="X176" s="601">
        <f t="shared" si="46"/>
        <v>0</v>
      </c>
      <c r="Y176" s="601">
        <f t="shared" si="47"/>
        <v>0</v>
      </c>
      <c r="Z176" s="601">
        <f t="shared" si="48"/>
        <v>0</v>
      </c>
      <c r="AA176" s="601">
        <f t="shared" si="49"/>
        <v>0</v>
      </c>
      <c r="AB176" s="602" t="str">
        <f t="shared" si="50"/>
        <v>V</v>
      </c>
      <c r="AC176" s="847" t="s">
        <v>1235</v>
      </c>
      <c r="AD176" s="603">
        <f>(T176+U176+V176)*'1.0-Contractblad'!$K$69</f>
        <v>0</v>
      </c>
      <c r="AE176" s="603"/>
      <c r="AF176" s="58">
        <f t="shared" si="51"/>
        <v>0</v>
      </c>
      <c r="AG176" s="58">
        <f t="shared" si="57"/>
        <v>0</v>
      </c>
      <c r="AH176" s="58" t="str">
        <f t="shared" si="58"/>
        <v>3156-156</v>
      </c>
    </row>
    <row r="177" spans="1:34" ht="13">
      <c r="A177" s="134"/>
      <c r="B177" s="470"/>
      <c r="C177" s="471"/>
      <c r="D177" s="859">
        <f>VLOOKUP(E177,'1.1a-Jaarprijzen'!B:G,6,FALSE)</f>
        <v>2</v>
      </c>
      <c r="E177" s="845" t="s">
        <v>834</v>
      </c>
      <c r="F177" s="798" t="s">
        <v>469</v>
      </c>
      <c r="G177" s="799" t="s">
        <v>838</v>
      </c>
      <c r="H177" s="573" t="s">
        <v>839</v>
      </c>
      <c r="I177" s="573" t="str">
        <f t="shared" si="45"/>
        <v>entree, gang, hal, repro, kopieer</v>
      </c>
      <c r="J177" s="694" t="s">
        <v>462</v>
      </c>
      <c r="K177" s="800">
        <v>11.03</v>
      </c>
      <c r="L177" s="800"/>
      <c r="M177" s="867">
        <v>3156</v>
      </c>
      <c r="N177" s="868"/>
      <c r="O177" s="869"/>
      <c r="P177" s="869"/>
      <c r="Q177" s="866">
        <f t="shared" si="52"/>
        <v>156</v>
      </c>
      <c r="R177" s="600">
        <v>1</v>
      </c>
      <c r="S177" s="600">
        <v>1</v>
      </c>
      <c r="T177" s="468">
        <f t="shared" si="53"/>
        <v>0</v>
      </c>
      <c r="U177" s="468">
        <f t="shared" si="54"/>
        <v>0</v>
      </c>
      <c r="V177" s="468">
        <f t="shared" si="55"/>
        <v>0</v>
      </c>
      <c r="W177" s="468">
        <f t="shared" si="56"/>
        <v>0</v>
      </c>
      <c r="X177" s="601">
        <f t="shared" si="46"/>
        <v>0</v>
      </c>
      <c r="Y177" s="601">
        <f t="shared" si="47"/>
        <v>0</v>
      </c>
      <c r="Z177" s="601">
        <f t="shared" si="48"/>
        <v>0</v>
      </c>
      <c r="AA177" s="601">
        <f t="shared" si="49"/>
        <v>0</v>
      </c>
      <c r="AB177" s="602" t="str">
        <f t="shared" si="50"/>
        <v>V</v>
      </c>
      <c r="AC177" s="847" t="s">
        <v>1235</v>
      </c>
      <c r="AD177" s="603">
        <f>(T177+U177+V177)*'1.0-Contractblad'!$K$69</f>
        <v>0</v>
      </c>
      <c r="AE177" s="603"/>
      <c r="AF177" s="58">
        <f t="shared" si="51"/>
        <v>0</v>
      </c>
      <c r="AG177" s="58">
        <f t="shared" si="57"/>
        <v>1720.6799999999998</v>
      </c>
      <c r="AH177" s="58" t="str">
        <f t="shared" si="58"/>
        <v>3156-156</v>
      </c>
    </row>
    <row r="178" spans="1:34" ht="13">
      <c r="A178" s="134"/>
      <c r="B178" s="470"/>
      <c r="C178" s="471"/>
      <c r="D178" s="859">
        <f>VLOOKUP(E178,'1.1a-Jaarprijzen'!B:G,6,FALSE)</f>
        <v>2</v>
      </c>
      <c r="E178" s="845" t="s">
        <v>834</v>
      </c>
      <c r="F178" s="798" t="s">
        <v>469</v>
      </c>
      <c r="G178" s="799" t="s">
        <v>840</v>
      </c>
      <c r="H178" s="573" t="s">
        <v>841</v>
      </c>
      <c r="I178" s="573" t="str">
        <f t="shared" si="45"/>
        <v>administratieve -, personeels- en vergaderruimte</v>
      </c>
      <c r="J178" s="694" t="s">
        <v>477</v>
      </c>
      <c r="K178" s="800">
        <v>10.76</v>
      </c>
      <c r="L178" s="800"/>
      <c r="M178" s="867">
        <v>1156</v>
      </c>
      <c r="N178" s="868"/>
      <c r="O178" s="869"/>
      <c r="P178" s="869"/>
      <c r="Q178" s="866">
        <f t="shared" si="52"/>
        <v>156</v>
      </c>
      <c r="R178" s="600">
        <v>1</v>
      </c>
      <c r="S178" s="600">
        <v>1</v>
      </c>
      <c r="T178" s="468">
        <f t="shared" si="53"/>
        <v>0</v>
      </c>
      <c r="U178" s="468">
        <f t="shared" si="54"/>
        <v>0</v>
      </c>
      <c r="V178" s="468">
        <f t="shared" si="55"/>
        <v>0</v>
      </c>
      <c r="W178" s="468">
        <f t="shared" si="56"/>
        <v>0</v>
      </c>
      <c r="X178" s="601">
        <f t="shared" si="46"/>
        <v>0</v>
      </c>
      <c r="Y178" s="601">
        <f t="shared" si="47"/>
        <v>0</v>
      </c>
      <c r="Z178" s="601">
        <f t="shared" si="48"/>
        <v>0</v>
      </c>
      <c r="AA178" s="601">
        <f t="shared" si="49"/>
        <v>0</v>
      </c>
      <c r="AB178" s="602" t="str">
        <f t="shared" si="50"/>
        <v>B</v>
      </c>
      <c r="AC178" s="847" t="s">
        <v>1235</v>
      </c>
      <c r="AD178" s="603">
        <f>(T178+U178+V178)*'1.0-Contractblad'!$K$69</f>
        <v>0</v>
      </c>
      <c r="AE178" s="603"/>
      <c r="AF178" s="58">
        <f t="shared" si="51"/>
        <v>0</v>
      </c>
      <c r="AG178" s="58">
        <f t="shared" si="57"/>
        <v>1678.56</v>
      </c>
      <c r="AH178" s="58" t="str">
        <f t="shared" si="58"/>
        <v>1156-156</v>
      </c>
    </row>
    <row r="179" spans="1:34" ht="13">
      <c r="A179" s="134"/>
      <c r="B179" s="470"/>
      <c r="C179" s="471"/>
      <c r="D179" s="859">
        <f>VLOOKUP(E179,'1.1a-Jaarprijzen'!B:G,6,FALSE)</f>
        <v>2</v>
      </c>
      <c r="E179" s="845" t="s">
        <v>866</v>
      </c>
      <c r="F179" s="798" t="s">
        <v>469</v>
      </c>
      <c r="G179" s="799" t="s">
        <v>437</v>
      </c>
      <c r="H179" s="573" t="s">
        <v>563</v>
      </c>
      <c r="I179" s="573" t="str">
        <f t="shared" si="45"/>
        <v>entree, gang, hal, repro, kopieer</v>
      </c>
      <c r="J179" s="694" t="s">
        <v>455</v>
      </c>
      <c r="K179" s="800">
        <v>42.5</v>
      </c>
      <c r="L179" s="800"/>
      <c r="M179" s="867">
        <v>3253</v>
      </c>
      <c r="N179" s="868"/>
      <c r="O179" s="869"/>
      <c r="P179" s="869"/>
      <c r="Q179" s="866">
        <f t="shared" si="52"/>
        <v>253</v>
      </c>
      <c r="R179" s="600">
        <v>1</v>
      </c>
      <c r="S179" s="600">
        <v>1</v>
      </c>
      <c r="T179" s="468">
        <f t="shared" si="53"/>
        <v>0</v>
      </c>
      <c r="U179" s="468">
        <f t="shared" si="54"/>
        <v>0</v>
      </c>
      <c r="V179" s="468">
        <f t="shared" si="55"/>
        <v>0</v>
      </c>
      <c r="W179" s="468">
        <f t="shared" si="56"/>
        <v>0</v>
      </c>
      <c r="X179" s="601">
        <f t="shared" si="46"/>
        <v>0</v>
      </c>
      <c r="Y179" s="601">
        <f t="shared" si="47"/>
        <v>0</v>
      </c>
      <c r="Z179" s="601">
        <f t="shared" si="48"/>
        <v>0</v>
      </c>
      <c r="AA179" s="601">
        <f t="shared" si="49"/>
        <v>0</v>
      </c>
      <c r="AB179" s="602" t="str">
        <f t="shared" si="50"/>
        <v>V</v>
      </c>
      <c r="AC179" s="847"/>
      <c r="AD179" s="603">
        <f>(T179+U179+V179)*'1.0-Contractblad'!$K$69</f>
        <v>0</v>
      </c>
      <c r="AE179" s="603"/>
      <c r="AF179" s="58">
        <f t="shared" si="51"/>
        <v>0</v>
      </c>
      <c r="AG179" s="58">
        <f t="shared" si="57"/>
        <v>10752.5</v>
      </c>
      <c r="AH179" s="58" t="str">
        <f t="shared" si="58"/>
        <v>3253-253</v>
      </c>
    </row>
    <row r="180" spans="1:34" ht="13">
      <c r="A180" s="134"/>
      <c r="B180" s="470"/>
      <c r="C180" s="471"/>
      <c r="D180" s="859">
        <f>VLOOKUP(E180,'1.1a-Jaarprijzen'!B:G,6,FALSE)</f>
        <v>2</v>
      </c>
      <c r="E180" s="845" t="s">
        <v>866</v>
      </c>
      <c r="F180" s="798" t="s">
        <v>469</v>
      </c>
      <c r="G180" s="799" t="s">
        <v>438</v>
      </c>
      <c r="H180" s="573" t="s">
        <v>869</v>
      </c>
      <c r="I180" s="573" t="str">
        <f t="shared" si="45"/>
        <v>niet van toepassing</v>
      </c>
      <c r="J180" s="694" t="s">
        <v>887</v>
      </c>
      <c r="K180" s="800"/>
      <c r="L180" s="800">
        <v>0.7</v>
      </c>
      <c r="M180" s="867" t="s">
        <v>19</v>
      </c>
      <c r="N180" s="868"/>
      <c r="O180" s="869"/>
      <c r="P180" s="869"/>
      <c r="Q180" s="866">
        <f t="shared" si="52"/>
        <v>0</v>
      </c>
      <c r="R180" s="600">
        <v>1</v>
      </c>
      <c r="S180" s="600">
        <v>1</v>
      </c>
      <c r="T180" s="468">
        <f t="shared" si="53"/>
        <v>0</v>
      </c>
      <c r="U180" s="468">
        <f t="shared" si="54"/>
        <v>0</v>
      </c>
      <c r="V180" s="468">
        <f t="shared" si="55"/>
        <v>0</v>
      </c>
      <c r="W180" s="468">
        <f t="shared" si="56"/>
        <v>0</v>
      </c>
      <c r="X180" s="601">
        <f t="shared" si="46"/>
        <v>0</v>
      </c>
      <c r="Y180" s="601">
        <f t="shared" si="47"/>
        <v>0</v>
      </c>
      <c r="Z180" s="601">
        <f t="shared" si="48"/>
        <v>0</v>
      </c>
      <c r="AA180" s="601">
        <f t="shared" si="49"/>
        <v>0</v>
      </c>
      <c r="AB180" s="602">
        <f t="shared" si="50"/>
        <v>0</v>
      </c>
      <c r="AC180" s="847"/>
      <c r="AD180" s="603">
        <f>(T180+U180+V180)*'1.0-Contractblad'!$K$69</f>
        <v>0</v>
      </c>
      <c r="AE180" s="603"/>
      <c r="AF180" s="58">
        <f t="shared" si="51"/>
        <v>0</v>
      </c>
      <c r="AG180" s="58">
        <f t="shared" si="57"/>
        <v>0</v>
      </c>
      <c r="AH180" s="58" t="str">
        <f t="shared" si="58"/>
        <v>nvt-0</v>
      </c>
    </row>
    <row r="181" spans="1:34" ht="13">
      <c r="A181" s="134"/>
      <c r="B181" s="470"/>
      <c r="C181" s="471"/>
      <c r="D181" s="859">
        <f>VLOOKUP(E181,'1.1a-Jaarprijzen'!B:G,6,FALSE)</f>
        <v>2</v>
      </c>
      <c r="E181" s="845" t="s">
        <v>866</v>
      </c>
      <c r="F181" s="798" t="s">
        <v>469</v>
      </c>
      <c r="G181" s="799">
        <v>0.03</v>
      </c>
      <c r="H181" s="573" t="s">
        <v>452</v>
      </c>
      <c r="I181" s="573" t="str">
        <f t="shared" si="45"/>
        <v>administratieve -, personeels- en vergaderruimte</v>
      </c>
      <c r="J181" s="694" t="s">
        <v>455</v>
      </c>
      <c r="K181" s="800">
        <v>40.799999999999997</v>
      </c>
      <c r="L181" s="800"/>
      <c r="M181" s="867">
        <v>1253</v>
      </c>
      <c r="N181" s="868"/>
      <c r="O181" s="869"/>
      <c r="P181" s="869"/>
      <c r="Q181" s="866">
        <f t="shared" si="52"/>
        <v>253</v>
      </c>
      <c r="R181" s="600">
        <v>1</v>
      </c>
      <c r="S181" s="600">
        <v>1</v>
      </c>
      <c r="T181" s="468">
        <f t="shared" si="53"/>
        <v>0</v>
      </c>
      <c r="U181" s="468">
        <f t="shared" si="54"/>
        <v>0</v>
      </c>
      <c r="V181" s="468">
        <f t="shared" si="55"/>
        <v>0</v>
      </c>
      <c r="W181" s="468">
        <f t="shared" si="56"/>
        <v>0</v>
      </c>
      <c r="X181" s="601">
        <f t="shared" si="46"/>
        <v>0</v>
      </c>
      <c r="Y181" s="601">
        <f t="shared" si="47"/>
        <v>0</v>
      </c>
      <c r="Z181" s="601">
        <f t="shared" si="48"/>
        <v>0</v>
      </c>
      <c r="AA181" s="601">
        <f t="shared" si="49"/>
        <v>0</v>
      </c>
      <c r="AB181" s="602" t="str">
        <f t="shared" si="50"/>
        <v>B</v>
      </c>
      <c r="AC181" s="847"/>
      <c r="AD181" s="603">
        <f>(T181+U181+V181)*'1.0-Contractblad'!$K$69</f>
        <v>0</v>
      </c>
      <c r="AE181" s="603"/>
      <c r="AF181" s="58">
        <f t="shared" si="51"/>
        <v>0</v>
      </c>
      <c r="AG181" s="58">
        <f t="shared" si="57"/>
        <v>10322.4</v>
      </c>
      <c r="AH181" s="58" t="str">
        <f t="shared" si="58"/>
        <v>1253-253</v>
      </c>
    </row>
    <row r="182" spans="1:34" ht="13">
      <c r="A182" s="134"/>
      <c r="B182" s="470"/>
      <c r="C182" s="471"/>
      <c r="D182" s="859">
        <f>VLOOKUP(E182,'1.1a-Jaarprijzen'!B:G,6,FALSE)</f>
        <v>2</v>
      </c>
      <c r="E182" s="845" t="s">
        <v>866</v>
      </c>
      <c r="F182" s="798" t="s">
        <v>469</v>
      </c>
      <c r="G182" s="799">
        <v>0.04</v>
      </c>
      <c r="H182" s="573" t="s">
        <v>870</v>
      </c>
      <c r="I182" s="573" t="str">
        <f t="shared" si="45"/>
        <v>administratieve -, personeels- en vergaderruimte</v>
      </c>
      <c r="J182" s="694" t="s">
        <v>455</v>
      </c>
      <c r="K182" s="800">
        <v>5.0999999999999996</v>
      </c>
      <c r="L182" s="800"/>
      <c r="M182" s="867">
        <v>1253</v>
      </c>
      <c r="N182" s="868"/>
      <c r="O182" s="869"/>
      <c r="P182" s="869"/>
      <c r="Q182" s="866">
        <f t="shared" si="52"/>
        <v>253</v>
      </c>
      <c r="R182" s="600">
        <v>1</v>
      </c>
      <c r="S182" s="600">
        <v>1</v>
      </c>
      <c r="T182" s="468">
        <f t="shared" si="53"/>
        <v>0</v>
      </c>
      <c r="U182" s="468">
        <f t="shared" si="54"/>
        <v>0</v>
      </c>
      <c r="V182" s="468">
        <f t="shared" si="55"/>
        <v>0</v>
      </c>
      <c r="W182" s="468">
        <f t="shared" si="56"/>
        <v>0</v>
      </c>
      <c r="X182" s="601">
        <f t="shared" si="46"/>
        <v>0</v>
      </c>
      <c r="Y182" s="601">
        <f t="shared" si="47"/>
        <v>0</v>
      </c>
      <c r="Z182" s="601">
        <f t="shared" si="48"/>
        <v>0</v>
      </c>
      <c r="AA182" s="601">
        <f t="shared" si="49"/>
        <v>0</v>
      </c>
      <c r="AB182" s="602" t="str">
        <f t="shared" si="50"/>
        <v>B</v>
      </c>
      <c r="AC182" s="847"/>
      <c r="AD182" s="603">
        <f>(T182+U182+V182)*'1.0-Contractblad'!$K$69</f>
        <v>0</v>
      </c>
      <c r="AE182" s="603"/>
      <c r="AF182" s="58">
        <f t="shared" si="51"/>
        <v>0</v>
      </c>
      <c r="AG182" s="58">
        <f t="shared" si="57"/>
        <v>1290.3</v>
      </c>
      <c r="AH182" s="58" t="str">
        <f t="shared" si="58"/>
        <v>1253-253</v>
      </c>
    </row>
    <row r="183" spans="1:34" ht="13">
      <c r="A183" s="134"/>
      <c r="B183" s="470"/>
      <c r="C183" s="471"/>
      <c r="D183" s="859">
        <f>VLOOKUP(E183,'1.1a-Jaarprijzen'!B:G,6,FALSE)</f>
        <v>2</v>
      </c>
      <c r="E183" s="845" t="s">
        <v>866</v>
      </c>
      <c r="F183" s="798" t="s">
        <v>469</v>
      </c>
      <c r="G183" s="799">
        <v>0.05</v>
      </c>
      <c r="H183" s="573" t="s">
        <v>871</v>
      </c>
      <c r="I183" s="573" t="str">
        <f t="shared" si="45"/>
        <v>niet van toepassing</v>
      </c>
      <c r="J183" s="694" t="s">
        <v>326</v>
      </c>
      <c r="K183" s="800"/>
      <c r="L183" s="800">
        <v>131</v>
      </c>
      <c r="M183" s="867" t="s">
        <v>19</v>
      </c>
      <c r="N183" s="868"/>
      <c r="O183" s="869"/>
      <c r="P183" s="869"/>
      <c r="Q183" s="866">
        <f t="shared" si="52"/>
        <v>0</v>
      </c>
      <c r="R183" s="600">
        <v>1</v>
      </c>
      <c r="S183" s="600">
        <v>1</v>
      </c>
      <c r="T183" s="468">
        <f t="shared" si="53"/>
        <v>0</v>
      </c>
      <c r="U183" s="468">
        <f t="shared" si="54"/>
        <v>0</v>
      </c>
      <c r="V183" s="468">
        <f t="shared" si="55"/>
        <v>0</v>
      </c>
      <c r="W183" s="468">
        <f t="shared" si="56"/>
        <v>0</v>
      </c>
      <c r="X183" s="601">
        <f t="shared" si="46"/>
        <v>0</v>
      </c>
      <c r="Y183" s="601">
        <f t="shared" si="47"/>
        <v>0</v>
      </c>
      <c r="Z183" s="601">
        <f t="shared" si="48"/>
        <v>0</v>
      </c>
      <c r="AA183" s="601">
        <f t="shared" si="49"/>
        <v>0</v>
      </c>
      <c r="AB183" s="602">
        <f t="shared" si="50"/>
        <v>0</v>
      </c>
      <c r="AC183" s="847"/>
      <c r="AD183" s="603">
        <f>(T183+U183+V183)*'1.0-Contractblad'!$K$69</f>
        <v>0</v>
      </c>
      <c r="AE183" s="603"/>
      <c r="AF183" s="58">
        <f t="shared" si="51"/>
        <v>0</v>
      </c>
      <c r="AG183" s="58">
        <f t="shared" si="57"/>
        <v>0</v>
      </c>
      <c r="AH183" s="58" t="str">
        <f t="shared" si="58"/>
        <v>nvt-0</v>
      </c>
    </row>
    <row r="184" spans="1:34" ht="13">
      <c r="A184" s="134"/>
      <c r="B184" s="470"/>
      <c r="C184" s="471"/>
      <c r="D184" s="859">
        <f>VLOOKUP(E184,'1.1a-Jaarprijzen'!B:G,6,FALSE)</f>
        <v>2</v>
      </c>
      <c r="E184" s="845" t="s">
        <v>866</v>
      </c>
      <c r="F184" s="798" t="s">
        <v>469</v>
      </c>
      <c r="G184" s="799" t="s">
        <v>442</v>
      </c>
      <c r="H184" s="573" t="s">
        <v>872</v>
      </c>
      <c r="I184" s="573" t="str">
        <f t="shared" si="45"/>
        <v>niet van toepassing</v>
      </c>
      <c r="J184" s="694" t="s">
        <v>326</v>
      </c>
      <c r="K184" s="800"/>
      <c r="L184" s="800">
        <v>10</v>
      </c>
      <c r="M184" s="867" t="s">
        <v>19</v>
      </c>
      <c r="N184" s="868"/>
      <c r="O184" s="869"/>
      <c r="P184" s="869"/>
      <c r="Q184" s="866">
        <f t="shared" si="52"/>
        <v>0</v>
      </c>
      <c r="R184" s="600">
        <v>1</v>
      </c>
      <c r="S184" s="600">
        <v>1</v>
      </c>
      <c r="T184" s="468">
        <f t="shared" si="53"/>
        <v>0</v>
      </c>
      <c r="U184" s="468">
        <f t="shared" si="54"/>
        <v>0</v>
      </c>
      <c r="V184" s="468">
        <f t="shared" si="55"/>
        <v>0</v>
      </c>
      <c r="W184" s="468">
        <f t="shared" si="56"/>
        <v>0</v>
      </c>
      <c r="X184" s="601">
        <f t="shared" si="46"/>
        <v>0</v>
      </c>
      <c r="Y184" s="601">
        <f t="shared" si="47"/>
        <v>0</v>
      </c>
      <c r="Z184" s="601">
        <f t="shared" si="48"/>
        <v>0</v>
      </c>
      <c r="AA184" s="601">
        <f t="shared" si="49"/>
        <v>0</v>
      </c>
      <c r="AB184" s="602">
        <f t="shared" si="50"/>
        <v>0</v>
      </c>
      <c r="AC184" s="847"/>
      <c r="AD184" s="603">
        <f>(T184+U184+V184)*'1.0-Contractblad'!$K$69</f>
        <v>0</v>
      </c>
      <c r="AE184" s="603"/>
      <c r="AF184" s="58">
        <f t="shared" si="51"/>
        <v>0</v>
      </c>
      <c r="AG184" s="58">
        <f t="shared" si="57"/>
        <v>0</v>
      </c>
      <c r="AH184" s="58" t="str">
        <f t="shared" si="58"/>
        <v>nvt-0</v>
      </c>
    </row>
    <row r="185" spans="1:34" ht="13">
      <c r="A185" s="134"/>
      <c r="B185" s="470"/>
      <c r="C185" s="471"/>
      <c r="D185" s="859">
        <f>VLOOKUP(E185,'1.1a-Jaarprijzen'!B:G,6,FALSE)</f>
        <v>2</v>
      </c>
      <c r="E185" s="845" t="s">
        <v>866</v>
      </c>
      <c r="F185" s="798" t="s">
        <v>469</v>
      </c>
      <c r="G185" s="799" t="s">
        <v>443</v>
      </c>
      <c r="H185" s="573" t="s">
        <v>607</v>
      </c>
      <c r="I185" s="573" t="str">
        <f t="shared" si="45"/>
        <v>niet van toepassing</v>
      </c>
      <c r="J185" s="694" t="s">
        <v>888</v>
      </c>
      <c r="K185" s="800"/>
      <c r="L185" s="800">
        <v>37.5</v>
      </c>
      <c r="M185" s="867" t="s">
        <v>19</v>
      </c>
      <c r="N185" s="868"/>
      <c r="O185" s="869"/>
      <c r="P185" s="869"/>
      <c r="Q185" s="866">
        <f t="shared" si="52"/>
        <v>0</v>
      </c>
      <c r="R185" s="600">
        <v>1</v>
      </c>
      <c r="S185" s="600">
        <v>1</v>
      </c>
      <c r="T185" s="468">
        <f t="shared" si="53"/>
        <v>0</v>
      </c>
      <c r="U185" s="468">
        <f t="shared" si="54"/>
        <v>0</v>
      </c>
      <c r="V185" s="468">
        <f t="shared" si="55"/>
        <v>0</v>
      </c>
      <c r="W185" s="468">
        <f t="shared" si="56"/>
        <v>0</v>
      </c>
      <c r="X185" s="601">
        <f t="shared" si="46"/>
        <v>0</v>
      </c>
      <c r="Y185" s="601">
        <f t="shared" si="47"/>
        <v>0</v>
      </c>
      <c r="Z185" s="601">
        <f t="shared" si="48"/>
        <v>0</v>
      </c>
      <c r="AA185" s="601">
        <f t="shared" si="49"/>
        <v>0</v>
      </c>
      <c r="AB185" s="602">
        <f t="shared" si="50"/>
        <v>0</v>
      </c>
      <c r="AC185" s="847"/>
      <c r="AD185" s="603">
        <f>(T185+U185+V185)*'1.0-Contractblad'!$K$69</f>
        <v>0</v>
      </c>
      <c r="AE185" s="603"/>
      <c r="AF185" s="58">
        <f t="shared" si="51"/>
        <v>0</v>
      </c>
      <c r="AG185" s="58">
        <f t="shared" si="57"/>
        <v>0</v>
      </c>
      <c r="AH185" s="58" t="str">
        <f t="shared" si="58"/>
        <v>nvt-0</v>
      </c>
    </row>
    <row r="186" spans="1:34" ht="13">
      <c r="A186" s="134"/>
      <c r="B186" s="470"/>
      <c r="C186" s="471"/>
      <c r="D186" s="859">
        <f>VLOOKUP(E186,'1.1a-Jaarprijzen'!B:G,6,FALSE)</f>
        <v>2</v>
      </c>
      <c r="E186" s="845" t="s">
        <v>866</v>
      </c>
      <c r="F186" s="798" t="s">
        <v>469</v>
      </c>
      <c r="G186" s="799" t="s">
        <v>873</v>
      </c>
      <c r="H186" s="573" t="s">
        <v>874</v>
      </c>
      <c r="I186" s="573" t="str">
        <f t="shared" si="45"/>
        <v>entree, gang, hal, repro, kopieer</v>
      </c>
      <c r="J186" s="694" t="s">
        <v>804</v>
      </c>
      <c r="K186" s="800">
        <v>5</v>
      </c>
      <c r="L186" s="800"/>
      <c r="M186" s="867">
        <v>3253</v>
      </c>
      <c r="N186" s="868"/>
      <c r="O186" s="869"/>
      <c r="P186" s="869"/>
      <c r="Q186" s="866">
        <f t="shared" si="52"/>
        <v>253</v>
      </c>
      <c r="R186" s="600">
        <v>1</v>
      </c>
      <c r="S186" s="600">
        <v>1</v>
      </c>
      <c r="T186" s="468">
        <f t="shared" si="53"/>
        <v>0</v>
      </c>
      <c r="U186" s="468">
        <f t="shared" si="54"/>
        <v>0</v>
      </c>
      <c r="V186" s="468">
        <f t="shared" si="55"/>
        <v>0</v>
      </c>
      <c r="W186" s="468">
        <f t="shared" si="56"/>
        <v>0</v>
      </c>
      <c r="X186" s="601">
        <f t="shared" si="46"/>
        <v>0</v>
      </c>
      <c r="Y186" s="601">
        <f t="shared" si="47"/>
        <v>0</v>
      </c>
      <c r="Z186" s="601">
        <f t="shared" si="48"/>
        <v>0</v>
      </c>
      <c r="AA186" s="601">
        <f t="shared" si="49"/>
        <v>0</v>
      </c>
      <c r="AB186" s="602" t="str">
        <f t="shared" si="50"/>
        <v>V</v>
      </c>
      <c r="AC186" s="847"/>
      <c r="AD186" s="603">
        <f>(T186+U186+V186)*'1.0-Contractblad'!$K$69</f>
        <v>0</v>
      </c>
      <c r="AE186" s="603"/>
      <c r="AF186" s="58">
        <f t="shared" si="51"/>
        <v>0</v>
      </c>
      <c r="AG186" s="58">
        <f t="shared" si="57"/>
        <v>1265</v>
      </c>
      <c r="AH186" s="58" t="str">
        <f t="shared" si="58"/>
        <v>3253-253</v>
      </c>
    </row>
    <row r="187" spans="1:34" ht="13">
      <c r="A187" s="134"/>
      <c r="B187" s="470"/>
      <c r="C187" s="471"/>
      <c r="D187" s="859">
        <f>VLOOKUP(E187,'1.1a-Jaarprijzen'!B:G,6,FALSE)</f>
        <v>2</v>
      </c>
      <c r="E187" s="845" t="s">
        <v>866</v>
      </c>
      <c r="F187" s="798" t="s">
        <v>469</v>
      </c>
      <c r="G187" s="799" t="s">
        <v>444</v>
      </c>
      <c r="H187" s="573" t="s">
        <v>875</v>
      </c>
      <c r="I187" s="573" t="str">
        <f t="shared" si="45"/>
        <v>entree, gang, hal, repro, kopieer</v>
      </c>
      <c r="J187" s="694" t="s">
        <v>455</v>
      </c>
      <c r="K187" s="800">
        <v>5.7</v>
      </c>
      <c r="L187" s="800"/>
      <c r="M187" s="867">
        <v>3253</v>
      </c>
      <c r="N187" s="868"/>
      <c r="O187" s="869"/>
      <c r="P187" s="869"/>
      <c r="Q187" s="866">
        <f t="shared" si="52"/>
        <v>253</v>
      </c>
      <c r="R187" s="600">
        <v>1</v>
      </c>
      <c r="S187" s="600">
        <v>1</v>
      </c>
      <c r="T187" s="468">
        <f t="shared" si="53"/>
        <v>0</v>
      </c>
      <c r="U187" s="468">
        <f t="shared" si="54"/>
        <v>0</v>
      </c>
      <c r="V187" s="468">
        <f t="shared" si="55"/>
        <v>0</v>
      </c>
      <c r="W187" s="468">
        <f t="shared" si="56"/>
        <v>0</v>
      </c>
      <c r="X187" s="601">
        <f t="shared" si="46"/>
        <v>0</v>
      </c>
      <c r="Y187" s="601">
        <f t="shared" si="47"/>
        <v>0</v>
      </c>
      <c r="Z187" s="601">
        <f t="shared" si="48"/>
        <v>0</v>
      </c>
      <c r="AA187" s="601">
        <f t="shared" si="49"/>
        <v>0</v>
      </c>
      <c r="AB187" s="602" t="str">
        <f t="shared" si="50"/>
        <v>V</v>
      </c>
      <c r="AC187" s="847"/>
      <c r="AD187" s="603">
        <f>(T187+U187+V187)*'1.0-Contractblad'!$K$69</f>
        <v>0</v>
      </c>
      <c r="AE187" s="603"/>
      <c r="AF187" s="58">
        <f t="shared" si="51"/>
        <v>0</v>
      </c>
      <c r="AG187" s="58">
        <f t="shared" si="57"/>
        <v>1442.1000000000001</v>
      </c>
      <c r="AH187" s="58" t="str">
        <f t="shared" si="58"/>
        <v>3253-253</v>
      </c>
    </row>
    <row r="188" spans="1:34" ht="13">
      <c r="A188" s="134"/>
      <c r="B188" s="470"/>
      <c r="C188" s="471"/>
      <c r="D188" s="859">
        <f>VLOOKUP(E188,'1.1a-Jaarprijzen'!B:G,6,FALSE)</f>
        <v>2</v>
      </c>
      <c r="E188" s="845" t="s">
        <v>866</v>
      </c>
      <c r="F188" s="798" t="s">
        <v>469</v>
      </c>
      <c r="G188" s="799" t="s">
        <v>445</v>
      </c>
      <c r="H188" s="573" t="s">
        <v>876</v>
      </c>
      <c r="I188" s="573" t="str">
        <f t="shared" si="45"/>
        <v>sanitaire ruimte (toilet-/doucheruimte)</v>
      </c>
      <c r="J188" s="694" t="s">
        <v>889</v>
      </c>
      <c r="K188" s="800">
        <v>44.9</v>
      </c>
      <c r="L188" s="800"/>
      <c r="M188" s="867">
        <v>4253</v>
      </c>
      <c r="N188" s="573"/>
      <c r="O188" s="869"/>
      <c r="P188" s="869"/>
      <c r="Q188" s="866">
        <f t="shared" si="52"/>
        <v>253</v>
      </c>
      <c r="R188" s="600">
        <v>1</v>
      </c>
      <c r="S188" s="600">
        <v>1</v>
      </c>
      <c r="T188" s="468">
        <f t="shared" si="53"/>
        <v>0</v>
      </c>
      <c r="U188" s="468">
        <f t="shared" si="54"/>
        <v>0</v>
      </c>
      <c r="V188" s="468">
        <f t="shared" si="55"/>
        <v>0</v>
      </c>
      <c r="W188" s="468">
        <f t="shared" si="56"/>
        <v>0</v>
      </c>
      <c r="X188" s="601">
        <f t="shared" si="46"/>
        <v>0</v>
      </c>
      <c r="Y188" s="601">
        <f t="shared" si="47"/>
        <v>0</v>
      </c>
      <c r="Z188" s="601">
        <f t="shared" si="48"/>
        <v>0</v>
      </c>
      <c r="AA188" s="601">
        <f t="shared" si="49"/>
        <v>0</v>
      </c>
      <c r="AB188" s="602" t="str">
        <f t="shared" si="50"/>
        <v>S</v>
      </c>
      <c r="AC188" s="853" t="s">
        <v>877</v>
      </c>
      <c r="AD188" s="603">
        <f>(T188+U188+V188)*'1.0-Contractblad'!$K$69</f>
        <v>0</v>
      </c>
      <c r="AE188" s="603"/>
      <c r="AF188" s="58">
        <f t="shared" si="51"/>
        <v>0</v>
      </c>
      <c r="AG188" s="58">
        <f t="shared" si="57"/>
        <v>11359.699999999999</v>
      </c>
      <c r="AH188" s="58" t="str">
        <f t="shared" si="58"/>
        <v>4253-253</v>
      </c>
    </row>
    <row r="189" spans="1:34" ht="13">
      <c r="A189" s="134"/>
      <c r="B189" s="470"/>
      <c r="C189" s="471"/>
      <c r="D189" s="859">
        <f>VLOOKUP(E189,'1.1a-Jaarprijzen'!B:G,6,FALSE)</f>
        <v>2</v>
      </c>
      <c r="E189" s="845" t="s">
        <v>866</v>
      </c>
      <c r="F189" s="798" t="s">
        <v>469</v>
      </c>
      <c r="G189" s="799" t="s">
        <v>446</v>
      </c>
      <c r="H189" s="573" t="s">
        <v>877</v>
      </c>
      <c r="I189" s="573" t="str">
        <f t="shared" si="45"/>
        <v>entree, gang, hal, repro, kopieer</v>
      </c>
      <c r="J189" s="694" t="s">
        <v>889</v>
      </c>
      <c r="K189" s="800"/>
      <c r="L189" s="800"/>
      <c r="M189" s="867">
        <v>3253</v>
      </c>
      <c r="N189" s="573"/>
      <c r="O189" s="869"/>
      <c r="P189" s="869"/>
      <c r="Q189" s="866">
        <f t="shared" si="52"/>
        <v>253</v>
      </c>
      <c r="R189" s="600">
        <v>1</v>
      </c>
      <c r="S189" s="600">
        <v>1</v>
      </c>
      <c r="T189" s="468">
        <f t="shared" si="53"/>
        <v>0</v>
      </c>
      <c r="U189" s="468">
        <f t="shared" si="54"/>
        <v>0</v>
      </c>
      <c r="V189" s="468">
        <f t="shared" si="55"/>
        <v>0</v>
      </c>
      <c r="W189" s="468">
        <f t="shared" si="56"/>
        <v>0</v>
      </c>
      <c r="X189" s="601">
        <f t="shared" si="46"/>
        <v>0</v>
      </c>
      <c r="Y189" s="601">
        <f t="shared" si="47"/>
        <v>0</v>
      </c>
      <c r="Z189" s="601">
        <f t="shared" si="48"/>
        <v>0</v>
      </c>
      <c r="AA189" s="601">
        <f t="shared" si="49"/>
        <v>0</v>
      </c>
      <c r="AB189" s="602" t="str">
        <f t="shared" si="50"/>
        <v>V</v>
      </c>
      <c r="AC189" s="853" t="s">
        <v>877</v>
      </c>
      <c r="AD189" s="603">
        <f>(T189+U189+V189)*'1.0-Contractblad'!$K$69</f>
        <v>0</v>
      </c>
      <c r="AE189" s="603"/>
      <c r="AF189" s="58">
        <f t="shared" si="51"/>
        <v>0</v>
      </c>
      <c r="AG189" s="58">
        <f t="shared" si="57"/>
        <v>0</v>
      </c>
      <c r="AH189" s="58" t="str">
        <f t="shared" si="58"/>
        <v>3253-253</v>
      </c>
    </row>
    <row r="190" spans="1:34" ht="13">
      <c r="A190" s="134"/>
      <c r="B190" s="470"/>
      <c r="C190" s="471"/>
      <c r="D190" s="859">
        <f>VLOOKUP(E190,'1.1a-Jaarprijzen'!B:G,6,FALSE)</f>
        <v>2</v>
      </c>
      <c r="E190" s="845" t="s">
        <v>866</v>
      </c>
      <c r="F190" s="798" t="s">
        <v>469</v>
      </c>
      <c r="G190" s="799" t="s">
        <v>447</v>
      </c>
      <c r="H190" s="573" t="s">
        <v>878</v>
      </c>
      <c r="I190" s="573" t="str">
        <f t="shared" si="45"/>
        <v>sanitaire ruimte (toilet-/doucheruimte)</v>
      </c>
      <c r="J190" s="694" t="s">
        <v>889</v>
      </c>
      <c r="K190" s="800"/>
      <c r="L190" s="800"/>
      <c r="M190" s="867">
        <v>4253</v>
      </c>
      <c r="N190" s="573"/>
      <c r="O190" s="869"/>
      <c r="P190" s="869"/>
      <c r="Q190" s="866">
        <f t="shared" si="52"/>
        <v>253</v>
      </c>
      <c r="R190" s="600">
        <v>1</v>
      </c>
      <c r="S190" s="600">
        <v>1</v>
      </c>
      <c r="T190" s="468">
        <f t="shared" si="53"/>
        <v>0</v>
      </c>
      <c r="U190" s="468">
        <f t="shared" si="54"/>
        <v>0</v>
      </c>
      <c r="V190" s="468">
        <f t="shared" si="55"/>
        <v>0</v>
      </c>
      <c r="W190" s="468">
        <f t="shared" si="56"/>
        <v>0</v>
      </c>
      <c r="X190" s="601">
        <f t="shared" si="46"/>
        <v>0</v>
      </c>
      <c r="Y190" s="601">
        <f t="shared" si="47"/>
        <v>0</v>
      </c>
      <c r="Z190" s="601">
        <f t="shared" si="48"/>
        <v>0</v>
      </c>
      <c r="AA190" s="601">
        <f t="shared" si="49"/>
        <v>0</v>
      </c>
      <c r="AB190" s="602" t="str">
        <f t="shared" si="50"/>
        <v>S</v>
      </c>
      <c r="AC190" s="853" t="s">
        <v>877</v>
      </c>
      <c r="AD190" s="603">
        <f>(T190+U190+V190)*'1.0-Contractblad'!$K$69</f>
        <v>0</v>
      </c>
      <c r="AE190" s="603"/>
      <c r="AF190" s="58">
        <f t="shared" si="51"/>
        <v>0</v>
      </c>
      <c r="AG190" s="58">
        <f t="shared" si="57"/>
        <v>0</v>
      </c>
      <c r="AH190" s="58" t="str">
        <f t="shared" si="58"/>
        <v>4253-253</v>
      </c>
    </row>
    <row r="191" spans="1:34" ht="13">
      <c r="A191" s="134"/>
      <c r="B191" s="470"/>
      <c r="C191" s="471"/>
      <c r="D191" s="859">
        <f>VLOOKUP(E191,'1.1a-Jaarprijzen'!B:G,6,FALSE)</f>
        <v>2</v>
      </c>
      <c r="E191" s="845" t="s">
        <v>866</v>
      </c>
      <c r="F191" s="798" t="s">
        <v>469</v>
      </c>
      <c r="G191" s="799" t="s">
        <v>448</v>
      </c>
      <c r="H191" s="573" t="s">
        <v>879</v>
      </c>
      <c r="I191" s="573" t="str">
        <f t="shared" si="45"/>
        <v>sanitaire ruimte (toilet-/doucheruimte)</v>
      </c>
      <c r="J191" s="694" t="s">
        <v>889</v>
      </c>
      <c r="K191" s="800"/>
      <c r="L191" s="800"/>
      <c r="M191" s="867">
        <v>4253</v>
      </c>
      <c r="N191" s="573"/>
      <c r="O191" s="869"/>
      <c r="P191" s="869"/>
      <c r="Q191" s="866">
        <f t="shared" si="52"/>
        <v>253</v>
      </c>
      <c r="R191" s="600">
        <v>1</v>
      </c>
      <c r="S191" s="600">
        <v>1</v>
      </c>
      <c r="T191" s="468">
        <f t="shared" si="53"/>
        <v>0</v>
      </c>
      <c r="U191" s="468">
        <f t="shared" si="54"/>
        <v>0</v>
      </c>
      <c r="V191" s="468">
        <f t="shared" si="55"/>
        <v>0</v>
      </c>
      <c r="W191" s="468">
        <f t="shared" si="56"/>
        <v>0</v>
      </c>
      <c r="X191" s="601">
        <f t="shared" si="46"/>
        <v>0</v>
      </c>
      <c r="Y191" s="601">
        <f t="shared" si="47"/>
        <v>0</v>
      </c>
      <c r="Z191" s="601">
        <f t="shared" si="48"/>
        <v>0</v>
      </c>
      <c r="AA191" s="601">
        <f t="shared" si="49"/>
        <v>0</v>
      </c>
      <c r="AB191" s="602" t="str">
        <f t="shared" si="50"/>
        <v>S</v>
      </c>
      <c r="AC191" s="853" t="s">
        <v>877</v>
      </c>
      <c r="AD191" s="603">
        <f>(T191+U191+V191)*'1.0-Contractblad'!$K$69</f>
        <v>0</v>
      </c>
      <c r="AE191" s="603"/>
      <c r="AF191" s="58">
        <f t="shared" si="51"/>
        <v>0</v>
      </c>
      <c r="AG191" s="58">
        <f t="shared" si="57"/>
        <v>0</v>
      </c>
      <c r="AH191" s="58" t="str">
        <f t="shared" si="58"/>
        <v>4253-253</v>
      </c>
    </row>
    <row r="192" spans="1:34" ht="13">
      <c r="A192" s="134"/>
      <c r="B192" s="470"/>
      <c r="C192" s="471"/>
      <c r="D192" s="859">
        <f>VLOOKUP(E192,'1.1a-Jaarprijzen'!B:G,6,FALSE)</f>
        <v>2</v>
      </c>
      <c r="E192" s="845" t="s">
        <v>866</v>
      </c>
      <c r="F192" s="798" t="s">
        <v>469</v>
      </c>
      <c r="G192" s="799" t="s">
        <v>449</v>
      </c>
      <c r="H192" s="573" t="s">
        <v>879</v>
      </c>
      <c r="I192" s="573" t="str">
        <f t="shared" si="45"/>
        <v>sanitaire ruimte (toilet-/doucheruimte)</v>
      </c>
      <c r="J192" s="694" t="s">
        <v>889</v>
      </c>
      <c r="K192" s="800"/>
      <c r="L192" s="800"/>
      <c r="M192" s="867">
        <v>4253</v>
      </c>
      <c r="N192" s="573"/>
      <c r="O192" s="869"/>
      <c r="P192" s="869"/>
      <c r="Q192" s="866">
        <f t="shared" si="52"/>
        <v>253</v>
      </c>
      <c r="R192" s="600">
        <v>1</v>
      </c>
      <c r="S192" s="600">
        <v>1</v>
      </c>
      <c r="T192" s="468">
        <f t="shared" si="53"/>
        <v>0</v>
      </c>
      <c r="U192" s="468">
        <f t="shared" si="54"/>
        <v>0</v>
      </c>
      <c r="V192" s="468">
        <f t="shared" si="55"/>
        <v>0</v>
      </c>
      <c r="W192" s="468">
        <f t="shared" si="56"/>
        <v>0</v>
      </c>
      <c r="X192" s="601">
        <f t="shared" si="46"/>
        <v>0</v>
      </c>
      <c r="Y192" s="601">
        <f t="shared" si="47"/>
        <v>0</v>
      </c>
      <c r="Z192" s="601">
        <f t="shared" si="48"/>
        <v>0</v>
      </c>
      <c r="AA192" s="601">
        <f t="shared" si="49"/>
        <v>0</v>
      </c>
      <c r="AB192" s="602" t="str">
        <f t="shared" si="50"/>
        <v>S</v>
      </c>
      <c r="AC192" s="853" t="s">
        <v>877</v>
      </c>
      <c r="AD192" s="603">
        <f>(T192+U192+V192)*'1.0-Contractblad'!$K$69</f>
        <v>0</v>
      </c>
      <c r="AE192" s="603"/>
      <c r="AF192" s="58">
        <f t="shared" si="51"/>
        <v>0</v>
      </c>
      <c r="AG192" s="58">
        <f t="shared" si="57"/>
        <v>0</v>
      </c>
      <c r="AH192" s="58" t="str">
        <f t="shared" si="58"/>
        <v>4253-253</v>
      </c>
    </row>
    <row r="193" spans="1:34" ht="13">
      <c r="A193" s="134"/>
      <c r="B193" s="470"/>
      <c r="C193" s="471"/>
      <c r="D193" s="859">
        <f>VLOOKUP(E193,'1.1a-Jaarprijzen'!B:G,6,FALSE)</f>
        <v>2</v>
      </c>
      <c r="E193" s="845" t="s">
        <v>866</v>
      </c>
      <c r="F193" s="798" t="s">
        <v>469</v>
      </c>
      <c r="G193" s="799" t="s">
        <v>611</v>
      </c>
      <c r="H193" s="573" t="s">
        <v>880</v>
      </c>
      <c r="I193" s="573" t="str">
        <f t="shared" si="45"/>
        <v>sanitaire ruimte (toilet-/doucheruimte)</v>
      </c>
      <c r="J193" s="694" t="s">
        <v>889</v>
      </c>
      <c r="K193" s="800">
        <v>7.97</v>
      </c>
      <c r="L193" s="800"/>
      <c r="M193" s="867">
        <v>4253</v>
      </c>
      <c r="N193" s="868"/>
      <c r="O193" s="869"/>
      <c r="P193" s="869"/>
      <c r="Q193" s="866">
        <f t="shared" si="52"/>
        <v>253</v>
      </c>
      <c r="R193" s="600">
        <v>1</v>
      </c>
      <c r="S193" s="600">
        <v>1</v>
      </c>
      <c r="T193" s="468">
        <f t="shared" si="53"/>
        <v>0</v>
      </c>
      <c r="U193" s="468">
        <f t="shared" si="54"/>
        <v>0</v>
      </c>
      <c r="V193" s="468">
        <f t="shared" si="55"/>
        <v>0</v>
      </c>
      <c r="W193" s="468">
        <f t="shared" si="56"/>
        <v>0</v>
      </c>
      <c r="X193" s="601">
        <f t="shared" si="46"/>
        <v>0</v>
      </c>
      <c r="Y193" s="601">
        <f t="shared" si="47"/>
        <v>0</v>
      </c>
      <c r="Z193" s="601">
        <f t="shared" si="48"/>
        <v>0</v>
      </c>
      <c r="AA193" s="601">
        <f t="shared" si="49"/>
        <v>0</v>
      </c>
      <c r="AB193" s="602" t="str">
        <f t="shared" si="50"/>
        <v>S</v>
      </c>
      <c r="AC193" s="847"/>
      <c r="AD193" s="603">
        <f>(T193+U193+V193)*'1.0-Contractblad'!$K$69</f>
        <v>0</v>
      </c>
      <c r="AE193" s="603"/>
      <c r="AF193" s="58">
        <f t="shared" si="51"/>
        <v>0</v>
      </c>
      <c r="AG193" s="58">
        <f t="shared" si="57"/>
        <v>2016.4099999999999</v>
      </c>
      <c r="AH193" s="58" t="str">
        <f t="shared" si="58"/>
        <v>4253-253</v>
      </c>
    </row>
    <row r="194" spans="1:34" ht="13">
      <c r="A194" s="134"/>
      <c r="B194" s="470"/>
      <c r="C194" s="471"/>
      <c r="D194" s="859">
        <f>VLOOKUP(E194,'1.1a-Jaarprijzen'!B:G,6,FALSE)</f>
        <v>2</v>
      </c>
      <c r="E194" s="845" t="s">
        <v>866</v>
      </c>
      <c r="F194" s="798" t="s">
        <v>469</v>
      </c>
      <c r="G194" s="799" t="s">
        <v>619</v>
      </c>
      <c r="H194" s="573" t="s">
        <v>881</v>
      </c>
      <c r="I194" s="573" t="str">
        <f t="shared" si="45"/>
        <v>niet van toepassing</v>
      </c>
      <c r="J194" s="694" t="s">
        <v>890</v>
      </c>
      <c r="K194" s="800"/>
      <c r="L194" s="800">
        <v>6.45</v>
      </c>
      <c r="M194" s="867" t="s">
        <v>19</v>
      </c>
      <c r="N194" s="868"/>
      <c r="O194" s="869"/>
      <c r="P194" s="869"/>
      <c r="Q194" s="866">
        <f t="shared" si="52"/>
        <v>0</v>
      </c>
      <c r="R194" s="600">
        <v>1</v>
      </c>
      <c r="S194" s="600">
        <v>1</v>
      </c>
      <c r="T194" s="468">
        <f t="shared" si="53"/>
        <v>0</v>
      </c>
      <c r="U194" s="468">
        <f t="shared" si="54"/>
        <v>0</v>
      </c>
      <c r="V194" s="468">
        <f t="shared" si="55"/>
        <v>0</v>
      </c>
      <c r="W194" s="468">
        <f t="shared" si="56"/>
        <v>0</v>
      </c>
      <c r="X194" s="601">
        <f t="shared" si="46"/>
        <v>0</v>
      </c>
      <c r="Y194" s="601">
        <f t="shared" si="47"/>
        <v>0</v>
      </c>
      <c r="Z194" s="601">
        <f t="shared" si="48"/>
        <v>0</v>
      </c>
      <c r="AA194" s="601">
        <f t="shared" si="49"/>
        <v>0</v>
      </c>
      <c r="AB194" s="602">
        <f t="shared" si="50"/>
        <v>0</v>
      </c>
      <c r="AC194" s="847"/>
      <c r="AD194" s="603">
        <f>(T194+U194+V194)*'1.0-Contractblad'!$K$69</f>
        <v>0</v>
      </c>
      <c r="AE194" s="603"/>
      <c r="AF194" s="58">
        <f t="shared" si="51"/>
        <v>0</v>
      </c>
      <c r="AG194" s="58">
        <f t="shared" si="57"/>
        <v>0</v>
      </c>
      <c r="AH194" s="58" t="str">
        <f t="shared" si="58"/>
        <v>nvt-0</v>
      </c>
    </row>
    <row r="195" spans="1:34" ht="13">
      <c r="A195" s="134"/>
      <c r="B195" s="470"/>
      <c r="C195" s="471"/>
      <c r="D195" s="859">
        <f>VLOOKUP(E195,'1.1a-Jaarprijzen'!B:G,6,FALSE)</f>
        <v>2</v>
      </c>
      <c r="E195" s="845" t="s">
        <v>866</v>
      </c>
      <c r="F195" s="798" t="s">
        <v>469</v>
      </c>
      <c r="G195" s="799" t="s">
        <v>621</v>
      </c>
      <c r="H195" s="573" t="s">
        <v>882</v>
      </c>
      <c r="I195" s="573" t="str">
        <f t="shared" si="45"/>
        <v>sanitaire ruimte (toilet-/doucheruimte)</v>
      </c>
      <c r="J195" s="694" t="s">
        <v>889</v>
      </c>
      <c r="K195" s="800">
        <v>3.7</v>
      </c>
      <c r="L195" s="800"/>
      <c r="M195" s="867">
        <v>4253</v>
      </c>
      <c r="N195" s="868"/>
      <c r="O195" s="869"/>
      <c r="P195" s="869"/>
      <c r="Q195" s="866">
        <f t="shared" si="52"/>
        <v>253</v>
      </c>
      <c r="R195" s="600">
        <v>1</v>
      </c>
      <c r="S195" s="600">
        <v>1</v>
      </c>
      <c r="T195" s="468">
        <f t="shared" si="53"/>
        <v>0</v>
      </c>
      <c r="U195" s="468">
        <f t="shared" si="54"/>
        <v>0</v>
      </c>
      <c r="V195" s="468">
        <f t="shared" si="55"/>
        <v>0</v>
      </c>
      <c r="W195" s="468">
        <f t="shared" si="56"/>
        <v>0</v>
      </c>
      <c r="X195" s="601">
        <f t="shared" si="46"/>
        <v>0</v>
      </c>
      <c r="Y195" s="601">
        <f t="shared" si="47"/>
        <v>0</v>
      </c>
      <c r="Z195" s="601">
        <f t="shared" si="48"/>
        <v>0</v>
      </c>
      <c r="AA195" s="601">
        <f t="shared" si="49"/>
        <v>0</v>
      </c>
      <c r="AB195" s="602" t="str">
        <f t="shared" si="50"/>
        <v>S</v>
      </c>
      <c r="AC195" s="847"/>
      <c r="AD195" s="603">
        <f>(T195+U195+V195)*'1.0-Contractblad'!$K$69</f>
        <v>0</v>
      </c>
      <c r="AE195" s="603"/>
      <c r="AF195" s="58">
        <f t="shared" si="51"/>
        <v>0</v>
      </c>
      <c r="AG195" s="58">
        <f t="shared" si="57"/>
        <v>936.1</v>
      </c>
      <c r="AH195" s="58" t="str">
        <f t="shared" si="58"/>
        <v>4253-253</v>
      </c>
    </row>
    <row r="196" spans="1:34" ht="13">
      <c r="A196" s="134"/>
      <c r="B196" s="470"/>
      <c r="C196" s="471"/>
      <c r="D196" s="859">
        <f>VLOOKUP(E196,'1.1a-Jaarprijzen'!B:G,6,FALSE)</f>
        <v>2</v>
      </c>
      <c r="E196" s="845" t="s">
        <v>866</v>
      </c>
      <c r="F196" s="798" t="s">
        <v>469</v>
      </c>
      <c r="G196" s="799" t="s">
        <v>623</v>
      </c>
      <c r="H196" s="573" t="s">
        <v>883</v>
      </c>
      <c r="I196" s="573" t="str">
        <f t="shared" si="45"/>
        <v>sanitaire ruimte (toilet-/doucheruimte)</v>
      </c>
      <c r="J196" s="694" t="s">
        <v>889</v>
      </c>
      <c r="K196" s="800">
        <v>6.41</v>
      </c>
      <c r="L196" s="800"/>
      <c r="M196" s="867">
        <v>4253</v>
      </c>
      <c r="N196" s="868"/>
      <c r="O196" s="869"/>
      <c r="P196" s="869"/>
      <c r="Q196" s="866">
        <f t="shared" si="52"/>
        <v>253</v>
      </c>
      <c r="R196" s="600">
        <v>1</v>
      </c>
      <c r="S196" s="600">
        <v>1</v>
      </c>
      <c r="T196" s="468">
        <f t="shared" si="53"/>
        <v>0</v>
      </c>
      <c r="U196" s="468">
        <f t="shared" si="54"/>
        <v>0</v>
      </c>
      <c r="V196" s="468">
        <f t="shared" si="55"/>
        <v>0</v>
      </c>
      <c r="W196" s="468">
        <f t="shared" si="56"/>
        <v>0</v>
      </c>
      <c r="X196" s="601">
        <f t="shared" si="46"/>
        <v>0</v>
      </c>
      <c r="Y196" s="601">
        <f t="shared" si="47"/>
        <v>0</v>
      </c>
      <c r="Z196" s="601">
        <f t="shared" si="48"/>
        <v>0</v>
      </c>
      <c r="AA196" s="601">
        <f t="shared" si="49"/>
        <v>0</v>
      </c>
      <c r="AB196" s="602" t="str">
        <f t="shared" si="50"/>
        <v>S</v>
      </c>
      <c r="AC196" s="847"/>
      <c r="AD196" s="603">
        <f>(T196+U196+V196)*'1.0-Contractblad'!$K$69</f>
        <v>0</v>
      </c>
      <c r="AE196" s="603"/>
      <c r="AF196" s="58">
        <f t="shared" si="51"/>
        <v>0</v>
      </c>
      <c r="AG196" s="58">
        <f t="shared" si="57"/>
        <v>1621.73</v>
      </c>
      <c r="AH196" s="58" t="str">
        <f t="shared" si="58"/>
        <v>4253-253</v>
      </c>
    </row>
    <row r="197" spans="1:34" ht="13">
      <c r="A197" s="134"/>
      <c r="B197" s="470"/>
      <c r="C197" s="471"/>
      <c r="D197" s="859">
        <f>VLOOKUP(E197,'1.1a-Jaarprijzen'!B:G,6,FALSE)</f>
        <v>2</v>
      </c>
      <c r="E197" s="845" t="s">
        <v>866</v>
      </c>
      <c r="F197" s="798" t="s">
        <v>469</v>
      </c>
      <c r="G197" s="799" t="s">
        <v>624</v>
      </c>
      <c r="H197" s="845" t="s">
        <v>884</v>
      </c>
      <c r="I197" s="573" t="str">
        <f t="shared" si="45"/>
        <v>sanitaire ruimte (toilet-/doucheruimte)</v>
      </c>
      <c r="J197" s="694" t="s">
        <v>889</v>
      </c>
      <c r="K197" s="800">
        <v>20.6</v>
      </c>
      <c r="L197" s="800"/>
      <c r="M197" s="867">
        <v>4253</v>
      </c>
      <c r="N197" s="868"/>
      <c r="O197" s="869"/>
      <c r="P197" s="869"/>
      <c r="Q197" s="866">
        <f t="shared" si="52"/>
        <v>253</v>
      </c>
      <c r="R197" s="600">
        <v>1</v>
      </c>
      <c r="S197" s="600">
        <v>1</v>
      </c>
      <c r="T197" s="468">
        <f t="shared" si="53"/>
        <v>0</v>
      </c>
      <c r="U197" s="468">
        <f t="shared" si="54"/>
        <v>0</v>
      </c>
      <c r="V197" s="468">
        <f t="shared" si="55"/>
        <v>0</v>
      </c>
      <c r="W197" s="468">
        <f t="shared" si="56"/>
        <v>0</v>
      </c>
      <c r="X197" s="601">
        <f t="shared" si="46"/>
        <v>0</v>
      </c>
      <c r="Y197" s="601">
        <f t="shared" si="47"/>
        <v>0</v>
      </c>
      <c r="Z197" s="601">
        <f t="shared" si="48"/>
        <v>0</v>
      </c>
      <c r="AA197" s="601">
        <f t="shared" si="49"/>
        <v>0</v>
      </c>
      <c r="AB197" s="602" t="str">
        <f t="shared" si="50"/>
        <v>S</v>
      </c>
      <c r="AC197" s="847"/>
      <c r="AD197" s="603">
        <f>(T197+U197+V197)*'1.0-Contractblad'!$K$69</f>
        <v>0</v>
      </c>
      <c r="AE197" s="603"/>
      <c r="AF197" s="58">
        <f t="shared" si="51"/>
        <v>0</v>
      </c>
      <c r="AG197" s="58">
        <f t="shared" si="57"/>
        <v>5211.8</v>
      </c>
      <c r="AH197" s="58" t="str">
        <f t="shared" si="58"/>
        <v>4253-253</v>
      </c>
    </row>
    <row r="198" spans="1:34" ht="13">
      <c r="A198" s="134"/>
      <c r="B198" s="470"/>
      <c r="C198" s="471"/>
      <c r="D198" s="859">
        <f>VLOOKUP(E198,'1.1a-Jaarprijzen'!B:G,6,FALSE)</f>
        <v>2</v>
      </c>
      <c r="E198" s="845" t="s">
        <v>866</v>
      </c>
      <c r="F198" s="798" t="s">
        <v>469</v>
      </c>
      <c r="G198" s="799" t="s">
        <v>625</v>
      </c>
      <c r="H198" s="573" t="s">
        <v>878</v>
      </c>
      <c r="I198" s="573" t="str">
        <f t="shared" si="45"/>
        <v>sanitaire ruimte (toilet-/doucheruimte)</v>
      </c>
      <c r="J198" s="694" t="s">
        <v>889</v>
      </c>
      <c r="K198" s="800">
        <v>5.04</v>
      </c>
      <c r="L198" s="800" t="s">
        <v>118</v>
      </c>
      <c r="M198" s="867">
        <v>4253</v>
      </c>
      <c r="N198" s="868"/>
      <c r="O198" s="869"/>
      <c r="P198" s="869"/>
      <c r="Q198" s="866">
        <f t="shared" si="52"/>
        <v>253</v>
      </c>
      <c r="R198" s="600">
        <v>1</v>
      </c>
      <c r="S198" s="600">
        <v>1</v>
      </c>
      <c r="T198" s="468">
        <f t="shared" si="53"/>
        <v>0</v>
      </c>
      <c r="U198" s="468">
        <f t="shared" si="54"/>
        <v>0</v>
      </c>
      <c r="V198" s="468">
        <f t="shared" si="55"/>
        <v>0</v>
      </c>
      <c r="W198" s="468">
        <f t="shared" si="56"/>
        <v>0</v>
      </c>
      <c r="X198" s="601">
        <f t="shared" si="46"/>
        <v>0</v>
      </c>
      <c r="Y198" s="601">
        <f t="shared" si="47"/>
        <v>0</v>
      </c>
      <c r="Z198" s="601">
        <f t="shared" si="48"/>
        <v>0</v>
      </c>
      <c r="AA198" s="601">
        <f t="shared" si="49"/>
        <v>0</v>
      </c>
      <c r="AB198" s="602" t="str">
        <f t="shared" si="50"/>
        <v>S</v>
      </c>
      <c r="AC198" s="847"/>
      <c r="AD198" s="603">
        <f>(T198+U198+V198)*'1.0-Contractblad'!$K$69</f>
        <v>0</v>
      </c>
      <c r="AE198" s="603"/>
      <c r="AF198" s="58">
        <f t="shared" si="51"/>
        <v>0</v>
      </c>
      <c r="AG198" s="58">
        <f t="shared" si="57"/>
        <v>1275.1200000000001</v>
      </c>
      <c r="AH198" s="58" t="str">
        <f t="shared" si="58"/>
        <v>4253-253</v>
      </c>
    </row>
    <row r="199" spans="1:34" ht="13">
      <c r="A199" s="134"/>
      <c r="B199" s="470"/>
      <c r="C199" s="471"/>
      <c r="D199" s="859">
        <f>VLOOKUP(E199,'1.1a-Jaarprijzen'!B:G,6,FALSE)</f>
        <v>2</v>
      </c>
      <c r="E199" s="845" t="s">
        <v>866</v>
      </c>
      <c r="F199" s="798" t="s">
        <v>469</v>
      </c>
      <c r="G199" s="799" t="s">
        <v>627</v>
      </c>
      <c r="H199" s="573" t="s">
        <v>885</v>
      </c>
      <c r="I199" s="573" t="str">
        <f t="shared" si="45"/>
        <v>niet van toepassing</v>
      </c>
      <c r="J199" s="694" t="s">
        <v>455</v>
      </c>
      <c r="K199" s="800"/>
      <c r="L199" s="800">
        <v>1.41</v>
      </c>
      <c r="M199" s="867" t="s">
        <v>19</v>
      </c>
      <c r="N199" s="868"/>
      <c r="O199" s="869"/>
      <c r="P199" s="869"/>
      <c r="Q199" s="866">
        <f t="shared" si="52"/>
        <v>0</v>
      </c>
      <c r="R199" s="600">
        <v>1</v>
      </c>
      <c r="S199" s="600">
        <v>1</v>
      </c>
      <c r="T199" s="468">
        <f t="shared" si="53"/>
        <v>0</v>
      </c>
      <c r="U199" s="468">
        <f t="shared" si="54"/>
        <v>0</v>
      </c>
      <c r="V199" s="468">
        <f t="shared" si="55"/>
        <v>0</v>
      </c>
      <c r="W199" s="468">
        <f t="shared" si="56"/>
        <v>0</v>
      </c>
      <c r="X199" s="601">
        <f t="shared" si="46"/>
        <v>0</v>
      </c>
      <c r="Y199" s="601">
        <f t="shared" si="47"/>
        <v>0</v>
      </c>
      <c r="Z199" s="601">
        <f t="shared" si="48"/>
        <v>0</v>
      </c>
      <c r="AA199" s="601">
        <f t="shared" si="49"/>
        <v>0</v>
      </c>
      <c r="AB199" s="602">
        <f t="shared" si="50"/>
        <v>0</v>
      </c>
      <c r="AC199" s="847"/>
      <c r="AD199" s="603">
        <f>(T199+U199+V199)*'1.0-Contractblad'!$K$69</f>
        <v>0</v>
      </c>
      <c r="AE199" s="603"/>
      <c r="AF199" s="58">
        <f t="shared" si="51"/>
        <v>0</v>
      </c>
      <c r="AG199" s="58">
        <f t="shared" si="57"/>
        <v>0</v>
      </c>
      <c r="AH199" s="58" t="str">
        <f t="shared" si="58"/>
        <v>nvt-0</v>
      </c>
    </row>
    <row r="200" spans="1:34" ht="13">
      <c r="A200" s="134"/>
      <c r="B200" s="470"/>
      <c r="C200" s="471"/>
      <c r="D200" s="859">
        <f>VLOOKUP(E200,'1.1a-Jaarprijzen'!B:G,6,FALSE)</f>
        <v>2</v>
      </c>
      <c r="E200" s="845" t="s">
        <v>866</v>
      </c>
      <c r="F200" s="798" t="s">
        <v>469</v>
      </c>
      <c r="G200" s="799" t="s">
        <v>628</v>
      </c>
      <c r="H200" s="573" t="s">
        <v>885</v>
      </c>
      <c r="I200" s="573" t="str">
        <f t="shared" si="45"/>
        <v>niet van toepassing</v>
      </c>
      <c r="J200" s="694" t="s">
        <v>455</v>
      </c>
      <c r="K200" s="800"/>
      <c r="L200" s="800">
        <v>2.64</v>
      </c>
      <c r="M200" s="867" t="s">
        <v>19</v>
      </c>
      <c r="N200" s="868"/>
      <c r="O200" s="869"/>
      <c r="P200" s="869"/>
      <c r="Q200" s="866">
        <f t="shared" si="52"/>
        <v>0</v>
      </c>
      <c r="R200" s="600">
        <v>1</v>
      </c>
      <c r="S200" s="600">
        <v>1</v>
      </c>
      <c r="T200" s="468">
        <f t="shared" si="53"/>
        <v>0</v>
      </c>
      <c r="U200" s="468">
        <f t="shared" si="54"/>
        <v>0</v>
      </c>
      <c r="V200" s="468">
        <f t="shared" si="55"/>
        <v>0</v>
      </c>
      <c r="W200" s="468">
        <f t="shared" si="56"/>
        <v>0</v>
      </c>
      <c r="X200" s="601">
        <f t="shared" si="46"/>
        <v>0</v>
      </c>
      <c r="Y200" s="601">
        <f t="shared" si="47"/>
        <v>0</v>
      </c>
      <c r="Z200" s="601">
        <f t="shared" si="48"/>
        <v>0</v>
      </c>
      <c r="AA200" s="601">
        <f t="shared" si="49"/>
        <v>0</v>
      </c>
      <c r="AB200" s="602">
        <f t="shared" si="50"/>
        <v>0</v>
      </c>
      <c r="AC200" s="847"/>
      <c r="AD200" s="603">
        <f>(T200+U200+V200)*'1.0-Contractblad'!$K$69</f>
        <v>0</v>
      </c>
      <c r="AE200" s="603"/>
      <c r="AF200" s="58">
        <f t="shared" si="51"/>
        <v>0</v>
      </c>
      <c r="AG200" s="58">
        <f t="shared" si="57"/>
        <v>0</v>
      </c>
      <c r="AH200" s="58" t="str">
        <f t="shared" si="58"/>
        <v>nvt-0</v>
      </c>
    </row>
    <row r="201" spans="1:34" ht="13">
      <c r="A201" s="134"/>
      <c r="B201" s="470"/>
      <c r="C201" s="471"/>
      <c r="D201" s="859">
        <f>VLOOKUP(E201,'1.1a-Jaarprijzen'!B:G,6,FALSE)</f>
        <v>2</v>
      </c>
      <c r="E201" s="845" t="s">
        <v>866</v>
      </c>
      <c r="F201" s="798" t="s">
        <v>469</v>
      </c>
      <c r="G201" s="799" t="s">
        <v>708</v>
      </c>
      <c r="H201" s="573" t="s">
        <v>514</v>
      </c>
      <c r="I201" s="573" t="str">
        <f t="shared" si="45"/>
        <v>administratieve -, personeels- en vergaderruimte</v>
      </c>
      <c r="J201" s="694" t="s">
        <v>455</v>
      </c>
      <c r="K201" s="800">
        <v>16.3</v>
      </c>
      <c r="L201" s="800"/>
      <c r="M201" s="867">
        <v>1253</v>
      </c>
      <c r="N201" s="868"/>
      <c r="O201" s="869"/>
      <c r="P201" s="869"/>
      <c r="Q201" s="866">
        <f t="shared" si="52"/>
        <v>253</v>
      </c>
      <c r="R201" s="600">
        <v>1</v>
      </c>
      <c r="S201" s="600">
        <v>1</v>
      </c>
      <c r="T201" s="468">
        <f t="shared" si="53"/>
        <v>0</v>
      </c>
      <c r="U201" s="468">
        <f t="shared" si="54"/>
        <v>0</v>
      </c>
      <c r="V201" s="468">
        <f t="shared" si="55"/>
        <v>0</v>
      </c>
      <c r="W201" s="468">
        <f t="shared" si="56"/>
        <v>0</v>
      </c>
      <c r="X201" s="601">
        <f t="shared" si="46"/>
        <v>0</v>
      </c>
      <c r="Y201" s="601">
        <f t="shared" si="47"/>
        <v>0</v>
      </c>
      <c r="Z201" s="601">
        <f t="shared" si="48"/>
        <v>0</v>
      </c>
      <c r="AA201" s="601">
        <f t="shared" si="49"/>
        <v>0</v>
      </c>
      <c r="AB201" s="602" t="str">
        <f t="shared" si="50"/>
        <v>B</v>
      </c>
      <c r="AC201" s="847"/>
      <c r="AD201" s="603">
        <f>(T201+U201+V201)*'1.0-Contractblad'!$K$69</f>
        <v>0</v>
      </c>
      <c r="AE201" s="603"/>
      <c r="AF201" s="58">
        <f t="shared" si="51"/>
        <v>0</v>
      </c>
      <c r="AG201" s="58">
        <f t="shared" si="57"/>
        <v>4123.9000000000005</v>
      </c>
      <c r="AH201" s="58" t="str">
        <f t="shared" si="58"/>
        <v>1253-253</v>
      </c>
    </row>
    <row r="202" spans="1:34" ht="13">
      <c r="A202" s="134"/>
      <c r="B202" s="470"/>
      <c r="C202" s="471"/>
      <c r="D202" s="859">
        <f>VLOOKUP(E202,'1.1a-Jaarprijzen'!B:G,6,FALSE)</f>
        <v>2</v>
      </c>
      <c r="E202" s="845" t="s">
        <v>866</v>
      </c>
      <c r="F202" s="798" t="s">
        <v>469</v>
      </c>
      <c r="G202" s="799" t="s">
        <v>709</v>
      </c>
      <c r="H202" s="573" t="s">
        <v>886</v>
      </c>
      <c r="I202" s="573" t="str">
        <f t="shared" si="45"/>
        <v>niet van toepassing</v>
      </c>
      <c r="J202" s="694" t="s">
        <v>326</v>
      </c>
      <c r="K202" s="800"/>
      <c r="L202" s="800">
        <v>540</v>
      </c>
      <c r="M202" s="867" t="s">
        <v>19</v>
      </c>
      <c r="N202" s="868"/>
      <c r="O202" s="869"/>
      <c r="P202" s="869"/>
      <c r="Q202" s="866">
        <f t="shared" si="52"/>
        <v>0</v>
      </c>
      <c r="R202" s="600">
        <v>1</v>
      </c>
      <c r="S202" s="600">
        <v>1</v>
      </c>
      <c r="T202" s="468">
        <f t="shared" si="53"/>
        <v>0</v>
      </c>
      <c r="U202" s="468">
        <f t="shared" si="54"/>
        <v>0</v>
      </c>
      <c r="V202" s="468">
        <f t="shared" si="55"/>
        <v>0</v>
      </c>
      <c r="W202" s="468">
        <f t="shared" si="56"/>
        <v>0</v>
      </c>
      <c r="X202" s="601">
        <f t="shared" si="46"/>
        <v>0</v>
      </c>
      <c r="Y202" s="601">
        <f t="shared" si="47"/>
        <v>0</v>
      </c>
      <c r="Z202" s="601">
        <f t="shared" si="48"/>
        <v>0</v>
      </c>
      <c r="AA202" s="601">
        <f t="shared" si="49"/>
        <v>0</v>
      </c>
      <c r="AB202" s="602">
        <f t="shared" si="50"/>
        <v>0</v>
      </c>
      <c r="AC202" s="847"/>
      <c r="AD202" s="603">
        <f>(T202+U202+V202)*'1.0-Contractblad'!$K$69</f>
        <v>0</v>
      </c>
      <c r="AE202" s="603"/>
      <c r="AF202" s="58">
        <f t="shared" si="51"/>
        <v>0</v>
      </c>
      <c r="AG202" s="58">
        <f t="shared" si="57"/>
        <v>0</v>
      </c>
      <c r="AH202" s="58" t="str">
        <f t="shared" si="58"/>
        <v>nvt-0</v>
      </c>
    </row>
    <row r="203" spans="1:34" ht="13">
      <c r="A203" s="134"/>
      <c r="B203" s="470"/>
      <c r="C203" s="471"/>
      <c r="D203" s="859">
        <f>VLOOKUP(E203,'1.1a-Jaarprijzen'!B:G,6,FALSE)</f>
        <v>2</v>
      </c>
      <c r="E203" s="845" t="s">
        <v>866</v>
      </c>
      <c r="F203" s="798" t="s">
        <v>736</v>
      </c>
      <c r="G203" s="799" t="s">
        <v>456</v>
      </c>
      <c r="H203" s="573" t="s">
        <v>453</v>
      </c>
      <c r="I203" s="573" t="str">
        <f t="shared" si="45"/>
        <v>entree, gang, hal, repro, kopieer</v>
      </c>
      <c r="J203" s="694" t="s">
        <v>455</v>
      </c>
      <c r="K203" s="800">
        <v>3.43</v>
      </c>
      <c r="L203" s="800"/>
      <c r="M203" s="867">
        <v>3253</v>
      </c>
      <c r="N203" s="868"/>
      <c r="O203" s="869"/>
      <c r="P203" s="869"/>
      <c r="Q203" s="866">
        <f t="shared" si="52"/>
        <v>253</v>
      </c>
      <c r="R203" s="600">
        <v>1</v>
      </c>
      <c r="S203" s="600">
        <v>1</v>
      </c>
      <c r="T203" s="468">
        <f t="shared" si="53"/>
        <v>0</v>
      </c>
      <c r="U203" s="468">
        <f t="shared" si="54"/>
        <v>0</v>
      </c>
      <c r="V203" s="468">
        <f t="shared" si="55"/>
        <v>0</v>
      </c>
      <c r="W203" s="468">
        <f t="shared" si="56"/>
        <v>0</v>
      </c>
      <c r="X203" s="601">
        <f t="shared" si="46"/>
        <v>0</v>
      </c>
      <c r="Y203" s="601">
        <f t="shared" si="47"/>
        <v>0</v>
      </c>
      <c r="Z203" s="601">
        <f t="shared" si="48"/>
        <v>0</v>
      </c>
      <c r="AA203" s="601">
        <f t="shared" si="49"/>
        <v>0</v>
      </c>
      <c r="AB203" s="602" t="str">
        <f t="shared" si="50"/>
        <v>V</v>
      </c>
      <c r="AC203" s="847"/>
      <c r="AD203" s="603">
        <f>(T203+U203+V203)*'1.0-Contractblad'!$K$69</f>
        <v>0</v>
      </c>
      <c r="AE203" s="603"/>
      <c r="AF203" s="58">
        <f t="shared" si="51"/>
        <v>0</v>
      </c>
      <c r="AG203" s="58">
        <f t="shared" si="57"/>
        <v>867.79000000000008</v>
      </c>
      <c r="AH203" s="58" t="str">
        <f t="shared" si="58"/>
        <v>3253-253</v>
      </c>
    </row>
    <row r="204" spans="1:34" ht="13">
      <c r="A204" s="134"/>
      <c r="B204" s="470"/>
      <c r="C204" s="471"/>
      <c r="D204" s="859">
        <f>VLOOKUP(E204,'1.1a-Jaarprijzen'!B:G,6,FALSE)</f>
        <v>2</v>
      </c>
      <c r="E204" s="845" t="s">
        <v>866</v>
      </c>
      <c r="F204" s="798" t="s">
        <v>736</v>
      </c>
      <c r="G204" s="799" t="s">
        <v>457</v>
      </c>
      <c r="H204" s="573" t="s">
        <v>502</v>
      </c>
      <c r="I204" s="573" t="str">
        <f t="shared" si="45"/>
        <v>pantry, keuken, koffiecorner</v>
      </c>
      <c r="J204" s="694" t="s">
        <v>891</v>
      </c>
      <c r="K204" s="800">
        <v>45.9</v>
      </c>
      <c r="L204" s="800"/>
      <c r="M204" s="867">
        <v>5253</v>
      </c>
      <c r="N204" s="868"/>
      <c r="O204" s="869"/>
      <c r="P204" s="869"/>
      <c r="Q204" s="866">
        <f t="shared" si="52"/>
        <v>253</v>
      </c>
      <c r="R204" s="600">
        <v>1</v>
      </c>
      <c r="S204" s="600">
        <v>1</v>
      </c>
      <c r="T204" s="468">
        <f t="shared" si="53"/>
        <v>0</v>
      </c>
      <c r="U204" s="468">
        <f t="shared" si="54"/>
        <v>0</v>
      </c>
      <c r="V204" s="468">
        <f t="shared" si="55"/>
        <v>0</v>
      </c>
      <c r="W204" s="468">
        <f t="shared" si="56"/>
        <v>0</v>
      </c>
      <c r="X204" s="601">
        <f t="shared" si="46"/>
        <v>0</v>
      </c>
      <c r="Y204" s="601">
        <f t="shared" si="47"/>
        <v>0</v>
      </c>
      <c r="Z204" s="601">
        <f t="shared" si="48"/>
        <v>0</v>
      </c>
      <c r="AA204" s="601">
        <f t="shared" si="49"/>
        <v>0</v>
      </c>
      <c r="AB204" s="602" t="str">
        <f t="shared" si="50"/>
        <v>V</v>
      </c>
      <c r="AC204" s="847"/>
      <c r="AD204" s="603">
        <f>(T204+U204+V204)*'1.0-Contractblad'!$K$69</f>
        <v>0</v>
      </c>
      <c r="AE204" s="603"/>
      <c r="AF204" s="58">
        <f t="shared" si="51"/>
        <v>0</v>
      </c>
      <c r="AG204" s="58">
        <f t="shared" si="57"/>
        <v>11612.699999999999</v>
      </c>
      <c r="AH204" s="58" t="str">
        <f t="shared" si="58"/>
        <v>5253-253</v>
      </c>
    </row>
    <row r="205" spans="1:34" ht="13">
      <c r="A205" s="134"/>
      <c r="B205" s="470"/>
      <c r="C205" s="471"/>
      <c r="D205" s="859">
        <f>VLOOKUP(E205,'1.1a-Jaarprijzen'!B:G,6,FALSE)</f>
        <v>2</v>
      </c>
      <c r="E205" s="845" t="s">
        <v>866</v>
      </c>
      <c r="F205" s="798">
        <v>1</v>
      </c>
      <c r="G205" s="799" t="s">
        <v>458</v>
      </c>
      <c r="H205" s="573" t="s">
        <v>916</v>
      </c>
      <c r="I205" s="573" t="str">
        <f t="shared" si="45"/>
        <v>niet van toepassing</v>
      </c>
      <c r="J205" s="694" t="s">
        <v>890</v>
      </c>
      <c r="K205" s="800"/>
      <c r="L205" s="800">
        <v>9.27</v>
      </c>
      <c r="M205" s="867" t="s">
        <v>19</v>
      </c>
      <c r="N205" s="868"/>
      <c r="O205" s="869"/>
      <c r="P205" s="869"/>
      <c r="Q205" s="866">
        <f t="shared" si="52"/>
        <v>0</v>
      </c>
      <c r="R205" s="600">
        <v>1</v>
      </c>
      <c r="S205" s="600">
        <v>1</v>
      </c>
      <c r="T205" s="468">
        <f t="shared" si="53"/>
        <v>0</v>
      </c>
      <c r="U205" s="468">
        <f t="shared" si="54"/>
        <v>0</v>
      </c>
      <c r="V205" s="468">
        <f t="shared" si="55"/>
        <v>0</v>
      </c>
      <c r="W205" s="468">
        <f t="shared" si="56"/>
        <v>0</v>
      </c>
      <c r="X205" s="601">
        <f t="shared" si="46"/>
        <v>0</v>
      </c>
      <c r="Y205" s="601">
        <f t="shared" si="47"/>
        <v>0</v>
      </c>
      <c r="Z205" s="601">
        <f t="shared" si="48"/>
        <v>0</v>
      </c>
      <c r="AA205" s="601">
        <f t="shared" si="49"/>
        <v>0</v>
      </c>
      <c r="AB205" s="602">
        <f t="shared" si="50"/>
        <v>0</v>
      </c>
      <c r="AC205" s="847"/>
      <c r="AD205" s="603">
        <f>(T205+U205+V205)*'1.0-Contractblad'!$K$69</f>
        <v>0</v>
      </c>
      <c r="AE205" s="603"/>
      <c r="AF205" s="58">
        <f t="shared" si="51"/>
        <v>0</v>
      </c>
      <c r="AG205" s="58">
        <f t="shared" si="57"/>
        <v>0</v>
      </c>
      <c r="AH205" s="58" t="str">
        <f t="shared" si="58"/>
        <v>nvt-0</v>
      </c>
    </row>
    <row r="206" spans="1:34" ht="13">
      <c r="A206" s="134"/>
      <c r="B206" s="470"/>
      <c r="C206" s="471"/>
      <c r="D206" s="859">
        <f>VLOOKUP(E206,'1.1a-Jaarprijzen'!B:G,6,FALSE)</f>
        <v>2</v>
      </c>
      <c r="E206" s="845" t="s">
        <v>866</v>
      </c>
      <c r="F206" s="798">
        <v>1</v>
      </c>
      <c r="G206" s="799" t="s">
        <v>459</v>
      </c>
      <c r="H206" s="573" t="s">
        <v>482</v>
      </c>
      <c r="I206" s="573" t="str">
        <f t="shared" si="45"/>
        <v>niet van toepassing</v>
      </c>
      <c r="J206" s="694" t="s">
        <v>888</v>
      </c>
      <c r="K206" s="800"/>
      <c r="L206" s="800">
        <v>104</v>
      </c>
      <c r="M206" s="867" t="s">
        <v>19</v>
      </c>
      <c r="N206" s="868"/>
      <c r="O206" s="869"/>
      <c r="P206" s="869"/>
      <c r="Q206" s="866">
        <f t="shared" si="52"/>
        <v>0</v>
      </c>
      <c r="R206" s="600">
        <v>1</v>
      </c>
      <c r="S206" s="600">
        <v>1</v>
      </c>
      <c r="T206" s="468">
        <f t="shared" si="53"/>
        <v>0</v>
      </c>
      <c r="U206" s="468">
        <f t="shared" si="54"/>
        <v>0</v>
      </c>
      <c r="V206" s="468">
        <f t="shared" si="55"/>
        <v>0</v>
      </c>
      <c r="W206" s="468">
        <f t="shared" si="56"/>
        <v>0</v>
      </c>
      <c r="X206" s="601">
        <f t="shared" si="46"/>
        <v>0</v>
      </c>
      <c r="Y206" s="601">
        <f t="shared" si="47"/>
        <v>0</v>
      </c>
      <c r="Z206" s="601">
        <f t="shared" si="48"/>
        <v>0</v>
      </c>
      <c r="AA206" s="601">
        <f t="shared" si="49"/>
        <v>0</v>
      </c>
      <c r="AB206" s="602">
        <f t="shared" si="50"/>
        <v>0</v>
      </c>
      <c r="AC206" s="801"/>
      <c r="AD206" s="603">
        <f>(T206+U206+V206)*'1.0-Contractblad'!$K$69</f>
        <v>0</v>
      </c>
      <c r="AE206" s="603"/>
      <c r="AF206" s="58">
        <f t="shared" si="51"/>
        <v>0</v>
      </c>
      <c r="AG206" s="58">
        <f t="shared" si="57"/>
        <v>0</v>
      </c>
      <c r="AH206" s="58" t="str">
        <f t="shared" si="58"/>
        <v>nvt-0</v>
      </c>
    </row>
    <row r="207" spans="1:34" ht="13">
      <c r="A207" s="134"/>
      <c r="B207" s="470"/>
      <c r="C207" s="471"/>
      <c r="D207" s="859">
        <f>VLOOKUP(E207,'1.1a-Jaarprijzen'!B:G,6,FALSE)</f>
        <v>2</v>
      </c>
      <c r="E207" s="845" t="s">
        <v>866</v>
      </c>
      <c r="F207" s="798">
        <v>1</v>
      </c>
      <c r="G207" s="799" t="s">
        <v>460</v>
      </c>
      <c r="H207" s="573" t="s">
        <v>482</v>
      </c>
      <c r="I207" s="573" t="str">
        <f t="shared" si="45"/>
        <v>niet van toepassing</v>
      </c>
      <c r="J207" s="694" t="s">
        <v>888</v>
      </c>
      <c r="K207" s="800"/>
      <c r="L207" s="800">
        <v>65.3</v>
      </c>
      <c r="M207" s="867" t="s">
        <v>19</v>
      </c>
      <c r="N207" s="868"/>
      <c r="O207" s="869"/>
      <c r="P207" s="869"/>
      <c r="Q207" s="866">
        <f t="shared" si="52"/>
        <v>0</v>
      </c>
      <c r="R207" s="600">
        <v>1</v>
      </c>
      <c r="S207" s="600">
        <v>1</v>
      </c>
      <c r="T207" s="468">
        <f t="shared" si="53"/>
        <v>0</v>
      </c>
      <c r="U207" s="468">
        <f t="shared" si="54"/>
        <v>0</v>
      </c>
      <c r="V207" s="468">
        <f t="shared" si="55"/>
        <v>0</v>
      </c>
      <c r="W207" s="468">
        <f t="shared" si="56"/>
        <v>0</v>
      </c>
      <c r="X207" s="601">
        <f t="shared" si="46"/>
        <v>0</v>
      </c>
      <c r="Y207" s="601">
        <f t="shared" si="47"/>
        <v>0</v>
      </c>
      <c r="Z207" s="601">
        <f t="shared" si="48"/>
        <v>0</v>
      </c>
      <c r="AA207" s="601">
        <f t="shared" si="49"/>
        <v>0</v>
      </c>
      <c r="AB207" s="602">
        <f t="shared" si="50"/>
        <v>0</v>
      </c>
      <c r="AC207" s="801"/>
      <c r="AD207" s="603">
        <f>(T207+U207+V207)*'1.0-Contractblad'!$K$69</f>
        <v>0</v>
      </c>
      <c r="AE207" s="603"/>
      <c r="AF207" s="58">
        <f t="shared" si="51"/>
        <v>0</v>
      </c>
      <c r="AG207" s="58">
        <f t="shared" si="57"/>
        <v>0</v>
      </c>
      <c r="AH207" s="58" t="str">
        <f t="shared" si="58"/>
        <v>nvt-0</v>
      </c>
    </row>
    <row r="208" spans="1:34" ht="13">
      <c r="A208" s="134"/>
      <c r="B208" s="470"/>
      <c r="C208" s="471"/>
      <c r="D208" s="859">
        <f>VLOOKUP(E208,'1.1a-Jaarprijzen'!B:G,6,FALSE)</f>
        <v>2</v>
      </c>
      <c r="E208" s="845" t="s">
        <v>866</v>
      </c>
      <c r="F208" s="798">
        <v>1</v>
      </c>
      <c r="G208" s="799" t="s">
        <v>461</v>
      </c>
      <c r="H208" s="573" t="s">
        <v>1091</v>
      </c>
      <c r="I208" s="573" t="str">
        <f t="shared" si="45"/>
        <v>niet van toepassing</v>
      </c>
      <c r="J208" s="694" t="s">
        <v>333</v>
      </c>
      <c r="K208" s="800"/>
      <c r="L208" s="800">
        <v>3.72</v>
      </c>
      <c r="M208" s="867" t="s">
        <v>19</v>
      </c>
      <c r="N208" s="868"/>
      <c r="O208" s="869"/>
      <c r="P208" s="869"/>
      <c r="Q208" s="866">
        <f t="shared" si="52"/>
        <v>0</v>
      </c>
      <c r="R208" s="600">
        <v>1</v>
      </c>
      <c r="S208" s="600">
        <v>1</v>
      </c>
      <c r="T208" s="468">
        <f t="shared" si="53"/>
        <v>0</v>
      </c>
      <c r="U208" s="468">
        <f t="shared" si="54"/>
        <v>0</v>
      </c>
      <c r="V208" s="468">
        <f t="shared" si="55"/>
        <v>0</v>
      </c>
      <c r="W208" s="468">
        <f t="shared" si="56"/>
        <v>0</v>
      </c>
      <c r="X208" s="601">
        <f t="shared" si="46"/>
        <v>0</v>
      </c>
      <c r="Y208" s="601">
        <f t="shared" si="47"/>
        <v>0</v>
      </c>
      <c r="Z208" s="601">
        <f t="shared" si="48"/>
        <v>0</v>
      </c>
      <c r="AA208" s="601">
        <f t="shared" si="49"/>
        <v>0</v>
      </c>
      <c r="AB208" s="602">
        <f t="shared" si="50"/>
        <v>0</v>
      </c>
      <c r="AC208" s="801"/>
      <c r="AD208" s="603">
        <f>(T208+U208+V208)*'1.0-Contractblad'!$K$69</f>
        <v>0</v>
      </c>
      <c r="AE208" s="603"/>
      <c r="AF208" s="58">
        <f t="shared" si="51"/>
        <v>0</v>
      </c>
      <c r="AG208" s="58">
        <f t="shared" si="57"/>
        <v>0</v>
      </c>
      <c r="AH208" s="58" t="str">
        <f t="shared" si="58"/>
        <v>nvt-0</v>
      </c>
    </row>
    <row r="209" spans="1:34" ht="13">
      <c r="A209" s="134"/>
      <c r="B209" s="470"/>
      <c r="C209" s="471"/>
      <c r="D209" s="859">
        <f>VLOOKUP(E209,'1.1a-Jaarprijzen'!B:G,6,FALSE)</f>
        <v>2</v>
      </c>
      <c r="E209" s="845" t="s">
        <v>866</v>
      </c>
      <c r="F209" s="798">
        <v>1</v>
      </c>
      <c r="G209" s="799" t="s">
        <v>682</v>
      </c>
      <c r="H209" s="573" t="s">
        <v>845</v>
      </c>
      <c r="I209" s="573" t="str">
        <f t="shared" si="45"/>
        <v>niet van toepassing</v>
      </c>
      <c r="J209" s="694" t="s">
        <v>888</v>
      </c>
      <c r="K209" s="800"/>
      <c r="L209" s="800">
        <v>27.7</v>
      </c>
      <c r="M209" s="867" t="s">
        <v>19</v>
      </c>
      <c r="N209" s="868"/>
      <c r="O209" s="869"/>
      <c r="P209" s="869"/>
      <c r="Q209" s="866">
        <f t="shared" si="52"/>
        <v>0</v>
      </c>
      <c r="R209" s="600">
        <v>1</v>
      </c>
      <c r="S209" s="600">
        <v>1</v>
      </c>
      <c r="T209" s="468">
        <f t="shared" si="53"/>
        <v>0</v>
      </c>
      <c r="U209" s="468">
        <f t="shared" si="54"/>
        <v>0</v>
      </c>
      <c r="V209" s="468">
        <f t="shared" si="55"/>
        <v>0</v>
      </c>
      <c r="W209" s="468">
        <f t="shared" si="56"/>
        <v>0</v>
      </c>
      <c r="X209" s="601">
        <f t="shared" si="46"/>
        <v>0</v>
      </c>
      <c r="Y209" s="601">
        <f t="shared" si="47"/>
        <v>0</v>
      </c>
      <c r="Z209" s="601">
        <f t="shared" si="48"/>
        <v>0</v>
      </c>
      <c r="AA209" s="601">
        <f t="shared" si="49"/>
        <v>0</v>
      </c>
      <c r="AB209" s="602">
        <f t="shared" si="50"/>
        <v>0</v>
      </c>
      <c r="AC209" s="801"/>
      <c r="AD209" s="603">
        <f>(T209+U209+V209)*'1.0-Contractblad'!$K$69</f>
        <v>0</v>
      </c>
      <c r="AE209" s="603"/>
      <c r="AF209" s="58">
        <f t="shared" si="51"/>
        <v>0</v>
      </c>
      <c r="AG209" s="58">
        <f t="shared" si="57"/>
        <v>0</v>
      </c>
      <c r="AH209" s="58" t="str">
        <f t="shared" si="58"/>
        <v>nvt-0</v>
      </c>
    </row>
    <row r="210" spans="1:34" ht="13">
      <c r="A210" s="134"/>
      <c r="B210" s="470"/>
      <c r="C210" s="471"/>
      <c r="D210" s="859">
        <f>VLOOKUP(E210,'1.1a-Jaarprijzen'!B:G,6,FALSE)</f>
        <v>2</v>
      </c>
      <c r="E210" s="845" t="s">
        <v>866</v>
      </c>
      <c r="F210" s="798" t="s">
        <v>469</v>
      </c>
      <c r="G210" s="799" t="s">
        <v>437</v>
      </c>
      <c r="H210" s="573" t="s">
        <v>1092</v>
      </c>
      <c r="I210" s="573" t="str">
        <f t="shared" si="45"/>
        <v>niet van toepassing</v>
      </c>
      <c r="J210" s="694" t="s">
        <v>326</v>
      </c>
      <c r="K210" s="800"/>
      <c r="L210" s="800">
        <v>200</v>
      </c>
      <c r="M210" s="867" t="s">
        <v>19</v>
      </c>
      <c r="N210" s="868"/>
      <c r="O210" s="869"/>
      <c r="P210" s="869"/>
      <c r="Q210" s="866">
        <f t="shared" si="52"/>
        <v>0</v>
      </c>
      <c r="R210" s="600">
        <v>1</v>
      </c>
      <c r="S210" s="600">
        <v>1</v>
      </c>
      <c r="T210" s="468">
        <f t="shared" si="53"/>
        <v>0</v>
      </c>
      <c r="U210" s="468">
        <f t="shared" si="54"/>
        <v>0</v>
      </c>
      <c r="V210" s="468">
        <f t="shared" si="55"/>
        <v>0</v>
      </c>
      <c r="W210" s="468">
        <f t="shared" si="56"/>
        <v>0</v>
      </c>
      <c r="X210" s="601">
        <f t="shared" si="46"/>
        <v>0</v>
      </c>
      <c r="Y210" s="601">
        <f t="shared" si="47"/>
        <v>0</v>
      </c>
      <c r="Z210" s="601">
        <f t="shared" si="48"/>
        <v>0</v>
      </c>
      <c r="AA210" s="601">
        <f t="shared" si="49"/>
        <v>0</v>
      </c>
      <c r="AB210" s="602">
        <f t="shared" si="50"/>
        <v>0</v>
      </c>
      <c r="AC210" s="801"/>
      <c r="AD210" s="603">
        <f>(T210+U210+V210)*'1.0-Contractblad'!$K$69</f>
        <v>0</v>
      </c>
      <c r="AE210" s="603"/>
      <c r="AF210" s="58">
        <f t="shared" si="51"/>
        <v>0</v>
      </c>
      <c r="AG210" s="58">
        <f t="shared" si="57"/>
        <v>0</v>
      </c>
      <c r="AH210" s="58" t="str">
        <f t="shared" si="58"/>
        <v>nvt-0</v>
      </c>
    </row>
    <row r="211" spans="1:34" ht="13">
      <c r="A211" s="134"/>
      <c r="B211" s="470"/>
      <c r="C211" s="471"/>
      <c r="D211" s="859">
        <f>VLOOKUP(E211,'1.1a-Jaarprijzen'!B:G,6,FALSE)</f>
        <v>2</v>
      </c>
      <c r="E211" s="845" t="s">
        <v>866</v>
      </c>
      <c r="F211" s="798" t="s">
        <v>469</v>
      </c>
      <c r="G211" s="799" t="s">
        <v>437</v>
      </c>
      <c r="H211" s="573" t="s">
        <v>1093</v>
      </c>
      <c r="I211" s="573" t="str">
        <f t="shared" si="45"/>
        <v>niet van toepassing</v>
      </c>
      <c r="J211" s="694" t="s">
        <v>326</v>
      </c>
      <c r="K211" s="800"/>
      <c r="L211" s="800">
        <v>185</v>
      </c>
      <c r="M211" s="867" t="s">
        <v>19</v>
      </c>
      <c r="N211" s="868"/>
      <c r="O211" s="869"/>
      <c r="P211" s="869"/>
      <c r="Q211" s="866">
        <f t="shared" si="52"/>
        <v>0</v>
      </c>
      <c r="R211" s="600">
        <v>1</v>
      </c>
      <c r="S211" s="600">
        <v>1</v>
      </c>
      <c r="T211" s="468">
        <f t="shared" si="53"/>
        <v>0</v>
      </c>
      <c r="U211" s="468">
        <f t="shared" si="54"/>
        <v>0</v>
      </c>
      <c r="V211" s="468">
        <f t="shared" si="55"/>
        <v>0</v>
      </c>
      <c r="W211" s="468">
        <f t="shared" si="56"/>
        <v>0</v>
      </c>
      <c r="X211" s="601">
        <f t="shared" si="46"/>
        <v>0</v>
      </c>
      <c r="Y211" s="601">
        <f t="shared" si="47"/>
        <v>0</v>
      </c>
      <c r="Z211" s="601">
        <f t="shared" si="48"/>
        <v>0</v>
      </c>
      <c r="AA211" s="601">
        <f t="shared" si="49"/>
        <v>0</v>
      </c>
      <c r="AB211" s="602">
        <f t="shared" si="50"/>
        <v>0</v>
      </c>
      <c r="AC211" s="801"/>
      <c r="AD211" s="603">
        <f>(T211+U211+V211)*'1.0-Contractblad'!$K$69</f>
        <v>0</v>
      </c>
      <c r="AE211" s="603"/>
      <c r="AF211" s="58">
        <f t="shared" si="51"/>
        <v>0</v>
      </c>
      <c r="AG211" s="58">
        <f t="shared" si="57"/>
        <v>0</v>
      </c>
      <c r="AH211" s="58" t="str">
        <f t="shared" si="58"/>
        <v>nvt-0</v>
      </c>
    </row>
    <row r="212" spans="1:34" ht="13">
      <c r="A212" s="134"/>
      <c r="B212" s="470"/>
      <c r="C212" s="471"/>
      <c r="D212" s="859">
        <f>VLOOKUP(E212,'1.1a-Jaarprijzen'!B:G,6,FALSE)</f>
        <v>2</v>
      </c>
      <c r="E212" s="845" t="s">
        <v>866</v>
      </c>
      <c r="F212" s="798" t="s">
        <v>469</v>
      </c>
      <c r="G212" s="799" t="s">
        <v>437</v>
      </c>
      <c r="H212" s="573" t="s">
        <v>1094</v>
      </c>
      <c r="I212" s="573" t="str">
        <f t="shared" si="45"/>
        <v>niet van toepassing</v>
      </c>
      <c r="J212" s="694" t="s">
        <v>326</v>
      </c>
      <c r="K212" s="800"/>
      <c r="L212" s="800">
        <v>185</v>
      </c>
      <c r="M212" s="867" t="s">
        <v>19</v>
      </c>
      <c r="N212" s="868"/>
      <c r="O212" s="869"/>
      <c r="P212" s="869"/>
      <c r="Q212" s="866">
        <f t="shared" si="52"/>
        <v>0</v>
      </c>
      <c r="R212" s="600">
        <v>1</v>
      </c>
      <c r="S212" s="600">
        <v>1</v>
      </c>
      <c r="T212" s="468">
        <f t="shared" si="53"/>
        <v>0</v>
      </c>
      <c r="U212" s="468">
        <f t="shared" si="54"/>
        <v>0</v>
      </c>
      <c r="V212" s="468">
        <f t="shared" si="55"/>
        <v>0</v>
      </c>
      <c r="W212" s="468">
        <f t="shared" si="56"/>
        <v>0</v>
      </c>
      <c r="X212" s="601">
        <f t="shared" si="46"/>
        <v>0</v>
      </c>
      <c r="Y212" s="601">
        <f t="shared" si="47"/>
        <v>0</v>
      </c>
      <c r="Z212" s="601">
        <f t="shared" si="48"/>
        <v>0</v>
      </c>
      <c r="AA212" s="601">
        <f t="shared" si="49"/>
        <v>0</v>
      </c>
      <c r="AB212" s="602">
        <f t="shared" si="50"/>
        <v>0</v>
      </c>
      <c r="AC212" s="801"/>
      <c r="AD212" s="603">
        <f>(T212+U212+V212)*'1.0-Contractblad'!$K$69</f>
        <v>0</v>
      </c>
      <c r="AE212" s="603"/>
      <c r="AF212" s="58">
        <f t="shared" si="51"/>
        <v>0</v>
      </c>
      <c r="AG212" s="58">
        <f t="shared" si="57"/>
        <v>0</v>
      </c>
      <c r="AH212" s="58" t="str">
        <f t="shared" si="58"/>
        <v>nvt-0</v>
      </c>
    </row>
    <row r="213" spans="1:34" ht="13">
      <c r="A213" s="134"/>
      <c r="B213" s="470"/>
      <c r="C213" s="471"/>
      <c r="D213" s="859">
        <f>VLOOKUP(E213,'1.1a-Jaarprijzen'!B:G,6,FALSE)</f>
        <v>2</v>
      </c>
      <c r="E213" s="845" t="s">
        <v>777</v>
      </c>
      <c r="F213" s="798" t="s">
        <v>469</v>
      </c>
      <c r="G213" s="799" t="s">
        <v>739</v>
      </c>
      <c r="H213" s="573" t="s">
        <v>740</v>
      </c>
      <c r="I213" s="573" t="str">
        <f t="shared" si="45"/>
        <v>entree, gang, hal, repro, kopieer</v>
      </c>
      <c r="J213" s="694" t="s">
        <v>675</v>
      </c>
      <c r="K213" s="800">
        <v>13.52</v>
      </c>
      <c r="L213" s="800"/>
      <c r="M213" s="867">
        <v>3253</v>
      </c>
      <c r="N213" s="868"/>
      <c r="O213" s="869"/>
      <c r="P213" s="869"/>
      <c r="Q213" s="866">
        <f t="shared" si="52"/>
        <v>253</v>
      </c>
      <c r="R213" s="600">
        <v>1</v>
      </c>
      <c r="S213" s="600">
        <v>1</v>
      </c>
      <c r="T213" s="468">
        <f t="shared" si="53"/>
        <v>0</v>
      </c>
      <c r="U213" s="468">
        <f t="shared" si="54"/>
        <v>0</v>
      </c>
      <c r="V213" s="468">
        <f t="shared" si="55"/>
        <v>0</v>
      </c>
      <c r="W213" s="468">
        <f t="shared" si="56"/>
        <v>0</v>
      </c>
      <c r="X213" s="601">
        <f t="shared" si="46"/>
        <v>0</v>
      </c>
      <c r="Y213" s="601">
        <f t="shared" si="47"/>
        <v>0</v>
      </c>
      <c r="Z213" s="601">
        <f t="shared" si="48"/>
        <v>0</v>
      </c>
      <c r="AA213" s="601">
        <f t="shared" si="49"/>
        <v>0</v>
      </c>
      <c r="AB213" s="602" t="str">
        <f t="shared" si="50"/>
        <v>V</v>
      </c>
      <c r="AC213" s="801"/>
      <c r="AD213" s="603">
        <f>(T213+U213+V213)*'1.0-Contractblad'!$K$69</f>
        <v>0</v>
      </c>
      <c r="AE213" s="603"/>
      <c r="AF213" s="58">
        <f t="shared" si="51"/>
        <v>0</v>
      </c>
      <c r="AG213" s="58">
        <f t="shared" si="57"/>
        <v>3420.56</v>
      </c>
      <c r="AH213" s="58" t="str">
        <f t="shared" si="58"/>
        <v>3253-253</v>
      </c>
    </row>
    <row r="214" spans="1:34" ht="13">
      <c r="A214" s="134"/>
      <c r="B214" s="470"/>
      <c r="C214" s="471"/>
      <c r="D214" s="859">
        <f>VLOOKUP(E214,'1.1a-Jaarprijzen'!B:G,6,FALSE)</f>
        <v>2</v>
      </c>
      <c r="E214" s="845" t="s">
        <v>777</v>
      </c>
      <c r="F214" s="798" t="s">
        <v>469</v>
      </c>
      <c r="G214" s="799" t="s">
        <v>741</v>
      </c>
      <c r="H214" s="573" t="s">
        <v>491</v>
      </c>
      <c r="I214" s="573" t="str">
        <f t="shared" si="45"/>
        <v>kleedruimten</v>
      </c>
      <c r="J214" s="694" t="s">
        <v>675</v>
      </c>
      <c r="K214" s="800">
        <v>57.08</v>
      </c>
      <c r="L214" s="800"/>
      <c r="M214" s="867">
        <v>10253</v>
      </c>
      <c r="N214" s="573"/>
      <c r="O214" s="869"/>
      <c r="P214" s="869"/>
      <c r="Q214" s="866">
        <f t="shared" si="52"/>
        <v>253</v>
      </c>
      <c r="R214" s="600">
        <v>1</v>
      </c>
      <c r="S214" s="600">
        <v>1</v>
      </c>
      <c r="T214" s="468">
        <f t="shared" si="53"/>
        <v>0</v>
      </c>
      <c r="U214" s="468">
        <f t="shared" si="54"/>
        <v>0</v>
      </c>
      <c r="V214" s="468">
        <f t="shared" si="55"/>
        <v>0</v>
      </c>
      <c r="W214" s="468">
        <f t="shared" si="56"/>
        <v>0</v>
      </c>
      <c r="X214" s="601">
        <f t="shared" si="46"/>
        <v>0</v>
      </c>
      <c r="Y214" s="601">
        <f t="shared" si="47"/>
        <v>0</v>
      </c>
      <c r="Z214" s="601">
        <f t="shared" si="48"/>
        <v>0</v>
      </c>
      <c r="AA214" s="601">
        <f t="shared" si="49"/>
        <v>0</v>
      </c>
      <c r="AB214" s="602" t="str">
        <f t="shared" si="50"/>
        <v>V</v>
      </c>
      <c r="AC214" s="853" t="s">
        <v>1116</v>
      </c>
      <c r="AD214" s="603">
        <f>(T214+U214+V214)*'1.0-Contractblad'!$K$69</f>
        <v>0</v>
      </c>
      <c r="AE214" s="603"/>
      <c r="AF214" s="58">
        <f t="shared" si="51"/>
        <v>0</v>
      </c>
      <c r="AG214" s="58">
        <f t="shared" si="57"/>
        <v>14441.24</v>
      </c>
      <c r="AH214" s="58" t="str">
        <f t="shared" si="58"/>
        <v>10253-253</v>
      </c>
    </row>
    <row r="215" spans="1:34" ht="13">
      <c r="A215" s="134"/>
      <c r="B215" s="470"/>
      <c r="C215" s="471"/>
      <c r="D215" s="859">
        <f>VLOOKUP(E215,'1.1a-Jaarprijzen'!B:G,6,FALSE)</f>
        <v>2</v>
      </c>
      <c r="E215" s="845" t="s">
        <v>777</v>
      </c>
      <c r="F215" s="798" t="s">
        <v>469</v>
      </c>
      <c r="G215" s="799" t="s">
        <v>742</v>
      </c>
      <c r="H215" s="573" t="s">
        <v>743</v>
      </c>
      <c r="I215" s="573" t="str">
        <f t="shared" si="45"/>
        <v>sanitaire ruimte (toilet-/doucheruimte)</v>
      </c>
      <c r="J215" s="694" t="s">
        <v>675</v>
      </c>
      <c r="K215" s="800"/>
      <c r="L215" s="800"/>
      <c r="M215" s="867">
        <v>4253</v>
      </c>
      <c r="N215" s="573"/>
      <c r="O215" s="869"/>
      <c r="P215" s="869"/>
      <c r="Q215" s="866">
        <f t="shared" si="52"/>
        <v>253</v>
      </c>
      <c r="R215" s="600">
        <v>1</v>
      </c>
      <c r="S215" s="600">
        <v>1</v>
      </c>
      <c r="T215" s="468">
        <f t="shared" si="53"/>
        <v>0</v>
      </c>
      <c r="U215" s="468">
        <f t="shared" si="54"/>
        <v>0</v>
      </c>
      <c r="V215" s="468">
        <f t="shared" si="55"/>
        <v>0</v>
      </c>
      <c r="W215" s="468">
        <f t="shared" si="56"/>
        <v>0</v>
      </c>
      <c r="X215" s="601">
        <f t="shared" si="46"/>
        <v>0</v>
      </c>
      <c r="Y215" s="601">
        <f t="shared" si="47"/>
        <v>0</v>
      </c>
      <c r="Z215" s="601">
        <f t="shared" si="48"/>
        <v>0</v>
      </c>
      <c r="AA215" s="601">
        <f t="shared" si="49"/>
        <v>0</v>
      </c>
      <c r="AB215" s="602" t="str">
        <f t="shared" si="50"/>
        <v>S</v>
      </c>
      <c r="AC215" s="853" t="s">
        <v>1116</v>
      </c>
      <c r="AD215" s="603">
        <f>(T215+U215+V215)*'1.0-Contractblad'!$K$69</f>
        <v>0</v>
      </c>
      <c r="AE215" s="603"/>
      <c r="AF215" s="58">
        <f t="shared" si="51"/>
        <v>0</v>
      </c>
      <c r="AG215" s="58">
        <f t="shared" si="57"/>
        <v>0</v>
      </c>
      <c r="AH215" s="58" t="str">
        <f t="shared" si="58"/>
        <v>4253-253</v>
      </c>
    </row>
    <row r="216" spans="1:34" ht="13">
      <c r="A216" s="134"/>
      <c r="B216" s="470"/>
      <c r="C216" s="471"/>
      <c r="D216" s="859">
        <f>VLOOKUP(E216,'1.1a-Jaarprijzen'!B:G,6,FALSE)</f>
        <v>2</v>
      </c>
      <c r="E216" s="845" t="s">
        <v>777</v>
      </c>
      <c r="F216" s="798" t="s">
        <v>469</v>
      </c>
      <c r="G216" s="799" t="s">
        <v>744</v>
      </c>
      <c r="H216" s="573" t="s">
        <v>745</v>
      </c>
      <c r="I216" s="573" t="str">
        <f t="shared" si="45"/>
        <v>sanitaire ruimte (toilet-/doucheruimte)</v>
      </c>
      <c r="J216" s="694" t="s">
        <v>675</v>
      </c>
      <c r="K216" s="800"/>
      <c r="L216" s="800"/>
      <c r="M216" s="867">
        <v>4253</v>
      </c>
      <c r="N216" s="573"/>
      <c r="O216" s="869"/>
      <c r="P216" s="869"/>
      <c r="Q216" s="866">
        <f t="shared" si="52"/>
        <v>253</v>
      </c>
      <c r="R216" s="600">
        <v>1</v>
      </c>
      <c r="S216" s="600">
        <v>1</v>
      </c>
      <c r="T216" s="468">
        <f t="shared" si="53"/>
        <v>0</v>
      </c>
      <c r="U216" s="468">
        <f t="shared" si="54"/>
        <v>0</v>
      </c>
      <c r="V216" s="468">
        <f t="shared" si="55"/>
        <v>0</v>
      </c>
      <c r="W216" s="468">
        <f t="shared" si="56"/>
        <v>0</v>
      </c>
      <c r="X216" s="601">
        <f t="shared" si="46"/>
        <v>0</v>
      </c>
      <c r="Y216" s="601">
        <f t="shared" si="47"/>
        <v>0</v>
      </c>
      <c r="Z216" s="601">
        <f t="shared" si="48"/>
        <v>0</v>
      </c>
      <c r="AA216" s="601">
        <f t="shared" si="49"/>
        <v>0</v>
      </c>
      <c r="AB216" s="602" t="str">
        <f t="shared" si="50"/>
        <v>S</v>
      </c>
      <c r="AC216" s="853" t="s">
        <v>1116</v>
      </c>
      <c r="AD216" s="603">
        <f>(T216+U216+V216)*'1.0-Contractblad'!$K$69</f>
        <v>0</v>
      </c>
      <c r="AE216" s="603"/>
      <c r="AF216" s="58">
        <f t="shared" si="51"/>
        <v>0</v>
      </c>
      <c r="AG216" s="58">
        <f t="shared" si="57"/>
        <v>0</v>
      </c>
      <c r="AH216" s="58" t="str">
        <f t="shared" si="58"/>
        <v>4253-253</v>
      </c>
    </row>
    <row r="217" spans="1:34" ht="13">
      <c r="A217" s="134"/>
      <c r="B217" s="470"/>
      <c r="C217" s="471"/>
      <c r="D217" s="859">
        <f>VLOOKUP(E217,'1.1a-Jaarprijzen'!B:G,6,FALSE)</f>
        <v>2</v>
      </c>
      <c r="E217" s="845" t="s">
        <v>777</v>
      </c>
      <c r="F217" s="798" t="s">
        <v>469</v>
      </c>
      <c r="G217" s="799" t="s">
        <v>746</v>
      </c>
      <c r="H217" s="573" t="s">
        <v>745</v>
      </c>
      <c r="I217" s="573" t="str">
        <f t="shared" si="45"/>
        <v>sanitaire ruimte (toilet-/doucheruimte)</v>
      </c>
      <c r="J217" s="694" t="s">
        <v>675</v>
      </c>
      <c r="K217" s="800"/>
      <c r="L217" s="800"/>
      <c r="M217" s="867">
        <v>4253</v>
      </c>
      <c r="N217" s="573"/>
      <c r="O217" s="869"/>
      <c r="P217" s="869"/>
      <c r="Q217" s="866">
        <f t="shared" si="52"/>
        <v>253</v>
      </c>
      <c r="R217" s="600">
        <v>1</v>
      </c>
      <c r="S217" s="600">
        <v>1</v>
      </c>
      <c r="T217" s="468">
        <f t="shared" si="53"/>
        <v>0</v>
      </c>
      <c r="U217" s="468">
        <f t="shared" si="54"/>
        <v>0</v>
      </c>
      <c r="V217" s="468">
        <f t="shared" si="55"/>
        <v>0</v>
      </c>
      <c r="W217" s="468">
        <f t="shared" si="56"/>
        <v>0</v>
      </c>
      <c r="X217" s="601">
        <f t="shared" si="46"/>
        <v>0</v>
      </c>
      <c r="Y217" s="601">
        <f t="shared" si="47"/>
        <v>0</v>
      </c>
      <c r="Z217" s="601">
        <f t="shared" si="48"/>
        <v>0</v>
      </c>
      <c r="AA217" s="601">
        <f t="shared" si="49"/>
        <v>0</v>
      </c>
      <c r="AB217" s="602" t="str">
        <f t="shared" si="50"/>
        <v>S</v>
      </c>
      <c r="AC217" s="853" t="s">
        <v>1116</v>
      </c>
      <c r="AD217" s="603">
        <f>(T217+U217+V217)*'1.0-Contractblad'!$K$69</f>
        <v>0</v>
      </c>
      <c r="AE217" s="603"/>
      <c r="AF217" s="58">
        <f t="shared" si="51"/>
        <v>0</v>
      </c>
      <c r="AG217" s="58">
        <f t="shared" si="57"/>
        <v>0</v>
      </c>
      <c r="AH217" s="58" t="str">
        <f t="shared" si="58"/>
        <v>4253-253</v>
      </c>
    </row>
    <row r="218" spans="1:34" ht="13">
      <c r="A218" s="134"/>
      <c r="B218" s="470"/>
      <c r="C218" s="471"/>
      <c r="D218" s="859">
        <f>VLOOKUP(E218,'1.1a-Jaarprijzen'!B:G,6,FALSE)</f>
        <v>2</v>
      </c>
      <c r="E218" s="845" t="s">
        <v>777</v>
      </c>
      <c r="F218" s="798" t="s">
        <v>469</v>
      </c>
      <c r="G218" s="799" t="s">
        <v>747</v>
      </c>
      <c r="H218" s="573" t="s">
        <v>745</v>
      </c>
      <c r="I218" s="573" t="str">
        <f t="shared" si="45"/>
        <v>sanitaire ruimte (toilet-/doucheruimte)</v>
      </c>
      <c r="J218" s="694" t="s">
        <v>675</v>
      </c>
      <c r="K218" s="800"/>
      <c r="L218" s="800"/>
      <c r="M218" s="867">
        <v>4253</v>
      </c>
      <c r="N218" s="573"/>
      <c r="O218" s="869"/>
      <c r="P218" s="869"/>
      <c r="Q218" s="866">
        <f t="shared" si="52"/>
        <v>253</v>
      </c>
      <c r="R218" s="600">
        <v>1</v>
      </c>
      <c r="S218" s="600">
        <v>1</v>
      </c>
      <c r="T218" s="468">
        <f t="shared" si="53"/>
        <v>0</v>
      </c>
      <c r="U218" s="468">
        <f t="shared" si="54"/>
        <v>0</v>
      </c>
      <c r="V218" s="468">
        <f t="shared" si="55"/>
        <v>0</v>
      </c>
      <c r="W218" s="468">
        <f t="shared" si="56"/>
        <v>0</v>
      </c>
      <c r="X218" s="601">
        <f t="shared" si="46"/>
        <v>0</v>
      </c>
      <c r="Y218" s="601">
        <f t="shared" si="47"/>
        <v>0</v>
      </c>
      <c r="Z218" s="601">
        <f t="shared" si="48"/>
        <v>0</v>
      </c>
      <c r="AA218" s="601">
        <f t="shared" si="49"/>
        <v>0</v>
      </c>
      <c r="AB218" s="602" t="str">
        <f t="shared" si="50"/>
        <v>S</v>
      </c>
      <c r="AC218" s="853" t="s">
        <v>1116</v>
      </c>
      <c r="AD218" s="603">
        <f>(T218+U218+V218)*'1.0-Contractblad'!$K$69</f>
        <v>0</v>
      </c>
      <c r="AE218" s="603"/>
      <c r="AF218" s="58">
        <f t="shared" si="51"/>
        <v>0</v>
      </c>
      <c r="AG218" s="58">
        <f t="shared" si="57"/>
        <v>0</v>
      </c>
      <c r="AH218" s="58" t="str">
        <f t="shared" si="58"/>
        <v>4253-253</v>
      </c>
    </row>
    <row r="219" spans="1:34" ht="13">
      <c r="A219" s="134"/>
      <c r="B219" s="470"/>
      <c r="C219" s="471"/>
      <c r="D219" s="859">
        <f>VLOOKUP(E219,'1.1a-Jaarprijzen'!B:G,6,FALSE)</f>
        <v>2</v>
      </c>
      <c r="E219" s="845" t="s">
        <v>777</v>
      </c>
      <c r="F219" s="798" t="s">
        <v>469</v>
      </c>
      <c r="G219" s="799" t="s">
        <v>748</v>
      </c>
      <c r="H219" s="573" t="s">
        <v>749</v>
      </c>
      <c r="I219" s="573" t="str">
        <f t="shared" si="45"/>
        <v>sanitaire ruimte (toilet-/doucheruimte)</v>
      </c>
      <c r="J219" s="694" t="s">
        <v>675</v>
      </c>
      <c r="K219" s="800">
        <v>11.07</v>
      </c>
      <c r="L219" s="800"/>
      <c r="M219" s="867">
        <v>4253</v>
      </c>
      <c r="N219" s="868"/>
      <c r="O219" s="869"/>
      <c r="P219" s="869"/>
      <c r="Q219" s="866">
        <f t="shared" si="52"/>
        <v>253</v>
      </c>
      <c r="R219" s="600">
        <v>1</v>
      </c>
      <c r="S219" s="600">
        <v>1</v>
      </c>
      <c r="T219" s="468">
        <f t="shared" si="53"/>
        <v>0</v>
      </c>
      <c r="U219" s="468">
        <f t="shared" si="54"/>
        <v>0</v>
      </c>
      <c r="V219" s="468">
        <f t="shared" si="55"/>
        <v>0</v>
      </c>
      <c r="W219" s="468">
        <f t="shared" si="56"/>
        <v>0</v>
      </c>
      <c r="X219" s="601">
        <f t="shared" si="46"/>
        <v>0</v>
      </c>
      <c r="Y219" s="601">
        <f t="shared" si="47"/>
        <v>0</v>
      </c>
      <c r="Z219" s="601">
        <f t="shared" si="48"/>
        <v>0</v>
      </c>
      <c r="AA219" s="601">
        <f t="shared" si="49"/>
        <v>0</v>
      </c>
      <c r="AB219" s="602" t="str">
        <f t="shared" si="50"/>
        <v>S</v>
      </c>
      <c r="AC219" s="847"/>
      <c r="AD219" s="603">
        <f>(T219+U219+V219)*'1.0-Contractblad'!$K$69</f>
        <v>0</v>
      </c>
      <c r="AE219" s="603"/>
      <c r="AF219" s="58">
        <f t="shared" si="51"/>
        <v>0</v>
      </c>
      <c r="AG219" s="58">
        <f t="shared" si="57"/>
        <v>2800.71</v>
      </c>
      <c r="AH219" s="58" t="str">
        <f t="shared" si="58"/>
        <v>4253-253</v>
      </c>
    </row>
    <row r="220" spans="1:34" ht="13">
      <c r="A220" s="134"/>
      <c r="B220" s="470"/>
      <c r="C220" s="471"/>
      <c r="D220" s="859">
        <f>VLOOKUP(E220,'1.1a-Jaarprijzen'!B:G,6,FALSE)</f>
        <v>2</v>
      </c>
      <c r="E220" s="845" t="s">
        <v>777</v>
      </c>
      <c r="F220" s="798" t="s">
        <v>469</v>
      </c>
      <c r="G220" s="799" t="s">
        <v>750</v>
      </c>
      <c r="H220" s="573" t="s">
        <v>751</v>
      </c>
      <c r="I220" s="573" t="str">
        <f t="shared" si="45"/>
        <v>entree, gang, hal, repro, kopieer</v>
      </c>
      <c r="J220" s="694" t="s">
        <v>675</v>
      </c>
      <c r="K220" s="800">
        <v>6.81</v>
      </c>
      <c r="L220" s="800"/>
      <c r="M220" s="867">
        <v>3253</v>
      </c>
      <c r="N220" s="868"/>
      <c r="O220" s="869"/>
      <c r="P220" s="869"/>
      <c r="Q220" s="866">
        <f t="shared" si="52"/>
        <v>253</v>
      </c>
      <c r="R220" s="600">
        <v>1</v>
      </c>
      <c r="S220" s="600">
        <v>1</v>
      </c>
      <c r="T220" s="468">
        <f t="shared" si="53"/>
        <v>0</v>
      </c>
      <c r="U220" s="468">
        <f t="shared" si="54"/>
        <v>0</v>
      </c>
      <c r="V220" s="468">
        <f t="shared" si="55"/>
        <v>0</v>
      </c>
      <c r="W220" s="468">
        <f t="shared" si="56"/>
        <v>0</v>
      </c>
      <c r="X220" s="601">
        <f t="shared" si="46"/>
        <v>0</v>
      </c>
      <c r="Y220" s="601">
        <f t="shared" si="47"/>
        <v>0</v>
      </c>
      <c r="Z220" s="601">
        <f t="shared" si="48"/>
        <v>0</v>
      </c>
      <c r="AA220" s="601">
        <f t="shared" si="49"/>
        <v>0</v>
      </c>
      <c r="AB220" s="602" t="str">
        <f t="shared" si="50"/>
        <v>V</v>
      </c>
      <c r="AC220" s="847"/>
      <c r="AD220" s="603">
        <f>(T220+U220+V220)*'1.0-Contractblad'!$K$69</f>
        <v>0</v>
      </c>
      <c r="AE220" s="603"/>
      <c r="AF220" s="58">
        <f t="shared" si="51"/>
        <v>0</v>
      </c>
      <c r="AG220" s="58">
        <f t="shared" si="57"/>
        <v>1722.9299999999998</v>
      </c>
      <c r="AH220" s="58" t="str">
        <f t="shared" si="58"/>
        <v>3253-253</v>
      </c>
    </row>
    <row r="221" spans="1:34" ht="13">
      <c r="A221" s="134"/>
      <c r="B221" s="470"/>
      <c r="C221" s="471"/>
      <c r="D221" s="859">
        <f>VLOOKUP(E221,'1.1a-Jaarprijzen'!B:G,6,FALSE)</f>
        <v>2</v>
      </c>
      <c r="E221" s="845" t="s">
        <v>777</v>
      </c>
      <c r="F221" s="798" t="s">
        <v>469</v>
      </c>
      <c r="G221" s="799" t="s">
        <v>752</v>
      </c>
      <c r="H221" s="573" t="s">
        <v>453</v>
      </c>
      <c r="I221" s="573" t="str">
        <f t="shared" si="45"/>
        <v>entree, gang, hal, repro, kopieer</v>
      </c>
      <c r="J221" s="694" t="s">
        <v>455</v>
      </c>
      <c r="K221" s="800">
        <v>15.75</v>
      </c>
      <c r="L221" s="800"/>
      <c r="M221" s="867">
        <v>3253</v>
      </c>
      <c r="N221" s="868"/>
      <c r="O221" s="869"/>
      <c r="P221" s="869"/>
      <c r="Q221" s="866">
        <f t="shared" si="52"/>
        <v>253</v>
      </c>
      <c r="R221" s="600">
        <v>1</v>
      </c>
      <c r="S221" s="600">
        <v>1</v>
      </c>
      <c r="T221" s="468">
        <f t="shared" si="53"/>
        <v>0</v>
      </c>
      <c r="U221" s="468">
        <f t="shared" si="54"/>
        <v>0</v>
      </c>
      <c r="V221" s="468">
        <f t="shared" si="55"/>
        <v>0</v>
      </c>
      <c r="W221" s="468">
        <f t="shared" si="56"/>
        <v>0</v>
      </c>
      <c r="X221" s="601">
        <f t="shared" si="46"/>
        <v>0</v>
      </c>
      <c r="Y221" s="601">
        <f t="shared" si="47"/>
        <v>0</v>
      </c>
      <c r="Z221" s="601">
        <f t="shared" si="48"/>
        <v>0</v>
      </c>
      <c r="AA221" s="601">
        <f t="shared" si="49"/>
        <v>0</v>
      </c>
      <c r="AB221" s="602" t="str">
        <f t="shared" si="50"/>
        <v>V</v>
      </c>
      <c r="AC221" s="847"/>
      <c r="AD221" s="603">
        <f>(T221+U221+V221)*'1.0-Contractblad'!$K$69</f>
        <v>0</v>
      </c>
      <c r="AE221" s="603"/>
      <c r="AF221" s="58">
        <f t="shared" si="51"/>
        <v>0</v>
      </c>
      <c r="AG221" s="58">
        <f t="shared" si="57"/>
        <v>3984.75</v>
      </c>
      <c r="AH221" s="58" t="str">
        <f t="shared" si="58"/>
        <v>3253-253</v>
      </c>
    </row>
    <row r="222" spans="1:34" ht="13">
      <c r="A222" s="134"/>
      <c r="B222" s="470"/>
      <c r="C222" s="471"/>
      <c r="D222" s="859">
        <f>VLOOKUP(E222,'1.1a-Jaarprijzen'!B:G,6,FALSE)</f>
        <v>2</v>
      </c>
      <c r="E222" s="845" t="s">
        <v>777</v>
      </c>
      <c r="F222" s="798" t="s">
        <v>469</v>
      </c>
      <c r="G222" s="799" t="s">
        <v>753</v>
      </c>
      <c r="H222" s="573" t="s">
        <v>754</v>
      </c>
      <c r="I222" s="573" t="str">
        <f t="shared" si="45"/>
        <v>entree, gang, hal, repro, kopieer</v>
      </c>
      <c r="J222" s="694" t="s">
        <v>455</v>
      </c>
      <c r="K222" s="800">
        <v>13.39</v>
      </c>
      <c r="L222" s="800"/>
      <c r="M222" s="867">
        <v>3253</v>
      </c>
      <c r="N222" s="868"/>
      <c r="O222" s="869"/>
      <c r="P222" s="869"/>
      <c r="Q222" s="866">
        <f t="shared" si="52"/>
        <v>253</v>
      </c>
      <c r="R222" s="600">
        <v>1</v>
      </c>
      <c r="S222" s="600">
        <v>1</v>
      </c>
      <c r="T222" s="468">
        <f t="shared" si="53"/>
        <v>0</v>
      </c>
      <c r="U222" s="468">
        <f t="shared" si="54"/>
        <v>0</v>
      </c>
      <c r="V222" s="468">
        <f t="shared" si="55"/>
        <v>0</v>
      </c>
      <c r="W222" s="468">
        <f t="shared" si="56"/>
        <v>0</v>
      </c>
      <c r="X222" s="601">
        <f t="shared" si="46"/>
        <v>0</v>
      </c>
      <c r="Y222" s="601">
        <f t="shared" si="47"/>
        <v>0</v>
      </c>
      <c r="Z222" s="601">
        <f t="shared" si="48"/>
        <v>0</v>
      </c>
      <c r="AA222" s="601">
        <f t="shared" si="49"/>
        <v>0</v>
      </c>
      <c r="AB222" s="602" t="str">
        <f t="shared" si="50"/>
        <v>V</v>
      </c>
      <c r="AC222" s="847"/>
      <c r="AD222" s="603">
        <f>(T222+U222+V222)*'1.0-Contractblad'!$K$69</f>
        <v>0</v>
      </c>
      <c r="AE222" s="603"/>
      <c r="AF222" s="58">
        <f t="shared" si="51"/>
        <v>0</v>
      </c>
      <c r="AG222" s="58">
        <f t="shared" si="57"/>
        <v>3387.67</v>
      </c>
      <c r="AH222" s="58" t="str">
        <f t="shared" si="58"/>
        <v>3253-253</v>
      </c>
    </row>
    <row r="223" spans="1:34" ht="13">
      <c r="A223" s="134"/>
      <c r="B223" s="470"/>
      <c r="C223" s="471"/>
      <c r="D223" s="859">
        <f>VLOOKUP(E223,'1.1a-Jaarprijzen'!B:G,6,FALSE)</f>
        <v>2</v>
      </c>
      <c r="E223" s="845" t="s">
        <v>777</v>
      </c>
      <c r="F223" s="798" t="s">
        <v>469</v>
      </c>
      <c r="G223" s="799" t="s">
        <v>755</v>
      </c>
      <c r="H223" s="573" t="s">
        <v>756</v>
      </c>
      <c r="I223" s="573" t="str">
        <f t="shared" si="45"/>
        <v>entree, gang, hal, repro, kopieer</v>
      </c>
      <c r="J223" s="694" t="s">
        <v>455</v>
      </c>
      <c r="K223" s="800">
        <v>14.4</v>
      </c>
      <c r="L223" s="800"/>
      <c r="M223" s="867">
        <v>3253</v>
      </c>
      <c r="N223" s="868"/>
      <c r="O223" s="869"/>
      <c r="P223" s="869"/>
      <c r="Q223" s="866">
        <f t="shared" si="52"/>
        <v>253</v>
      </c>
      <c r="R223" s="600">
        <v>1</v>
      </c>
      <c r="S223" s="600">
        <v>1</v>
      </c>
      <c r="T223" s="468">
        <f t="shared" si="53"/>
        <v>0</v>
      </c>
      <c r="U223" s="468">
        <f t="shared" si="54"/>
        <v>0</v>
      </c>
      <c r="V223" s="468">
        <f t="shared" si="55"/>
        <v>0</v>
      </c>
      <c r="W223" s="468">
        <f t="shared" si="56"/>
        <v>0</v>
      </c>
      <c r="X223" s="601">
        <f t="shared" si="46"/>
        <v>0</v>
      </c>
      <c r="Y223" s="601">
        <f t="shared" si="47"/>
        <v>0</v>
      </c>
      <c r="Z223" s="601">
        <f t="shared" si="48"/>
        <v>0</v>
      </c>
      <c r="AA223" s="601">
        <f t="shared" si="49"/>
        <v>0</v>
      </c>
      <c r="AB223" s="602" t="str">
        <f t="shared" si="50"/>
        <v>V</v>
      </c>
      <c r="AC223" s="847"/>
      <c r="AD223" s="603">
        <f>(T223+U223+V223)*'1.0-Contractblad'!$K$69</f>
        <v>0</v>
      </c>
      <c r="AE223" s="603"/>
      <c r="AF223" s="58">
        <f t="shared" si="51"/>
        <v>0</v>
      </c>
      <c r="AG223" s="58">
        <f t="shared" si="57"/>
        <v>3643.2000000000003</v>
      </c>
      <c r="AH223" s="58" t="str">
        <f t="shared" si="58"/>
        <v>3253-253</v>
      </c>
    </row>
    <row r="224" spans="1:34" ht="13">
      <c r="A224" s="134"/>
      <c r="B224" s="470"/>
      <c r="C224" s="471"/>
      <c r="D224" s="859">
        <f>VLOOKUP(E224,'1.1a-Jaarprijzen'!B:G,6,FALSE)</f>
        <v>2</v>
      </c>
      <c r="E224" s="845" t="s">
        <v>777</v>
      </c>
      <c r="F224" s="798" t="s">
        <v>469</v>
      </c>
      <c r="G224" s="799" t="s">
        <v>757</v>
      </c>
      <c r="H224" s="573" t="s">
        <v>466</v>
      </c>
      <c r="I224" s="573" t="str">
        <f t="shared" si="45"/>
        <v>sanitaire ruimte (toilet-/doucheruimte)</v>
      </c>
      <c r="J224" s="694" t="s">
        <v>675</v>
      </c>
      <c r="K224" s="800">
        <v>2.5499999999999998</v>
      </c>
      <c r="L224" s="800"/>
      <c r="M224" s="867">
        <v>4253</v>
      </c>
      <c r="N224" s="868"/>
      <c r="O224" s="869"/>
      <c r="P224" s="869"/>
      <c r="Q224" s="866">
        <f t="shared" si="52"/>
        <v>253</v>
      </c>
      <c r="R224" s="600">
        <v>1</v>
      </c>
      <c r="S224" s="600">
        <v>1</v>
      </c>
      <c r="T224" s="468">
        <f t="shared" si="53"/>
        <v>0</v>
      </c>
      <c r="U224" s="468">
        <f t="shared" si="54"/>
        <v>0</v>
      </c>
      <c r="V224" s="468">
        <f t="shared" si="55"/>
        <v>0</v>
      </c>
      <c r="W224" s="468">
        <f t="shared" si="56"/>
        <v>0</v>
      </c>
      <c r="X224" s="601">
        <f t="shared" si="46"/>
        <v>0</v>
      </c>
      <c r="Y224" s="601">
        <f t="shared" si="47"/>
        <v>0</v>
      </c>
      <c r="Z224" s="601">
        <f t="shared" si="48"/>
        <v>0</v>
      </c>
      <c r="AA224" s="601">
        <f t="shared" si="49"/>
        <v>0</v>
      </c>
      <c r="AB224" s="602" t="str">
        <f t="shared" si="50"/>
        <v>S</v>
      </c>
      <c r="AC224" s="847"/>
      <c r="AD224" s="603">
        <f>(T224+U224+V224)*'1.0-Contractblad'!$K$69</f>
        <v>0</v>
      </c>
      <c r="AE224" s="603"/>
      <c r="AF224" s="58">
        <f t="shared" si="51"/>
        <v>0</v>
      </c>
      <c r="AG224" s="58">
        <f t="shared" si="57"/>
        <v>645.15</v>
      </c>
      <c r="AH224" s="58" t="str">
        <f t="shared" si="58"/>
        <v>4253-253</v>
      </c>
    </row>
    <row r="225" spans="1:34" ht="13">
      <c r="A225" s="134"/>
      <c r="B225" s="470"/>
      <c r="C225" s="471"/>
      <c r="D225" s="859">
        <f>VLOOKUP(E225,'1.1a-Jaarprijzen'!B:G,6,FALSE)</f>
        <v>2</v>
      </c>
      <c r="E225" s="845" t="s">
        <v>777</v>
      </c>
      <c r="F225" s="798" t="s">
        <v>469</v>
      </c>
      <c r="G225" s="799" t="s">
        <v>758</v>
      </c>
      <c r="H225" s="845" t="s">
        <v>452</v>
      </c>
      <c r="I225" s="573" t="str">
        <f t="shared" si="45"/>
        <v>administratieve -, personeels- en vergaderruimte</v>
      </c>
      <c r="J225" s="694" t="s">
        <v>455</v>
      </c>
      <c r="K225" s="800">
        <v>69.510000000000005</v>
      </c>
      <c r="L225" s="800"/>
      <c r="M225" s="867">
        <v>1253</v>
      </c>
      <c r="N225" s="868"/>
      <c r="O225" s="869"/>
      <c r="P225" s="869"/>
      <c r="Q225" s="866">
        <f t="shared" si="52"/>
        <v>253</v>
      </c>
      <c r="R225" s="600">
        <v>1</v>
      </c>
      <c r="S225" s="600">
        <v>1</v>
      </c>
      <c r="T225" s="468">
        <f t="shared" si="53"/>
        <v>0</v>
      </c>
      <c r="U225" s="468">
        <f t="shared" si="54"/>
        <v>0</v>
      </c>
      <c r="V225" s="468">
        <f t="shared" si="55"/>
        <v>0</v>
      </c>
      <c r="W225" s="468">
        <f t="shared" si="56"/>
        <v>0</v>
      </c>
      <c r="X225" s="601">
        <f t="shared" ref="X225:X288" si="59">IF($M225=0,0,VLOOKUP($M225,Kengetal,6,FALSE))</f>
        <v>0</v>
      </c>
      <c r="Y225" s="601">
        <f t="shared" ref="Y225:Y288" si="60">IF($M225=0,0,VLOOKUP($M225,Kengetal,8,FALSE))</f>
        <v>0</v>
      </c>
      <c r="Z225" s="601">
        <f t="shared" ref="Z225:Z288" si="61">IF($N225=0,0,VLOOKUP($N225,Kengetal,6,FALSE))</f>
        <v>0</v>
      </c>
      <c r="AA225" s="601">
        <f t="shared" ref="AA225:AA288" si="62">IF($O225=0,0,VLOOKUP($O225,Kengetal,6,FALSE))</f>
        <v>0</v>
      </c>
      <c r="AB225" s="602" t="str">
        <f t="shared" ref="AB225:AB288" si="63">IF(M225="","",VLOOKUP(M225,Kengetal,15,FALSE))</f>
        <v>B</v>
      </c>
      <c r="AC225" s="847"/>
      <c r="AD225" s="603">
        <f>(T225+U225+V225)*'1.0-Contractblad'!$K$69</f>
        <v>0</v>
      </c>
      <c r="AE225" s="603"/>
      <c r="AF225" s="58">
        <f t="shared" ref="AF225:AF288" si="64">IF(M225=8255,T225+U225,0)</f>
        <v>0</v>
      </c>
      <c r="AG225" s="58">
        <f t="shared" si="57"/>
        <v>17586.030000000002</v>
      </c>
      <c r="AH225" s="58" t="str">
        <f t="shared" si="58"/>
        <v>1253-253</v>
      </c>
    </row>
    <row r="226" spans="1:34" ht="13">
      <c r="A226" s="134"/>
      <c r="B226" s="470"/>
      <c r="C226" s="471"/>
      <c r="D226" s="859">
        <f>VLOOKUP(E226,'1.1a-Jaarprijzen'!B:G,6,FALSE)</f>
        <v>2</v>
      </c>
      <c r="E226" s="845" t="s">
        <v>777</v>
      </c>
      <c r="F226" s="798" t="s">
        <v>469</v>
      </c>
      <c r="G226" s="799" t="s">
        <v>759</v>
      </c>
      <c r="H226" s="573" t="s">
        <v>760</v>
      </c>
      <c r="I226" s="573" t="str">
        <f t="shared" si="45"/>
        <v>administratieve -, personeels- en vergaderruimte</v>
      </c>
      <c r="J226" s="694" t="s">
        <v>455</v>
      </c>
      <c r="K226" s="800">
        <v>19.260000000000002</v>
      </c>
      <c r="L226" s="800"/>
      <c r="M226" s="867">
        <v>1253</v>
      </c>
      <c r="N226" s="868"/>
      <c r="O226" s="869"/>
      <c r="P226" s="869"/>
      <c r="Q226" s="866">
        <f t="shared" ref="Q226:Q289" si="65">VLOOKUP(M226,Kengetal,3,FALSE)+VLOOKUP(N226,Kengetal,3,FALSE)+VLOOKUP(O226,Kengetal,3,FALSE)</f>
        <v>253</v>
      </c>
      <c r="R226" s="600">
        <v>1</v>
      </c>
      <c r="S226" s="600">
        <v>1</v>
      </c>
      <c r="T226" s="468">
        <f t="shared" ref="T226:T289" si="66">X226*K226*R226</f>
        <v>0</v>
      </c>
      <c r="U226" s="468">
        <f t="shared" ref="U226:U289" si="67">Y226*K226*S226</f>
        <v>0</v>
      </c>
      <c r="V226" s="468">
        <f t="shared" ref="V226:V289" si="68">Z226*K226*R226</f>
        <v>0</v>
      </c>
      <c r="W226" s="468">
        <f t="shared" ref="W226:W289" si="69">AA226*K226*U226</f>
        <v>0</v>
      </c>
      <c r="X226" s="601">
        <f t="shared" si="59"/>
        <v>0</v>
      </c>
      <c r="Y226" s="601">
        <f t="shared" si="60"/>
        <v>0</v>
      </c>
      <c r="Z226" s="601">
        <f t="shared" si="61"/>
        <v>0</v>
      </c>
      <c r="AA226" s="601">
        <f t="shared" si="62"/>
        <v>0</v>
      </c>
      <c r="AB226" s="602" t="str">
        <f t="shared" si="63"/>
        <v>B</v>
      </c>
      <c r="AC226" s="847"/>
      <c r="AD226" s="603">
        <f>(T226+U226+V226)*'1.0-Contractblad'!$K$69</f>
        <v>0</v>
      </c>
      <c r="AE226" s="603"/>
      <c r="AF226" s="58">
        <f t="shared" si="64"/>
        <v>0</v>
      </c>
      <c r="AG226" s="58">
        <f t="shared" ref="AG226:AG289" si="70">K226*Q226</f>
        <v>4872.7800000000007</v>
      </c>
      <c r="AH226" s="58" t="str">
        <f t="shared" ref="AH226:AH289" si="71">CONCATENATE(M226,"-",Q226)</f>
        <v>1253-253</v>
      </c>
    </row>
    <row r="227" spans="1:34" ht="13">
      <c r="A227" s="134"/>
      <c r="B227" s="470"/>
      <c r="C227" s="471"/>
      <c r="D227" s="859">
        <f>VLOOKUP(E227,'1.1a-Jaarprijzen'!B:G,6,FALSE)</f>
        <v>2</v>
      </c>
      <c r="E227" s="845" t="s">
        <v>777</v>
      </c>
      <c r="F227" s="798" t="s">
        <v>469</v>
      </c>
      <c r="G227" s="799" t="s">
        <v>761</v>
      </c>
      <c r="H227" s="573" t="s">
        <v>452</v>
      </c>
      <c r="I227" s="573" t="str">
        <f t="shared" si="45"/>
        <v>administratieve -, personeels- en vergaderruimte</v>
      </c>
      <c r="J227" s="694" t="s">
        <v>455</v>
      </c>
      <c r="K227" s="800">
        <v>19.239999999999998</v>
      </c>
      <c r="L227" s="800"/>
      <c r="M227" s="867">
        <v>1253</v>
      </c>
      <c r="N227" s="868"/>
      <c r="O227" s="869"/>
      <c r="P227" s="869"/>
      <c r="Q227" s="866">
        <f t="shared" si="65"/>
        <v>253</v>
      </c>
      <c r="R227" s="600">
        <v>1</v>
      </c>
      <c r="S227" s="600">
        <v>1</v>
      </c>
      <c r="T227" s="468">
        <f t="shared" si="66"/>
        <v>0</v>
      </c>
      <c r="U227" s="468">
        <f t="shared" si="67"/>
        <v>0</v>
      </c>
      <c r="V227" s="468">
        <f t="shared" si="68"/>
        <v>0</v>
      </c>
      <c r="W227" s="468">
        <f t="shared" si="69"/>
        <v>0</v>
      </c>
      <c r="X227" s="601">
        <f t="shared" si="59"/>
        <v>0</v>
      </c>
      <c r="Y227" s="601">
        <f t="shared" si="60"/>
        <v>0</v>
      </c>
      <c r="Z227" s="601">
        <f t="shared" si="61"/>
        <v>0</v>
      </c>
      <c r="AA227" s="601">
        <f t="shared" si="62"/>
        <v>0</v>
      </c>
      <c r="AB227" s="602" t="str">
        <f t="shared" si="63"/>
        <v>B</v>
      </c>
      <c r="AC227" s="847"/>
      <c r="AD227" s="603">
        <f>(T227+U227+V227)*'1.0-Contractblad'!$K$69</f>
        <v>0</v>
      </c>
      <c r="AE227" s="603"/>
      <c r="AF227" s="58">
        <f t="shared" si="64"/>
        <v>0</v>
      </c>
      <c r="AG227" s="58">
        <f t="shared" si="70"/>
        <v>4867.7199999999993</v>
      </c>
      <c r="AH227" s="58" t="str">
        <f t="shared" si="71"/>
        <v>1253-253</v>
      </c>
    </row>
    <row r="228" spans="1:34" ht="13">
      <c r="A228" s="134"/>
      <c r="B228" s="470"/>
      <c r="C228" s="471"/>
      <c r="D228" s="859">
        <f>VLOOKUP(E228,'1.1a-Jaarprijzen'!B:G,6,FALSE)</f>
        <v>2</v>
      </c>
      <c r="E228" s="845" t="s">
        <v>777</v>
      </c>
      <c r="F228" s="798" t="s">
        <v>469</v>
      </c>
      <c r="G228" s="799" t="s">
        <v>762</v>
      </c>
      <c r="H228" s="573" t="s">
        <v>763</v>
      </c>
      <c r="I228" s="573" t="str">
        <f t="shared" si="45"/>
        <v>entree, gang, hal, repro, kopieer</v>
      </c>
      <c r="J228" s="694" t="s">
        <v>455</v>
      </c>
      <c r="K228" s="800">
        <v>22.8</v>
      </c>
      <c r="L228" s="800"/>
      <c r="M228" s="867">
        <v>3253</v>
      </c>
      <c r="N228" s="868"/>
      <c r="O228" s="869"/>
      <c r="P228" s="869"/>
      <c r="Q228" s="866">
        <f t="shared" si="65"/>
        <v>253</v>
      </c>
      <c r="R228" s="600">
        <v>1</v>
      </c>
      <c r="S228" s="600">
        <v>1</v>
      </c>
      <c r="T228" s="468">
        <f t="shared" si="66"/>
        <v>0</v>
      </c>
      <c r="U228" s="468">
        <f t="shared" si="67"/>
        <v>0</v>
      </c>
      <c r="V228" s="468">
        <f t="shared" si="68"/>
        <v>0</v>
      </c>
      <c r="W228" s="468">
        <f t="shared" si="69"/>
        <v>0</v>
      </c>
      <c r="X228" s="601">
        <f t="shared" si="59"/>
        <v>0</v>
      </c>
      <c r="Y228" s="601">
        <f t="shared" si="60"/>
        <v>0</v>
      </c>
      <c r="Z228" s="601">
        <f t="shared" si="61"/>
        <v>0</v>
      </c>
      <c r="AA228" s="601">
        <f t="shared" si="62"/>
        <v>0</v>
      </c>
      <c r="AB228" s="602" t="str">
        <f t="shared" si="63"/>
        <v>V</v>
      </c>
      <c r="AC228" s="847"/>
      <c r="AD228" s="603">
        <f>(T228+U228+V228)*'1.0-Contractblad'!$K$69</f>
        <v>0</v>
      </c>
      <c r="AE228" s="603"/>
      <c r="AF228" s="58">
        <f t="shared" si="64"/>
        <v>0</v>
      </c>
      <c r="AG228" s="58">
        <f t="shared" si="70"/>
        <v>5768.4000000000005</v>
      </c>
      <c r="AH228" s="58" t="str">
        <f t="shared" si="71"/>
        <v>3253-253</v>
      </c>
    </row>
    <row r="229" spans="1:34" ht="13">
      <c r="A229" s="134"/>
      <c r="B229" s="470"/>
      <c r="C229" s="471"/>
      <c r="D229" s="859">
        <f>VLOOKUP(E229,'1.1a-Jaarprijzen'!B:G,6,FALSE)</f>
        <v>2</v>
      </c>
      <c r="E229" s="845" t="s">
        <v>777</v>
      </c>
      <c r="F229" s="798" t="s">
        <v>469</v>
      </c>
      <c r="G229" s="799" t="s">
        <v>764</v>
      </c>
      <c r="H229" s="573" t="s">
        <v>765</v>
      </c>
      <c r="I229" s="573" t="str">
        <f t="shared" si="45"/>
        <v>administratieve -, personeels- en vergaderruimte</v>
      </c>
      <c r="J229" s="694" t="s">
        <v>455</v>
      </c>
      <c r="K229" s="800">
        <v>19.7</v>
      </c>
      <c r="L229" s="800"/>
      <c r="M229" s="867">
        <v>1253</v>
      </c>
      <c r="N229" s="868"/>
      <c r="O229" s="869"/>
      <c r="P229" s="869"/>
      <c r="Q229" s="866">
        <f t="shared" si="65"/>
        <v>253</v>
      </c>
      <c r="R229" s="600">
        <v>1</v>
      </c>
      <c r="S229" s="600">
        <v>1</v>
      </c>
      <c r="T229" s="468">
        <f t="shared" si="66"/>
        <v>0</v>
      </c>
      <c r="U229" s="468">
        <f t="shared" si="67"/>
        <v>0</v>
      </c>
      <c r="V229" s="468">
        <f t="shared" si="68"/>
        <v>0</v>
      </c>
      <c r="W229" s="468">
        <f t="shared" si="69"/>
        <v>0</v>
      </c>
      <c r="X229" s="601">
        <f t="shared" si="59"/>
        <v>0</v>
      </c>
      <c r="Y229" s="601">
        <f t="shared" si="60"/>
        <v>0</v>
      </c>
      <c r="Z229" s="601">
        <f t="shared" si="61"/>
        <v>0</v>
      </c>
      <c r="AA229" s="601">
        <f t="shared" si="62"/>
        <v>0</v>
      </c>
      <c r="AB229" s="602" t="str">
        <f t="shared" si="63"/>
        <v>B</v>
      </c>
      <c r="AC229" s="847"/>
      <c r="AD229" s="603">
        <f>(T229+U229+V229)*'1.0-Contractblad'!$K$69</f>
        <v>0</v>
      </c>
      <c r="AE229" s="603"/>
      <c r="AF229" s="58">
        <f t="shared" si="64"/>
        <v>0</v>
      </c>
      <c r="AG229" s="58">
        <f t="shared" si="70"/>
        <v>4984.0999999999995</v>
      </c>
      <c r="AH229" s="58" t="str">
        <f t="shared" si="71"/>
        <v>1253-253</v>
      </c>
    </row>
    <row r="230" spans="1:34" ht="13">
      <c r="A230" s="134"/>
      <c r="B230" s="470"/>
      <c r="C230" s="471"/>
      <c r="D230" s="859">
        <f>VLOOKUP(E230,'1.1a-Jaarprijzen'!B:G,6,FALSE)</f>
        <v>2</v>
      </c>
      <c r="E230" s="845" t="s">
        <v>777</v>
      </c>
      <c r="F230" s="798" t="s">
        <v>469</v>
      </c>
      <c r="G230" s="799" t="s">
        <v>766</v>
      </c>
      <c r="H230" s="573" t="s">
        <v>767</v>
      </c>
      <c r="I230" s="573" t="str">
        <f t="shared" si="45"/>
        <v>sanitaire ruimte (toilet-/doucheruimte)</v>
      </c>
      <c r="J230" s="694" t="s">
        <v>675</v>
      </c>
      <c r="K230" s="800">
        <v>5.7</v>
      </c>
      <c r="L230" s="800"/>
      <c r="M230" s="867">
        <v>4253</v>
      </c>
      <c r="N230" s="868"/>
      <c r="O230" s="869"/>
      <c r="P230" s="869"/>
      <c r="Q230" s="866">
        <f t="shared" si="65"/>
        <v>253</v>
      </c>
      <c r="R230" s="600">
        <v>1</v>
      </c>
      <c r="S230" s="600">
        <v>1</v>
      </c>
      <c r="T230" s="468">
        <f t="shared" si="66"/>
        <v>0</v>
      </c>
      <c r="U230" s="468">
        <f t="shared" si="67"/>
        <v>0</v>
      </c>
      <c r="V230" s="468">
        <f t="shared" si="68"/>
        <v>0</v>
      </c>
      <c r="W230" s="468">
        <f t="shared" si="69"/>
        <v>0</v>
      </c>
      <c r="X230" s="601">
        <f t="shared" si="59"/>
        <v>0</v>
      </c>
      <c r="Y230" s="601">
        <f t="shared" si="60"/>
        <v>0</v>
      </c>
      <c r="Z230" s="601">
        <f t="shared" si="61"/>
        <v>0</v>
      </c>
      <c r="AA230" s="601">
        <f t="shared" si="62"/>
        <v>0</v>
      </c>
      <c r="AB230" s="602" t="str">
        <f t="shared" si="63"/>
        <v>S</v>
      </c>
      <c r="AC230" s="847"/>
      <c r="AD230" s="603">
        <f>(T230+U230+V230)*'1.0-Contractblad'!$K$69</f>
        <v>0</v>
      </c>
      <c r="AE230" s="603"/>
      <c r="AF230" s="58">
        <f t="shared" si="64"/>
        <v>0</v>
      </c>
      <c r="AG230" s="58">
        <f t="shared" si="70"/>
        <v>1442.1000000000001</v>
      </c>
      <c r="AH230" s="58" t="str">
        <f t="shared" si="71"/>
        <v>4253-253</v>
      </c>
    </row>
    <row r="231" spans="1:34" ht="13">
      <c r="A231" s="134"/>
      <c r="B231" s="470"/>
      <c r="C231" s="471"/>
      <c r="D231" s="859">
        <f>VLOOKUP(E231,'1.1a-Jaarprijzen'!B:G,6,FALSE)</f>
        <v>2</v>
      </c>
      <c r="E231" s="845" t="s">
        <v>777</v>
      </c>
      <c r="F231" s="798" t="s">
        <v>469</v>
      </c>
      <c r="G231" s="799" t="s">
        <v>768</v>
      </c>
      <c r="H231" s="573" t="s">
        <v>769</v>
      </c>
      <c r="I231" s="573" t="str">
        <f t="shared" si="45"/>
        <v>labruimte</v>
      </c>
      <c r="J231" s="694" t="s">
        <v>477</v>
      </c>
      <c r="K231" s="800">
        <v>22.77</v>
      </c>
      <c r="L231" s="800"/>
      <c r="M231" s="867">
        <v>8253</v>
      </c>
      <c r="N231" s="868"/>
      <c r="O231" s="869"/>
      <c r="P231" s="869"/>
      <c r="Q231" s="866">
        <f t="shared" si="65"/>
        <v>253</v>
      </c>
      <c r="R231" s="600">
        <v>1</v>
      </c>
      <c r="S231" s="600">
        <v>1</v>
      </c>
      <c r="T231" s="468">
        <f t="shared" si="66"/>
        <v>0</v>
      </c>
      <c r="U231" s="468">
        <f t="shared" si="67"/>
        <v>0</v>
      </c>
      <c r="V231" s="468">
        <f t="shared" si="68"/>
        <v>0</v>
      </c>
      <c r="W231" s="468">
        <f t="shared" si="69"/>
        <v>0</v>
      </c>
      <c r="X231" s="601">
        <f t="shared" si="59"/>
        <v>0</v>
      </c>
      <c r="Y231" s="601">
        <f t="shared" si="60"/>
        <v>0</v>
      </c>
      <c r="Z231" s="601">
        <f t="shared" si="61"/>
        <v>0</v>
      </c>
      <c r="AA231" s="601">
        <f t="shared" si="62"/>
        <v>0</v>
      </c>
      <c r="AB231" s="602" t="str">
        <f t="shared" si="63"/>
        <v>V</v>
      </c>
      <c r="AC231" s="847"/>
      <c r="AD231" s="603">
        <f>(T231+U231+V231)*'1.0-Contractblad'!$K$69</f>
        <v>0</v>
      </c>
      <c r="AE231" s="603"/>
      <c r="AF231" s="58">
        <f t="shared" si="64"/>
        <v>0</v>
      </c>
      <c r="AG231" s="58">
        <f t="shared" si="70"/>
        <v>5760.8099999999995</v>
      </c>
      <c r="AH231" s="58" t="str">
        <f t="shared" si="71"/>
        <v>8253-253</v>
      </c>
    </row>
    <row r="232" spans="1:34" ht="13">
      <c r="A232" s="134"/>
      <c r="B232" s="470"/>
      <c r="C232" s="471"/>
      <c r="D232" s="859">
        <f>VLOOKUP(E232,'1.1a-Jaarprijzen'!B:G,6,FALSE)</f>
        <v>2</v>
      </c>
      <c r="E232" s="845" t="s">
        <v>777</v>
      </c>
      <c r="F232" s="798" t="s">
        <v>469</v>
      </c>
      <c r="G232" s="799" t="s">
        <v>770</v>
      </c>
      <c r="H232" s="573" t="s">
        <v>607</v>
      </c>
      <c r="I232" s="573" t="str">
        <f t="shared" si="45"/>
        <v>niet van toepassing</v>
      </c>
      <c r="J232" s="694" t="s">
        <v>477</v>
      </c>
      <c r="K232" s="800"/>
      <c r="L232" s="800"/>
      <c r="M232" s="867" t="s">
        <v>19</v>
      </c>
      <c r="N232" s="868"/>
      <c r="O232" s="869"/>
      <c r="P232" s="869"/>
      <c r="Q232" s="866">
        <f t="shared" si="65"/>
        <v>0</v>
      </c>
      <c r="R232" s="600">
        <v>1</v>
      </c>
      <c r="S232" s="600">
        <v>1</v>
      </c>
      <c r="T232" s="468">
        <f t="shared" si="66"/>
        <v>0</v>
      </c>
      <c r="U232" s="468">
        <f t="shared" si="67"/>
        <v>0</v>
      </c>
      <c r="V232" s="468">
        <f t="shared" si="68"/>
        <v>0</v>
      </c>
      <c r="W232" s="468">
        <f t="shared" si="69"/>
        <v>0</v>
      </c>
      <c r="X232" s="601">
        <f t="shared" si="59"/>
        <v>0</v>
      </c>
      <c r="Y232" s="601">
        <f t="shared" si="60"/>
        <v>0</v>
      </c>
      <c r="Z232" s="601">
        <f t="shared" si="61"/>
        <v>0</v>
      </c>
      <c r="AA232" s="601">
        <f t="shared" si="62"/>
        <v>0</v>
      </c>
      <c r="AB232" s="602">
        <f t="shared" si="63"/>
        <v>0</v>
      </c>
      <c r="AC232" s="847"/>
      <c r="AD232" s="603">
        <f>(T232+U232+V232)*'1.0-Contractblad'!$K$69</f>
        <v>0</v>
      </c>
      <c r="AE232" s="603"/>
      <c r="AF232" s="58">
        <f t="shared" si="64"/>
        <v>0</v>
      </c>
      <c r="AG232" s="58">
        <f t="shared" si="70"/>
        <v>0</v>
      </c>
      <c r="AH232" s="58" t="str">
        <f t="shared" si="71"/>
        <v>nvt-0</v>
      </c>
    </row>
    <row r="233" spans="1:34" ht="13">
      <c r="A233" s="134"/>
      <c r="B233" s="470"/>
      <c r="C233" s="471"/>
      <c r="D233" s="859">
        <f>VLOOKUP(E233,'1.1a-Jaarprijzen'!B:G,6,FALSE)</f>
        <v>2</v>
      </c>
      <c r="E233" s="845" t="s">
        <v>777</v>
      </c>
      <c r="F233" s="798" t="s">
        <v>469</v>
      </c>
      <c r="G233" s="799" t="s">
        <v>771</v>
      </c>
      <c r="H233" s="573" t="s">
        <v>604</v>
      </c>
      <c r="I233" s="573" t="str">
        <f t="shared" si="45"/>
        <v>niet van toepassing</v>
      </c>
      <c r="J233" s="694" t="s">
        <v>477</v>
      </c>
      <c r="K233" s="800"/>
      <c r="L233" s="800">
        <v>22.77</v>
      </c>
      <c r="M233" s="867" t="s">
        <v>19</v>
      </c>
      <c r="N233" s="868"/>
      <c r="O233" s="869"/>
      <c r="P233" s="869"/>
      <c r="Q233" s="866">
        <f t="shared" si="65"/>
        <v>0</v>
      </c>
      <c r="R233" s="600">
        <v>1</v>
      </c>
      <c r="S233" s="600">
        <v>1</v>
      </c>
      <c r="T233" s="468">
        <f t="shared" si="66"/>
        <v>0</v>
      </c>
      <c r="U233" s="468">
        <f t="shared" si="67"/>
        <v>0</v>
      </c>
      <c r="V233" s="468">
        <f t="shared" si="68"/>
        <v>0</v>
      </c>
      <c r="W233" s="468">
        <f t="shared" si="69"/>
        <v>0</v>
      </c>
      <c r="X233" s="601">
        <f t="shared" si="59"/>
        <v>0</v>
      </c>
      <c r="Y233" s="601">
        <f t="shared" si="60"/>
        <v>0</v>
      </c>
      <c r="Z233" s="601">
        <f t="shared" si="61"/>
        <v>0</v>
      </c>
      <c r="AA233" s="601">
        <f t="shared" si="62"/>
        <v>0</v>
      </c>
      <c r="AB233" s="602">
        <f t="shared" si="63"/>
        <v>0</v>
      </c>
      <c r="AC233" s="847"/>
      <c r="AD233" s="603">
        <f>(T233+U233+V233)*'1.0-Contractblad'!$K$69</f>
        <v>0</v>
      </c>
      <c r="AE233" s="603"/>
      <c r="AF233" s="58">
        <f t="shared" si="64"/>
        <v>0</v>
      </c>
      <c r="AG233" s="58">
        <f t="shared" si="70"/>
        <v>0</v>
      </c>
      <c r="AH233" s="58" t="str">
        <f t="shared" si="71"/>
        <v>nvt-0</v>
      </c>
    </row>
    <row r="234" spans="1:34" ht="13">
      <c r="A234" s="134"/>
      <c r="B234" s="470"/>
      <c r="C234" s="471"/>
      <c r="D234" s="859">
        <f>VLOOKUP(E234,'1.1a-Jaarprijzen'!B:G,6,FALSE)</f>
        <v>2</v>
      </c>
      <c r="E234" s="845" t="s">
        <v>777</v>
      </c>
      <c r="F234" s="798" t="s">
        <v>469</v>
      </c>
      <c r="G234" s="799" t="s">
        <v>772</v>
      </c>
      <c r="H234" s="573" t="s">
        <v>452</v>
      </c>
      <c r="I234" s="573" t="str">
        <f t="shared" ref="I234:I297" si="72">IF($M234="",0,VLOOKUP($M234,Kengetal,4,FALSE))</f>
        <v>administratieve -, personeels- en vergaderruimte</v>
      </c>
      <c r="J234" s="694" t="s">
        <v>455</v>
      </c>
      <c r="K234" s="800">
        <v>19.420000000000002</v>
      </c>
      <c r="L234" s="800"/>
      <c r="M234" s="867">
        <v>1253</v>
      </c>
      <c r="N234" s="868"/>
      <c r="O234" s="869"/>
      <c r="P234" s="869"/>
      <c r="Q234" s="866">
        <f t="shared" si="65"/>
        <v>253</v>
      </c>
      <c r="R234" s="600">
        <v>1</v>
      </c>
      <c r="S234" s="600">
        <v>1</v>
      </c>
      <c r="T234" s="468">
        <f t="shared" si="66"/>
        <v>0</v>
      </c>
      <c r="U234" s="468">
        <f t="shared" si="67"/>
        <v>0</v>
      </c>
      <c r="V234" s="468">
        <f t="shared" si="68"/>
        <v>0</v>
      </c>
      <c r="W234" s="468">
        <f t="shared" si="69"/>
        <v>0</v>
      </c>
      <c r="X234" s="601">
        <f t="shared" si="59"/>
        <v>0</v>
      </c>
      <c r="Y234" s="601">
        <f t="shared" si="60"/>
        <v>0</v>
      </c>
      <c r="Z234" s="601">
        <f t="shared" si="61"/>
        <v>0</v>
      </c>
      <c r="AA234" s="601">
        <f t="shared" si="62"/>
        <v>0</v>
      </c>
      <c r="AB234" s="602" t="str">
        <f t="shared" si="63"/>
        <v>B</v>
      </c>
      <c r="AC234" s="847"/>
      <c r="AD234" s="603">
        <f>(T234+U234+V234)*'1.0-Contractblad'!$K$69</f>
        <v>0</v>
      </c>
      <c r="AE234" s="603"/>
      <c r="AF234" s="58">
        <f t="shared" si="64"/>
        <v>0</v>
      </c>
      <c r="AG234" s="58">
        <f t="shared" si="70"/>
        <v>4913.26</v>
      </c>
      <c r="AH234" s="58" t="str">
        <f t="shared" si="71"/>
        <v>1253-253</v>
      </c>
    </row>
    <row r="235" spans="1:34" ht="13">
      <c r="A235" s="134"/>
      <c r="B235" s="470"/>
      <c r="C235" s="471"/>
      <c r="D235" s="859">
        <f>VLOOKUP(E235,'1.1a-Jaarprijzen'!B:G,6,FALSE)</f>
        <v>2</v>
      </c>
      <c r="E235" s="845" t="s">
        <v>777</v>
      </c>
      <c r="F235" s="798" t="s">
        <v>469</v>
      </c>
      <c r="G235" s="799" t="s">
        <v>773</v>
      </c>
      <c r="H235" s="573" t="s">
        <v>502</v>
      </c>
      <c r="I235" s="573" t="str">
        <f t="shared" si="72"/>
        <v>pantry, keuken, koffiecorner</v>
      </c>
      <c r="J235" s="694" t="s">
        <v>455</v>
      </c>
      <c r="K235" s="800">
        <v>72.05</v>
      </c>
      <c r="L235" s="800"/>
      <c r="M235" s="867">
        <v>5253</v>
      </c>
      <c r="N235" s="868"/>
      <c r="O235" s="869"/>
      <c r="P235" s="869"/>
      <c r="Q235" s="866">
        <f t="shared" si="65"/>
        <v>253</v>
      </c>
      <c r="R235" s="600">
        <v>1</v>
      </c>
      <c r="S235" s="600">
        <v>1</v>
      </c>
      <c r="T235" s="468">
        <f t="shared" si="66"/>
        <v>0</v>
      </c>
      <c r="U235" s="468">
        <f t="shared" si="67"/>
        <v>0</v>
      </c>
      <c r="V235" s="468">
        <f t="shared" si="68"/>
        <v>0</v>
      </c>
      <c r="W235" s="468">
        <f t="shared" si="69"/>
        <v>0</v>
      </c>
      <c r="X235" s="601">
        <f t="shared" si="59"/>
        <v>0</v>
      </c>
      <c r="Y235" s="601">
        <f t="shared" si="60"/>
        <v>0</v>
      </c>
      <c r="Z235" s="601">
        <f t="shared" si="61"/>
        <v>0</v>
      </c>
      <c r="AA235" s="601">
        <f t="shared" si="62"/>
        <v>0</v>
      </c>
      <c r="AB235" s="602" t="str">
        <f t="shared" si="63"/>
        <v>V</v>
      </c>
      <c r="AC235" s="847"/>
      <c r="AD235" s="603">
        <f>(T235+U235+V235)*'1.0-Contractblad'!$K$69</f>
        <v>0</v>
      </c>
      <c r="AE235" s="603"/>
      <c r="AF235" s="58">
        <f t="shared" si="64"/>
        <v>0</v>
      </c>
      <c r="AG235" s="58">
        <f t="shared" si="70"/>
        <v>18228.649999999998</v>
      </c>
      <c r="AH235" s="58" t="str">
        <f t="shared" si="71"/>
        <v>5253-253</v>
      </c>
    </row>
    <row r="236" spans="1:34" ht="13">
      <c r="A236" s="134"/>
      <c r="B236" s="470"/>
      <c r="C236" s="471"/>
      <c r="D236" s="859">
        <f>VLOOKUP(E236,'1.1a-Jaarprijzen'!B:G,6,FALSE)</f>
        <v>2</v>
      </c>
      <c r="E236" s="845" t="s">
        <v>777</v>
      </c>
      <c r="F236" s="798" t="s">
        <v>469</v>
      </c>
      <c r="G236" s="799" t="s">
        <v>774</v>
      </c>
      <c r="H236" s="573" t="s">
        <v>514</v>
      </c>
      <c r="I236" s="573" t="str">
        <f t="shared" si="72"/>
        <v>administratieve -, personeels- en vergaderruimte</v>
      </c>
      <c r="J236" s="694" t="s">
        <v>455</v>
      </c>
      <c r="K236" s="800">
        <v>19.62</v>
      </c>
      <c r="L236" s="800"/>
      <c r="M236" s="867">
        <v>1253</v>
      </c>
      <c r="N236" s="868"/>
      <c r="O236" s="869"/>
      <c r="P236" s="869"/>
      <c r="Q236" s="866">
        <f t="shared" si="65"/>
        <v>253</v>
      </c>
      <c r="R236" s="600">
        <v>1</v>
      </c>
      <c r="S236" s="600">
        <v>1</v>
      </c>
      <c r="T236" s="468">
        <f t="shared" si="66"/>
        <v>0</v>
      </c>
      <c r="U236" s="468">
        <f t="shared" si="67"/>
        <v>0</v>
      </c>
      <c r="V236" s="468">
        <f t="shared" si="68"/>
        <v>0</v>
      </c>
      <c r="W236" s="468">
        <f t="shared" si="69"/>
        <v>0</v>
      </c>
      <c r="X236" s="601">
        <f t="shared" si="59"/>
        <v>0</v>
      </c>
      <c r="Y236" s="601">
        <f t="shared" si="60"/>
        <v>0</v>
      </c>
      <c r="Z236" s="601">
        <f t="shared" si="61"/>
        <v>0</v>
      </c>
      <c r="AA236" s="601">
        <f t="shared" si="62"/>
        <v>0</v>
      </c>
      <c r="AB236" s="602" t="str">
        <f t="shared" si="63"/>
        <v>B</v>
      </c>
      <c r="AC236" s="847"/>
      <c r="AD236" s="603">
        <f>(T236+U236+V236)*'1.0-Contractblad'!$K$69</f>
        <v>0</v>
      </c>
      <c r="AE236" s="603"/>
      <c r="AF236" s="58">
        <f t="shared" si="64"/>
        <v>0</v>
      </c>
      <c r="AG236" s="58">
        <f t="shared" si="70"/>
        <v>4963.8600000000006</v>
      </c>
      <c r="AH236" s="58" t="str">
        <f t="shared" si="71"/>
        <v>1253-253</v>
      </c>
    </row>
    <row r="237" spans="1:34" ht="13">
      <c r="A237" s="134"/>
      <c r="B237" s="470"/>
      <c r="C237" s="471"/>
      <c r="D237" s="859">
        <f>VLOOKUP(E237,'1.1a-Jaarprijzen'!B:G,6,FALSE)</f>
        <v>2</v>
      </c>
      <c r="E237" s="845" t="s">
        <v>777</v>
      </c>
      <c r="F237" s="798" t="s">
        <v>469</v>
      </c>
      <c r="G237" s="799" t="s">
        <v>775</v>
      </c>
      <c r="H237" s="573" t="s">
        <v>776</v>
      </c>
      <c r="I237" s="573" t="str">
        <f t="shared" si="72"/>
        <v>sanitaire ruimte (toilet-/doucheruimte)</v>
      </c>
      <c r="J237" s="694" t="s">
        <v>675</v>
      </c>
      <c r="K237" s="800">
        <v>7</v>
      </c>
      <c r="L237" s="800"/>
      <c r="M237" s="867">
        <v>4253</v>
      </c>
      <c r="N237" s="868"/>
      <c r="O237" s="869"/>
      <c r="P237" s="869"/>
      <c r="Q237" s="866">
        <f t="shared" si="65"/>
        <v>253</v>
      </c>
      <c r="R237" s="600">
        <v>1</v>
      </c>
      <c r="S237" s="600">
        <v>1</v>
      </c>
      <c r="T237" s="468">
        <f t="shared" si="66"/>
        <v>0</v>
      </c>
      <c r="U237" s="468">
        <f t="shared" si="67"/>
        <v>0</v>
      </c>
      <c r="V237" s="468">
        <f t="shared" si="68"/>
        <v>0</v>
      </c>
      <c r="W237" s="468">
        <f t="shared" si="69"/>
        <v>0</v>
      </c>
      <c r="X237" s="601">
        <f t="shared" si="59"/>
        <v>0</v>
      </c>
      <c r="Y237" s="601">
        <f t="shared" si="60"/>
        <v>0</v>
      </c>
      <c r="Z237" s="601">
        <f t="shared" si="61"/>
        <v>0</v>
      </c>
      <c r="AA237" s="601">
        <f t="shared" si="62"/>
        <v>0</v>
      </c>
      <c r="AB237" s="602" t="str">
        <f t="shared" si="63"/>
        <v>S</v>
      </c>
      <c r="AC237" s="847"/>
      <c r="AD237" s="603">
        <f>(T237+U237+V237)*'1.0-Contractblad'!$K$69</f>
        <v>0</v>
      </c>
      <c r="AE237" s="603"/>
      <c r="AF237" s="58">
        <f t="shared" si="64"/>
        <v>0</v>
      </c>
      <c r="AG237" s="58">
        <f t="shared" si="70"/>
        <v>1771</v>
      </c>
      <c r="AH237" s="58" t="str">
        <f t="shared" si="71"/>
        <v>4253-253</v>
      </c>
    </row>
    <row r="238" spans="1:34" ht="13">
      <c r="A238" s="134"/>
      <c r="B238" s="470"/>
      <c r="C238" s="471"/>
      <c r="D238" s="859">
        <f>VLOOKUP(E238,'1.1a-Jaarprijzen'!B:G,6,FALSE)</f>
        <v>2</v>
      </c>
      <c r="E238" s="845" t="s">
        <v>956</v>
      </c>
      <c r="F238" s="798" t="s">
        <v>469</v>
      </c>
      <c r="G238" s="799" t="s">
        <v>437</v>
      </c>
      <c r="H238" s="573" t="s">
        <v>528</v>
      </c>
      <c r="I238" s="573" t="str">
        <f t="shared" si="72"/>
        <v>entree, gang, hal, repro, kopieer</v>
      </c>
      <c r="J238" s="694" t="s">
        <v>957</v>
      </c>
      <c r="K238" s="800">
        <v>8</v>
      </c>
      <c r="L238" s="800"/>
      <c r="M238" s="867">
        <v>3122</v>
      </c>
      <c r="N238" s="868"/>
      <c r="O238" s="867">
        <v>3060</v>
      </c>
      <c r="P238" s="869"/>
      <c r="Q238" s="866">
        <f t="shared" si="65"/>
        <v>182</v>
      </c>
      <c r="R238" s="600">
        <v>1</v>
      </c>
      <c r="S238" s="600">
        <v>1</v>
      </c>
      <c r="T238" s="468">
        <f t="shared" si="66"/>
        <v>0</v>
      </c>
      <c r="U238" s="468">
        <f t="shared" si="67"/>
        <v>0</v>
      </c>
      <c r="V238" s="468">
        <f t="shared" si="68"/>
        <v>0</v>
      </c>
      <c r="W238" s="468">
        <f t="shared" si="69"/>
        <v>0</v>
      </c>
      <c r="X238" s="601">
        <f t="shared" si="59"/>
        <v>0</v>
      </c>
      <c r="Y238" s="601">
        <f t="shared" si="60"/>
        <v>0</v>
      </c>
      <c r="Z238" s="601">
        <f t="shared" si="61"/>
        <v>0</v>
      </c>
      <c r="AA238" s="601">
        <f t="shared" si="62"/>
        <v>0</v>
      </c>
      <c r="AB238" s="602" t="str">
        <f t="shared" si="63"/>
        <v>V</v>
      </c>
      <c r="AC238" s="847" t="s">
        <v>1249</v>
      </c>
      <c r="AD238" s="603">
        <f>(T238+U238+V238)*'1.0-Contractblad'!$K$69</f>
        <v>0</v>
      </c>
      <c r="AE238" s="603"/>
      <c r="AF238" s="58">
        <f t="shared" si="64"/>
        <v>0</v>
      </c>
      <c r="AG238" s="58">
        <f t="shared" si="70"/>
        <v>1456</v>
      </c>
      <c r="AH238" s="58" t="str">
        <f t="shared" si="71"/>
        <v>3122-182</v>
      </c>
    </row>
    <row r="239" spans="1:34" ht="13">
      <c r="A239" s="134"/>
      <c r="B239" s="470"/>
      <c r="C239" s="471"/>
      <c r="D239" s="859">
        <f>VLOOKUP(E239,'1.1a-Jaarprijzen'!B:G,6,FALSE)</f>
        <v>2</v>
      </c>
      <c r="E239" s="845" t="s">
        <v>956</v>
      </c>
      <c r="F239" s="798" t="s">
        <v>469</v>
      </c>
      <c r="G239" s="799" t="s">
        <v>439</v>
      </c>
      <c r="H239" s="573" t="s">
        <v>958</v>
      </c>
      <c r="I239" s="573" t="str">
        <f t="shared" si="72"/>
        <v>entree, gang, hal, repro, kopieer</v>
      </c>
      <c r="J239" s="694" t="s">
        <v>719</v>
      </c>
      <c r="K239" s="800">
        <v>34.049999999999997</v>
      </c>
      <c r="L239" s="800"/>
      <c r="M239" s="867">
        <v>3122</v>
      </c>
      <c r="N239" s="868"/>
      <c r="O239" s="867">
        <v>3060</v>
      </c>
      <c r="P239" s="869"/>
      <c r="Q239" s="866">
        <f t="shared" si="65"/>
        <v>182</v>
      </c>
      <c r="R239" s="600">
        <v>1</v>
      </c>
      <c r="S239" s="600">
        <v>1</v>
      </c>
      <c r="T239" s="468">
        <f t="shared" si="66"/>
        <v>0</v>
      </c>
      <c r="U239" s="468">
        <f t="shared" si="67"/>
        <v>0</v>
      </c>
      <c r="V239" s="468">
        <f t="shared" si="68"/>
        <v>0</v>
      </c>
      <c r="W239" s="468">
        <f t="shared" si="69"/>
        <v>0</v>
      </c>
      <c r="X239" s="601">
        <f t="shared" si="59"/>
        <v>0</v>
      </c>
      <c r="Y239" s="601">
        <f t="shared" si="60"/>
        <v>0</v>
      </c>
      <c r="Z239" s="601">
        <f t="shared" si="61"/>
        <v>0</v>
      </c>
      <c r="AA239" s="601">
        <f t="shared" si="62"/>
        <v>0</v>
      </c>
      <c r="AB239" s="602" t="str">
        <f t="shared" si="63"/>
        <v>V</v>
      </c>
      <c r="AC239" s="847" t="s">
        <v>1249</v>
      </c>
      <c r="AD239" s="603">
        <f>(T239+U239+V239)*'1.0-Contractblad'!$K$69</f>
        <v>0</v>
      </c>
      <c r="AE239" s="603"/>
      <c r="AF239" s="58">
        <f t="shared" si="64"/>
        <v>0</v>
      </c>
      <c r="AG239" s="58">
        <f t="shared" si="70"/>
        <v>6197.0999999999995</v>
      </c>
      <c r="AH239" s="58" t="str">
        <f t="shared" si="71"/>
        <v>3122-182</v>
      </c>
    </row>
    <row r="240" spans="1:34" ht="13">
      <c r="A240" s="134"/>
      <c r="B240" s="470"/>
      <c r="C240" s="471"/>
      <c r="D240" s="859">
        <f>VLOOKUP(E240,'1.1a-Jaarprijzen'!B:G,6,FALSE)</f>
        <v>2</v>
      </c>
      <c r="E240" s="845" t="s">
        <v>956</v>
      </c>
      <c r="F240" s="798" t="s">
        <v>469</v>
      </c>
      <c r="G240" s="799" t="s">
        <v>440</v>
      </c>
      <c r="H240" s="573" t="s">
        <v>959</v>
      </c>
      <c r="I240" s="573" t="str">
        <f t="shared" si="72"/>
        <v>sanitaire ruimte (toilet-/doucheruimte)</v>
      </c>
      <c r="J240" s="694" t="s">
        <v>960</v>
      </c>
      <c r="K240" s="800">
        <v>3.94</v>
      </c>
      <c r="L240" s="800"/>
      <c r="M240" s="867">
        <v>4122</v>
      </c>
      <c r="N240" s="868"/>
      <c r="O240" s="867">
        <v>4060</v>
      </c>
      <c r="P240" s="869"/>
      <c r="Q240" s="866">
        <f t="shared" si="65"/>
        <v>182</v>
      </c>
      <c r="R240" s="600">
        <v>1</v>
      </c>
      <c r="S240" s="600">
        <v>1</v>
      </c>
      <c r="T240" s="468">
        <f t="shared" si="66"/>
        <v>0</v>
      </c>
      <c r="U240" s="468">
        <f t="shared" si="67"/>
        <v>0</v>
      </c>
      <c r="V240" s="468">
        <f t="shared" si="68"/>
        <v>0</v>
      </c>
      <c r="W240" s="468">
        <f t="shared" si="69"/>
        <v>0</v>
      </c>
      <c r="X240" s="601">
        <f t="shared" si="59"/>
        <v>0</v>
      </c>
      <c r="Y240" s="601">
        <f t="shared" si="60"/>
        <v>0</v>
      </c>
      <c r="Z240" s="601">
        <f t="shared" si="61"/>
        <v>0</v>
      </c>
      <c r="AA240" s="601">
        <f t="shared" si="62"/>
        <v>0</v>
      </c>
      <c r="AB240" s="602" t="str">
        <f t="shared" si="63"/>
        <v>S</v>
      </c>
      <c r="AC240" s="847" t="s">
        <v>1249</v>
      </c>
      <c r="AD240" s="603">
        <f>(T240+U240+V240)*'1.0-Contractblad'!$K$69</f>
        <v>0</v>
      </c>
      <c r="AE240" s="603"/>
      <c r="AF240" s="58">
        <f t="shared" si="64"/>
        <v>0</v>
      </c>
      <c r="AG240" s="58">
        <f t="shared" si="70"/>
        <v>717.08</v>
      </c>
      <c r="AH240" s="58" t="str">
        <f t="shared" si="71"/>
        <v>4122-182</v>
      </c>
    </row>
    <row r="241" spans="1:34" ht="13">
      <c r="A241" s="134"/>
      <c r="B241" s="470"/>
      <c r="C241" s="471"/>
      <c r="D241" s="859">
        <f>VLOOKUP(E241,'1.1a-Jaarprijzen'!B:G,6,FALSE)</f>
        <v>2</v>
      </c>
      <c r="E241" s="845" t="s">
        <v>956</v>
      </c>
      <c r="F241" s="798" t="s">
        <v>469</v>
      </c>
      <c r="G241" s="799" t="s">
        <v>441</v>
      </c>
      <c r="H241" s="845" t="s">
        <v>961</v>
      </c>
      <c r="I241" s="573" t="str">
        <f t="shared" si="72"/>
        <v>sanitaire ruimte (toilet-/doucheruimte)</v>
      </c>
      <c r="J241" s="694" t="s">
        <v>960</v>
      </c>
      <c r="K241" s="800">
        <v>3.03</v>
      </c>
      <c r="L241" s="800"/>
      <c r="M241" s="867">
        <v>4122</v>
      </c>
      <c r="N241" s="868"/>
      <c r="O241" s="867">
        <v>4060</v>
      </c>
      <c r="P241" s="869"/>
      <c r="Q241" s="866">
        <f t="shared" si="65"/>
        <v>182</v>
      </c>
      <c r="R241" s="600">
        <v>1</v>
      </c>
      <c r="S241" s="600">
        <v>1</v>
      </c>
      <c r="T241" s="468">
        <f t="shared" si="66"/>
        <v>0</v>
      </c>
      <c r="U241" s="468">
        <f t="shared" si="67"/>
        <v>0</v>
      </c>
      <c r="V241" s="468">
        <f t="shared" si="68"/>
        <v>0</v>
      </c>
      <c r="W241" s="468">
        <f t="shared" si="69"/>
        <v>0</v>
      </c>
      <c r="X241" s="601">
        <f t="shared" si="59"/>
        <v>0</v>
      </c>
      <c r="Y241" s="601">
        <f t="shared" si="60"/>
        <v>0</v>
      </c>
      <c r="Z241" s="601">
        <f t="shared" si="61"/>
        <v>0</v>
      </c>
      <c r="AA241" s="601">
        <f t="shared" si="62"/>
        <v>0</v>
      </c>
      <c r="AB241" s="602" t="str">
        <f t="shared" si="63"/>
        <v>S</v>
      </c>
      <c r="AC241" s="847" t="s">
        <v>1249</v>
      </c>
      <c r="AD241" s="603">
        <f>(T241+U241+V241)*'1.0-Contractblad'!$K$69</f>
        <v>0</v>
      </c>
      <c r="AE241" s="603"/>
      <c r="AF241" s="58">
        <f t="shared" si="64"/>
        <v>0</v>
      </c>
      <c r="AG241" s="58">
        <f t="shared" si="70"/>
        <v>551.45999999999992</v>
      </c>
      <c r="AH241" s="58" t="str">
        <f t="shared" si="71"/>
        <v>4122-182</v>
      </c>
    </row>
    <row r="242" spans="1:34" ht="13">
      <c r="A242" s="134"/>
      <c r="B242" s="470"/>
      <c r="C242" s="471"/>
      <c r="D242" s="859">
        <f>VLOOKUP(E242,'1.1a-Jaarprijzen'!B:G,6,FALSE)</f>
        <v>2</v>
      </c>
      <c r="E242" s="845" t="s">
        <v>956</v>
      </c>
      <c r="F242" s="798" t="s">
        <v>469</v>
      </c>
      <c r="G242" s="799" t="s">
        <v>442</v>
      </c>
      <c r="H242" s="573" t="s">
        <v>962</v>
      </c>
      <c r="I242" s="573" t="str">
        <f t="shared" si="72"/>
        <v>sanitaire ruimte (toilet-/doucheruimte)</v>
      </c>
      <c r="J242" s="694" t="s">
        <v>960</v>
      </c>
      <c r="K242" s="800">
        <v>2.84</v>
      </c>
      <c r="L242" s="800"/>
      <c r="M242" s="867">
        <v>4122</v>
      </c>
      <c r="N242" s="868"/>
      <c r="O242" s="867">
        <v>4060</v>
      </c>
      <c r="P242" s="869"/>
      <c r="Q242" s="866">
        <f t="shared" si="65"/>
        <v>182</v>
      </c>
      <c r="R242" s="600">
        <v>1</v>
      </c>
      <c r="S242" s="600">
        <v>1</v>
      </c>
      <c r="T242" s="468">
        <f t="shared" si="66"/>
        <v>0</v>
      </c>
      <c r="U242" s="468">
        <f t="shared" si="67"/>
        <v>0</v>
      </c>
      <c r="V242" s="468">
        <f t="shared" si="68"/>
        <v>0</v>
      </c>
      <c r="W242" s="468">
        <f t="shared" si="69"/>
        <v>0</v>
      </c>
      <c r="X242" s="601">
        <f t="shared" si="59"/>
        <v>0</v>
      </c>
      <c r="Y242" s="601">
        <f t="shared" si="60"/>
        <v>0</v>
      </c>
      <c r="Z242" s="601">
        <f t="shared" si="61"/>
        <v>0</v>
      </c>
      <c r="AA242" s="601">
        <f t="shared" si="62"/>
        <v>0</v>
      </c>
      <c r="AB242" s="602" t="str">
        <f t="shared" si="63"/>
        <v>S</v>
      </c>
      <c r="AC242" s="847" t="s">
        <v>1249</v>
      </c>
      <c r="AD242" s="603">
        <f>(T242+U242+V242)*'1.0-Contractblad'!$K$69</f>
        <v>0</v>
      </c>
      <c r="AE242" s="603"/>
      <c r="AF242" s="58">
        <f t="shared" si="64"/>
        <v>0</v>
      </c>
      <c r="AG242" s="58">
        <f t="shared" si="70"/>
        <v>516.88</v>
      </c>
      <c r="AH242" s="58" t="str">
        <f t="shared" si="71"/>
        <v>4122-182</v>
      </c>
    </row>
    <row r="243" spans="1:34" ht="13">
      <c r="A243" s="134"/>
      <c r="B243" s="470"/>
      <c r="C243" s="471"/>
      <c r="D243" s="859">
        <f>VLOOKUP(E243,'1.1a-Jaarprijzen'!B:G,6,FALSE)</f>
        <v>2</v>
      </c>
      <c r="E243" s="845" t="s">
        <v>956</v>
      </c>
      <c r="F243" s="798" t="s">
        <v>469</v>
      </c>
      <c r="G243" s="799" t="s">
        <v>444</v>
      </c>
      <c r="H243" s="573" t="s">
        <v>963</v>
      </c>
      <c r="I243" s="573" t="str">
        <f t="shared" si="72"/>
        <v>museum, gemeenschappelijke ruimte, bibliotheek</v>
      </c>
      <c r="J243" s="694" t="s">
        <v>332</v>
      </c>
      <c r="K243" s="800">
        <v>132.57</v>
      </c>
      <c r="L243" s="800"/>
      <c r="M243" s="867">
        <v>2122</v>
      </c>
      <c r="N243" s="868"/>
      <c r="O243" s="867">
        <v>2060</v>
      </c>
      <c r="P243" s="869"/>
      <c r="Q243" s="866">
        <f t="shared" si="65"/>
        <v>182</v>
      </c>
      <c r="R243" s="600">
        <v>1</v>
      </c>
      <c r="S243" s="600">
        <v>1</v>
      </c>
      <c r="T243" s="468">
        <f t="shared" si="66"/>
        <v>0</v>
      </c>
      <c r="U243" s="468">
        <f t="shared" si="67"/>
        <v>0</v>
      </c>
      <c r="V243" s="468">
        <f t="shared" si="68"/>
        <v>0</v>
      </c>
      <c r="W243" s="468">
        <f t="shared" si="69"/>
        <v>0</v>
      </c>
      <c r="X243" s="601">
        <f t="shared" si="59"/>
        <v>0</v>
      </c>
      <c r="Y243" s="601">
        <f t="shared" si="60"/>
        <v>0</v>
      </c>
      <c r="Z243" s="601">
        <f t="shared" si="61"/>
        <v>0</v>
      </c>
      <c r="AA243" s="601">
        <f t="shared" si="62"/>
        <v>0</v>
      </c>
      <c r="AB243" s="602" t="str">
        <f t="shared" si="63"/>
        <v>V</v>
      </c>
      <c r="AC243" s="847" t="s">
        <v>1249</v>
      </c>
      <c r="AD243" s="603">
        <f>(T243+U243+V243)*'1.0-Contractblad'!$K$69</f>
        <v>0</v>
      </c>
      <c r="AE243" s="603"/>
      <c r="AF243" s="58">
        <f t="shared" si="64"/>
        <v>0</v>
      </c>
      <c r="AG243" s="58">
        <f t="shared" si="70"/>
        <v>24127.739999999998</v>
      </c>
      <c r="AH243" s="58" t="str">
        <f t="shared" si="71"/>
        <v>2122-182</v>
      </c>
    </row>
    <row r="244" spans="1:34" ht="13">
      <c r="A244" s="134"/>
      <c r="B244" s="470"/>
      <c r="C244" s="471"/>
      <c r="D244" s="859">
        <f>VLOOKUP(E244,'1.1a-Jaarprijzen'!B:G,6,FALSE)</f>
        <v>2</v>
      </c>
      <c r="E244" s="845" t="s">
        <v>956</v>
      </c>
      <c r="F244" s="798" t="s">
        <v>469</v>
      </c>
      <c r="G244" s="799" t="s">
        <v>445</v>
      </c>
      <c r="H244" s="573" t="s">
        <v>964</v>
      </c>
      <c r="I244" s="573" t="str">
        <f t="shared" si="72"/>
        <v>trappenhuis</v>
      </c>
      <c r="J244" s="694" t="s">
        <v>577</v>
      </c>
      <c r="K244" s="800">
        <v>7.5</v>
      </c>
      <c r="L244" s="800"/>
      <c r="M244" s="867">
        <v>9122</v>
      </c>
      <c r="N244" s="868"/>
      <c r="O244" s="867">
        <v>9060</v>
      </c>
      <c r="P244" s="869"/>
      <c r="Q244" s="866">
        <f t="shared" si="65"/>
        <v>182</v>
      </c>
      <c r="R244" s="600">
        <v>1</v>
      </c>
      <c r="S244" s="600">
        <v>1</v>
      </c>
      <c r="T244" s="468">
        <f t="shared" si="66"/>
        <v>0</v>
      </c>
      <c r="U244" s="468">
        <f t="shared" si="67"/>
        <v>0</v>
      </c>
      <c r="V244" s="468">
        <f t="shared" si="68"/>
        <v>0</v>
      </c>
      <c r="W244" s="468">
        <f t="shared" si="69"/>
        <v>0</v>
      </c>
      <c r="X244" s="601">
        <f t="shared" si="59"/>
        <v>0</v>
      </c>
      <c r="Y244" s="601">
        <f t="shared" si="60"/>
        <v>0</v>
      </c>
      <c r="Z244" s="601">
        <f t="shared" si="61"/>
        <v>0</v>
      </c>
      <c r="AA244" s="601">
        <f t="shared" si="62"/>
        <v>0</v>
      </c>
      <c r="AB244" s="602" t="str">
        <f t="shared" si="63"/>
        <v>V</v>
      </c>
      <c r="AC244" s="847" t="s">
        <v>1249</v>
      </c>
      <c r="AD244" s="603">
        <f>(T244+U244+V244)*'1.0-Contractblad'!$K$69</f>
        <v>0</v>
      </c>
      <c r="AE244" s="603"/>
      <c r="AF244" s="58">
        <f t="shared" si="64"/>
        <v>0</v>
      </c>
      <c r="AG244" s="58">
        <f t="shared" si="70"/>
        <v>1365</v>
      </c>
      <c r="AH244" s="58" t="str">
        <f t="shared" si="71"/>
        <v>9122-182</v>
      </c>
    </row>
    <row r="245" spans="1:34" ht="13">
      <c r="A245" s="134"/>
      <c r="B245" s="470"/>
      <c r="C245" s="471"/>
      <c r="D245" s="859">
        <f>VLOOKUP(E245,'1.1a-Jaarprijzen'!B:G,6,FALSE)</f>
        <v>2</v>
      </c>
      <c r="E245" s="845" t="s">
        <v>956</v>
      </c>
      <c r="F245" s="798" t="s">
        <v>469</v>
      </c>
      <c r="G245" s="799" t="s">
        <v>446</v>
      </c>
      <c r="H245" s="573" t="s">
        <v>531</v>
      </c>
      <c r="I245" s="573" t="str">
        <f t="shared" si="72"/>
        <v>administratieve -, personeels- en vergaderruimte</v>
      </c>
      <c r="J245" s="694" t="s">
        <v>719</v>
      </c>
      <c r="K245" s="800">
        <v>13.94</v>
      </c>
      <c r="L245" s="800"/>
      <c r="M245" s="867">
        <v>1122</v>
      </c>
      <c r="N245" s="868"/>
      <c r="O245" s="867">
        <v>1060</v>
      </c>
      <c r="P245" s="869"/>
      <c r="Q245" s="866">
        <f t="shared" si="65"/>
        <v>182</v>
      </c>
      <c r="R245" s="600">
        <v>1</v>
      </c>
      <c r="S245" s="600">
        <v>1</v>
      </c>
      <c r="T245" s="468">
        <f t="shared" si="66"/>
        <v>0</v>
      </c>
      <c r="U245" s="468">
        <f t="shared" si="67"/>
        <v>0</v>
      </c>
      <c r="V245" s="468">
        <f t="shared" si="68"/>
        <v>0</v>
      </c>
      <c r="W245" s="468">
        <f t="shared" si="69"/>
        <v>0</v>
      </c>
      <c r="X245" s="601">
        <f t="shared" si="59"/>
        <v>0</v>
      </c>
      <c r="Y245" s="601">
        <f t="shared" si="60"/>
        <v>0</v>
      </c>
      <c r="Z245" s="601">
        <f t="shared" si="61"/>
        <v>0</v>
      </c>
      <c r="AA245" s="601">
        <f t="shared" si="62"/>
        <v>0</v>
      </c>
      <c r="AB245" s="602" t="str">
        <f t="shared" si="63"/>
        <v>B</v>
      </c>
      <c r="AC245" s="847" t="s">
        <v>1249</v>
      </c>
      <c r="AD245" s="603">
        <f>(T245+U245+V245)*'1.0-Contractblad'!$K$69</f>
        <v>0</v>
      </c>
      <c r="AE245" s="603"/>
      <c r="AF245" s="58">
        <f t="shared" si="64"/>
        <v>0</v>
      </c>
      <c r="AG245" s="58">
        <f t="shared" si="70"/>
        <v>2537.08</v>
      </c>
      <c r="AH245" s="58" t="str">
        <f t="shared" si="71"/>
        <v>1122-182</v>
      </c>
    </row>
    <row r="246" spans="1:34" ht="13">
      <c r="A246" s="134"/>
      <c r="B246" s="470"/>
      <c r="C246" s="471"/>
      <c r="D246" s="859">
        <f>VLOOKUP(E246,'1.1a-Jaarprijzen'!B:G,6,FALSE)</f>
        <v>2</v>
      </c>
      <c r="E246" s="845" t="s">
        <v>956</v>
      </c>
      <c r="F246" s="798" t="s">
        <v>469</v>
      </c>
      <c r="G246" s="799" t="s">
        <v>447</v>
      </c>
      <c r="H246" s="573" t="s">
        <v>965</v>
      </c>
      <c r="I246" s="573" t="str">
        <f t="shared" si="72"/>
        <v>museum, gemeenschappelijke ruimte, bibliotheek</v>
      </c>
      <c r="J246" s="694" t="s">
        <v>719</v>
      </c>
      <c r="K246" s="800">
        <v>80.69</v>
      </c>
      <c r="L246" s="800"/>
      <c r="M246" s="867">
        <v>2122</v>
      </c>
      <c r="N246" s="868"/>
      <c r="O246" s="867">
        <v>2060</v>
      </c>
      <c r="P246" s="869"/>
      <c r="Q246" s="866">
        <f t="shared" si="65"/>
        <v>182</v>
      </c>
      <c r="R246" s="600">
        <v>1</v>
      </c>
      <c r="S246" s="600">
        <v>1</v>
      </c>
      <c r="T246" s="468">
        <f t="shared" si="66"/>
        <v>0</v>
      </c>
      <c r="U246" s="468">
        <f t="shared" si="67"/>
        <v>0</v>
      </c>
      <c r="V246" s="468">
        <f t="shared" si="68"/>
        <v>0</v>
      </c>
      <c r="W246" s="468">
        <f t="shared" si="69"/>
        <v>0</v>
      </c>
      <c r="X246" s="601">
        <f t="shared" si="59"/>
        <v>0</v>
      </c>
      <c r="Y246" s="601">
        <f t="shared" si="60"/>
        <v>0</v>
      </c>
      <c r="Z246" s="601">
        <f t="shared" si="61"/>
        <v>0</v>
      </c>
      <c r="AA246" s="601">
        <f t="shared" si="62"/>
        <v>0</v>
      </c>
      <c r="AB246" s="602" t="str">
        <f t="shared" si="63"/>
        <v>V</v>
      </c>
      <c r="AC246" s="847" t="s">
        <v>1249</v>
      </c>
      <c r="AD246" s="603">
        <f>(T246+U246+V246)*'1.0-Contractblad'!$K$69</f>
        <v>0</v>
      </c>
      <c r="AE246" s="603"/>
      <c r="AF246" s="58">
        <f t="shared" si="64"/>
        <v>0</v>
      </c>
      <c r="AG246" s="58">
        <f t="shared" si="70"/>
        <v>14685.58</v>
      </c>
      <c r="AH246" s="58" t="str">
        <f t="shared" si="71"/>
        <v>2122-182</v>
      </c>
    </row>
    <row r="247" spans="1:34" ht="13">
      <c r="A247" s="134"/>
      <c r="B247" s="470"/>
      <c r="C247" s="471"/>
      <c r="D247" s="859">
        <f>VLOOKUP(E247,'1.1a-Jaarprijzen'!B:G,6,FALSE)</f>
        <v>2</v>
      </c>
      <c r="E247" s="845" t="s">
        <v>956</v>
      </c>
      <c r="F247" s="798" t="s">
        <v>469</v>
      </c>
      <c r="G247" s="799" t="s">
        <v>456</v>
      </c>
      <c r="H247" s="573" t="s">
        <v>966</v>
      </c>
      <c r="I247" s="573" t="str">
        <f t="shared" si="72"/>
        <v>niet van toepassing</v>
      </c>
      <c r="J247" s="694" t="s">
        <v>330</v>
      </c>
      <c r="K247" s="800"/>
      <c r="L247" s="800">
        <v>4</v>
      </c>
      <c r="M247" s="867" t="s">
        <v>19</v>
      </c>
      <c r="N247" s="868"/>
      <c r="O247" s="869"/>
      <c r="P247" s="869"/>
      <c r="Q247" s="866">
        <f t="shared" si="65"/>
        <v>0</v>
      </c>
      <c r="R247" s="600">
        <v>1</v>
      </c>
      <c r="S247" s="600">
        <v>1</v>
      </c>
      <c r="T247" s="468">
        <f t="shared" si="66"/>
        <v>0</v>
      </c>
      <c r="U247" s="468">
        <f t="shared" si="67"/>
        <v>0</v>
      </c>
      <c r="V247" s="468">
        <f t="shared" si="68"/>
        <v>0</v>
      </c>
      <c r="W247" s="468">
        <f t="shared" si="69"/>
        <v>0</v>
      </c>
      <c r="X247" s="601">
        <f t="shared" si="59"/>
        <v>0</v>
      </c>
      <c r="Y247" s="601">
        <f t="shared" si="60"/>
        <v>0</v>
      </c>
      <c r="Z247" s="601">
        <f t="shared" si="61"/>
        <v>0</v>
      </c>
      <c r="AA247" s="601">
        <f t="shared" si="62"/>
        <v>0</v>
      </c>
      <c r="AB247" s="602">
        <f t="shared" si="63"/>
        <v>0</v>
      </c>
      <c r="AC247" s="847"/>
      <c r="AD247" s="603">
        <f>(T247+U247+V247)*'1.0-Contractblad'!$K$69</f>
        <v>0</v>
      </c>
      <c r="AE247" s="603"/>
      <c r="AF247" s="58">
        <f t="shared" si="64"/>
        <v>0</v>
      </c>
      <c r="AG247" s="58">
        <f t="shared" si="70"/>
        <v>0</v>
      </c>
      <c r="AH247" s="58" t="str">
        <f t="shared" si="71"/>
        <v>nvt-0</v>
      </c>
    </row>
    <row r="248" spans="1:34" ht="13">
      <c r="A248" s="134"/>
      <c r="B248" s="470"/>
      <c r="C248" s="471"/>
      <c r="D248" s="859">
        <f>VLOOKUP(E248,'1.1a-Jaarprijzen'!B:G,6,FALSE)</f>
        <v>2</v>
      </c>
      <c r="E248" s="845" t="s">
        <v>863</v>
      </c>
      <c r="F248" s="798" t="s">
        <v>469</v>
      </c>
      <c r="G248" s="799" t="s">
        <v>437</v>
      </c>
      <c r="H248" s="573" t="s">
        <v>489</v>
      </c>
      <c r="I248" s="573" t="str">
        <f t="shared" si="72"/>
        <v>niet van toepassing</v>
      </c>
      <c r="J248" s="694" t="s">
        <v>326</v>
      </c>
      <c r="K248" s="800"/>
      <c r="L248" s="800"/>
      <c r="M248" s="867" t="s">
        <v>19</v>
      </c>
      <c r="N248" s="868"/>
      <c r="O248" s="869"/>
      <c r="P248" s="869"/>
      <c r="Q248" s="866">
        <f t="shared" si="65"/>
        <v>0</v>
      </c>
      <c r="R248" s="600">
        <v>1</v>
      </c>
      <c r="S248" s="600">
        <v>1</v>
      </c>
      <c r="T248" s="468">
        <f t="shared" si="66"/>
        <v>0</v>
      </c>
      <c r="U248" s="468">
        <f t="shared" si="67"/>
        <v>0</v>
      </c>
      <c r="V248" s="468">
        <f t="shared" si="68"/>
        <v>0</v>
      </c>
      <c r="W248" s="468">
        <f t="shared" si="69"/>
        <v>0</v>
      </c>
      <c r="X248" s="601">
        <f t="shared" si="59"/>
        <v>0</v>
      </c>
      <c r="Y248" s="601">
        <f t="shared" si="60"/>
        <v>0</v>
      </c>
      <c r="Z248" s="601">
        <f t="shared" si="61"/>
        <v>0</v>
      </c>
      <c r="AA248" s="601">
        <f t="shared" si="62"/>
        <v>0</v>
      </c>
      <c r="AB248" s="602">
        <f t="shared" si="63"/>
        <v>0</v>
      </c>
      <c r="AC248" s="847"/>
      <c r="AD248" s="603">
        <f>(T248+U248+V248)*'1.0-Contractblad'!$K$69</f>
        <v>0</v>
      </c>
      <c r="AE248" s="603"/>
      <c r="AF248" s="58">
        <f t="shared" si="64"/>
        <v>0</v>
      </c>
      <c r="AG248" s="58">
        <f t="shared" si="70"/>
        <v>0</v>
      </c>
      <c r="AH248" s="58" t="str">
        <f t="shared" si="71"/>
        <v>nvt-0</v>
      </c>
    </row>
    <row r="249" spans="1:34" ht="13">
      <c r="A249" s="134"/>
      <c r="B249" s="470"/>
      <c r="C249" s="471"/>
      <c r="D249" s="859">
        <f>VLOOKUP(E249,'1.1a-Jaarprijzen'!B:G,6,FALSE)</f>
        <v>2</v>
      </c>
      <c r="E249" s="845" t="s">
        <v>863</v>
      </c>
      <c r="F249" s="798" t="s">
        <v>469</v>
      </c>
      <c r="G249" s="799" t="s">
        <v>438</v>
      </c>
      <c r="H249" s="573" t="s">
        <v>859</v>
      </c>
      <c r="I249" s="573" t="str">
        <f t="shared" si="72"/>
        <v>niet van toepassing</v>
      </c>
      <c r="J249" s="694" t="s">
        <v>326</v>
      </c>
      <c r="K249" s="800"/>
      <c r="L249" s="800"/>
      <c r="M249" s="867" t="s">
        <v>19</v>
      </c>
      <c r="N249" s="868"/>
      <c r="O249" s="869"/>
      <c r="P249" s="869"/>
      <c r="Q249" s="866">
        <f t="shared" si="65"/>
        <v>0</v>
      </c>
      <c r="R249" s="600">
        <v>1</v>
      </c>
      <c r="S249" s="600">
        <v>1</v>
      </c>
      <c r="T249" s="468">
        <f t="shared" si="66"/>
        <v>0</v>
      </c>
      <c r="U249" s="468">
        <f t="shared" si="67"/>
        <v>0</v>
      </c>
      <c r="V249" s="468">
        <f t="shared" si="68"/>
        <v>0</v>
      </c>
      <c r="W249" s="468">
        <f t="shared" si="69"/>
        <v>0</v>
      </c>
      <c r="X249" s="601">
        <f t="shared" si="59"/>
        <v>0</v>
      </c>
      <c r="Y249" s="601">
        <f t="shared" si="60"/>
        <v>0</v>
      </c>
      <c r="Z249" s="601">
        <f t="shared" si="61"/>
        <v>0</v>
      </c>
      <c r="AA249" s="601">
        <f t="shared" si="62"/>
        <v>0</v>
      </c>
      <c r="AB249" s="602">
        <f t="shared" si="63"/>
        <v>0</v>
      </c>
      <c r="AC249" s="847"/>
      <c r="AD249" s="603">
        <f>(T249+U249+V249)*'1.0-Contractblad'!$K$69</f>
        <v>0</v>
      </c>
      <c r="AE249" s="603"/>
      <c r="AF249" s="58">
        <f t="shared" si="64"/>
        <v>0</v>
      </c>
      <c r="AG249" s="58">
        <f t="shared" si="70"/>
        <v>0</v>
      </c>
      <c r="AH249" s="58" t="str">
        <f t="shared" si="71"/>
        <v>nvt-0</v>
      </c>
    </row>
    <row r="250" spans="1:34" ht="13">
      <c r="A250" s="134"/>
      <c r="B250" s="470"/>
      <c r="C250" s="471"/>
      <c r="D250" s="859">
        <f>VLOOKUP(E250,'1.1a-Jaarprijzen'!B:G,6,FALSE)</f>
        <v>2</v>
      </c>
      <c r="E250" s="845" t="s">
        <v>863</v>
      </c>
      <c r="F250" s="798" t="s">
        <v>469</v>
      </c>
      <c r="G250" s="799" t="s">
        <v>439</v>
      </c>
      <c r="H250" s="573" t="s">
        <v>466</v>
      </c>
      <c r="I250" s="573" t="str">
        <f t="shared" si="72"/>
        <v>sanitaire ruimte (toilet-/doucheruimte)</v>
      </c>
      <c r="J250" s="694" t="s">
        <v>462</v>
      </c>
      <c r="K250" s="800">
        <v>1.1299999999999999</v>
      </c>
      <c r="L250" s="800"/>
      <c r="M250" s="867">
        <v>4051</v>
      </c>
      <c r="N250" s="868"/>
      <c r="O250" s="869"/>
      <c r="P250" s="869"/>
      <c r="Q250" s="866">
        <f t="shared" si="65"/>
        <v>51</v>
      </c>
      <c r="R250" s="600">
        <v>1</v>
      </c>
      <c r="S250" s="600">
        <v>1</v>
      </c>
      <c r="T250" s="468">
        <f t="shared" si="66"/>
        <v>0</v>
      </c>
      <c r="U250" s="468">
        <f t="shared" si="67"/>
        <v>0</v>
      </c>
      <c r="V250" s="468">
        <f t="shared" si="68"/>
        <v>0</v>
      </c>
      <c r="W250" s="468">
        <f t="shared" si="69"/>
        <v>0</v>
      </c>
      <c r="X250" s="601">
        <f t="shared" si="59"/>
        <v>0</v>
      </c>
      <c r="Y250" s="601">
        <f t="shared" si="60"/>
        <v>0</v>
      </c>
      <c r="Z250" s="601">
        <f t="shared" si="61"/>
        <v>0</v>
      </c>
      <c r="AA250" s="601">
        <f t="shared" si="62"/>
        <v>0</v>
      </c>
      <c r="AB250" s="602" t="str">
        <f t="shared" si="63"/>
        <v>S</v>
      </c>
      <c r="AC250" s="847" t="s">
        <v>1230</v>
      </c>
      <c r="AD250" s="603">
        <f>(T250+U250+V250)*'1.0-Contractblad'!$K$69</f>
        <v>0</v>
      </c>
      <c r="AE250" s="603"/>
      <c r="AF250" s="58">
        <f t="shared" si="64"/>
        <v>0</v>
      </c>
      <c r="AG250" s="58">
        <f t="shared" si="70"/>
        <v>57.629999999999995</v>
      </c>
      <c r="AH250" s="58" t="str">
        <f t="shared" si="71"/>
        <v>4051-51</v>
      </c>
    </row>
    <row r="251" spans="1:34" ht="13">
      <c r="A251" s="134"/>
      <c r="B251" s="470"/>
      <c r="C251" s="471"/>
      <c r="D251" s="859">
        <f>VLOOKUP(E251,'1.1a-Jaarprijzen'!B:G,6,FALSE)</f>
        <v>2</v>
      </c>
      <c r="E251" s="845" t="s">
        <v>863</v>
      </c>
      <c r="F251" s="798" t="s">
        <v>469</v>
      </c>
      <c r="G251" s="799" t="s">
        <v>440</v>
      </c>
      <c r="H251" s="573" t="s">
        <v>860</v>
      </c>
      <c r="I251" s="573" t="str">
        <f t="shared" si="72"/>
        <v>pantry, keuken, koffiecorner</v>
      </c>
      <c r="J251" s="694" t="s">
        <v>462</v>
      </c>
      <c r="K251" s="800">
        <v>5.36</v>
      </c>
      <c r="L251" s="800"/>
      <c r="M251" s="867">
        <v>5051</v>
      </c>
      <c r="N251" s="868"/>
      <c r="O251" s="869"/>
      <c r="P251" s="869"/>
      <c r="Q251" s="866">
        <f t="shared" si="65"/>
        <v>51</v>
      </c>
      <c r="R251" s="600">
        <v>1</v>
      </c>
      <c r="S251" s="600">
        <v>1</v>
      </c>
      <c r="T251" s="468">
        <f t="shared" si="66"/>
        <v>0</v>
      </c>
      <c r="U251" s="468">
        <f t="shared" si="67"/>
        <v>0</v>
      </c>
      <c r="V251" s="468">
        <f t="shared" si="68"/>
        <v>0</v>
      </c>
      <c r="W251" s="468">
        <f t="shared" si="69"/>
        <v>0</v>
      </c>
      <c r="X251" s="601">
        <f t="shared" si="59"/>
        <v>0</v>
      </c>
      <c r="Y251" s="601">
        <f t="shared" si="60"/>
        <v>0</v>
      </c>
      <c r="Z251" s="601">
        <f t="shared" si="61"/>
        <v>0</v>
      </c>
      <c r="AA251" s="601">
        <f t="shared" si="62"/>
        <v>0</v>
      </c>
      <c r="AB251" s="602" t="str">
        <f t="shared" si="63"/>
        <v>V</v>
      </c>
      <c r="AC251" s="847" t="s">
        <v>1230</v>
      </c>
      <c r="AD251" s="603">
        <f>(T251+U251+V251)*'1.0-Contractblad'!$K$69</f>
        <v>0</v>
      </c>
      <c r="AE251" s="603"/>
      <c r="AF251" s="58">
        <f t="shared" si="64"/>
        <v>0</v>
      </c>
      <c r="AG251" s="58">
        <f t="shared" si="70"/>
        <v>273.36</v>
      </c>
      <c r="AH251" s="58" t="str">
        <f t="shared" si="71"/>
        <v>5051-51</v>
      </c>
    </row>
    <row r="252" spans="1:34" ht="13">
      <c r="A252" s="134"/>
      <c r="B252" s="470"/>
      <c r="C252" s="471"/>
      <c r="D252" s="859">
        <f>VLOOKUP(E252,'1.1a-Jaarprijzen'!B:G,6,FALSE)</f>
        <v>2</v>
      </c>
      <c r="E252" s="845" t="s">
        <v>863</v>
      </c>
      <c r="F252" s="798" t="s">
        <v>469</v>
      </c>
      <c r="G252" s="799" t="s">
        <v>441</v>
      </c>
      <c r="H252" s="573" t="s">
        <v>694</v>
      </c>
      <c r="I252" s="573" t="str">
        <f t="shared" si="72"/>
        <v>entree, gang, hal, repro, kopieer</v>
      </c>
      <c r="J252" s="694" t="s">
        <v>462</v>
      </c>
      <c r="K252" s="800">
        <v>4.3499999999999996</v>
      </c>
      <c r="L252" s="800"/>
      <c r="M252" s="867">
        <v>3051</v>
      </c>
      <c r="N252" s="868"/>
      <c r="O252" s="869"/>
      <c r="P252" s="869"/>
      <c r="Q252" s="866">
        <f t="shared" si="65"/>
        <v>51</v>
      </c>
      <c r="R252" s="600">
        <v>1</v>
      </c>
      <c r="S252" s="600">
        <v>1</v>
      </c>
      <c r="T252" s="468">
        <f t="shared" si="66"/>
        <v>0</v>
      </c>
      <c r="U252" s="468">
        <f t="shared" si="67"/>
        <v>0</v>
      </c>
      <c r="V252" s="468">
        <f t="shared" si="68"/>
        <v>0</v>
      </c>
      <c r="W252" s="468">
        <f t="shared" si="69"/>
        <v>0</v>
      </c>
      <c r="X252" s="601">
        <f t="shared" si="59"/>
        <v>0</v>
      </c>
      <c r="Y252" s="601">
        <f t="shared" si="60"/>
        <v>0</v>
      </c>
      <c r="Z252" s="601">
        <f t="shared" si="61"/>
        <v>0</v>
      </c>
      <c r="AA252" s="601">
        <f t="shared" si="62"/>
        <v>0</v>
      </c>
      <c r="AB252" s="602" t="str">
        <f t="shared" si="63"/>
        <v>V</v>
      </c>
      <c r="AC252" s="847" t="s">
        <v>1230</v>
      </c>
      <c r="AD252" s="603">
        <f>(T252+U252+V252)*'1.0-Contractblad'!$K$69</f>
        <v>0</v>
      </c>
      <c r="AE252" s="603"/>
      <c r="AF252" s="58">
        <f t="shared" si="64"/>
        <v>0</v>
      </c>
      <c r="AG252" s="58">
        <f t="shared" si="70"/>
        <v>221.85</v>
      </c>
      <c r="AH252" s="58" t="str">
        <f t="shared" si="71"/>
        <v>3051-51</v>
      </c>
    </row>
    <row r="253" spans="1:34" ht="13">
      <c r="A253" s="134"/>
      <c r="B253" s="470"/>
      <c r="C253" s="471"/>
      <c r="D253" s="859">
        <f>VLOOKUP(E253,'1.1a-Jaarprijzen'!B:G,6,FALSE)</f>
        <v>2</v>
      </c>
      <c r="E253" s="845" t="s">
        <v>863</v>
      </c>
      <c r="F253" s="798" t="s">
        <v>469</v>
      </c>
      <c r="G253" s="799" t="s">
        <v>442</v>
      </c>
      <c r="H253" s="573" t="s">
        <v>452</v>
      </c>
      <c r="I253" s="573" t="str">
        <f t="shared" si="72"/>
        <v>administratieve -, personeels- en vergaderruimte</v>
      </c>
      <c r="J253" s="694" t="s">
        <v>54</v>
      </c>
      <c r="K253" s="800">
        <v>29.81</v>
      </c>
      <c r="L253" s="800"/>
      <c r="M253" s="867">
        <v>1051</v>
      </c>
      <c r="N253" s="868"/>
      <c r="O253" s="869"/>
      <c r="P253" s="869"/>
      <c r="Q253" s="866">
        <f t="shared" si="65"/>
        <v>51</v>
      </c>
      <c r="R253" s="600">
        <v>1</v>
      </c>
      <c r="S253" s="600">
        <v>1</v>
      </c>
      <c r="T253" s="468">
        <f t="shared" si="66"/>
        <v>0</v>
      </c>
      <c r="U253" s="468">
        <f t="shared" si="67"/>
        <v>0</v>
      </c>
      <c r="V253" s="468">
        <f t="shared" si="68"/>
        <v>0</v>
      </c>
      <c r="W253" s="468">
        <f t="shared" si="69"/>
        <v>0</v>
      </c>
      <c r="X253" s="601">
        <f t="shared" si="59"/>
        <v>0</v>
      </c>
      <c r="Y253" s="601">
        <f t="shared" si="60"/>
        <v>0</v>
      </c>
      <c r="Z253" s="601">
        <f t="shared" si="61"/>
        <v>0</v>
      </c>
      <c r="AA253" s="601">
        <f t="shared" si="62"/>
        <v>0</v>
      </c>
      <c r="AB253" s="602" t="str">
        <f t="shared" si="63"/>
        <v>B</v>
      </c>
      <c r="AC253" s="847" t="s">
        <v>1230</v>
      </c>
      <c r="AD253" s="603">
        <f>(T253+U253+V253)*'1.0-Contractblad'!$K$69</f>
        <v>0</v>
      </c>
      <c r="AE253" s="603"/>
      <c r="AF253" s="58">
        <f t="shared" si="64"/>
        <v>0</v>
      </c>
      <c r="AG253" s="58">
        <f t="shared" si="70"/>
        <v>1520.31</v>
      </c>
      <c r="AH253" s="58" t="str">
        <f t="shared" si="71"/>
        <v>1051-51</v>
      </c>
    </row>
    <row r="254" spans="1:34" ht="13">
      <c r="A254" s="134"/>
      <c r="B254" s="470"/>
      <c r="C254" s="471"/>
      <c r="D254" s="859">
        <f>VLOOKUP(E254,'1.1a-Jaarprijzen'!B:G,6,FALSE)</f>
        <v>2</v>
      </c>
      <c r="E254" s="845" t="s">
        <v>863</v>
      </c>
      <c r="F254" s="798" t="s">
        <v>469</v>
      </c>
      <c r="G254" s="799" t="s">
        <v>443</v>
      </c>
      <c r="H254" s="573" t="s">
        <v>452</v>
      </c>
      <c r="I254" s="573" t="str">
        <f t="shared" si="72"/>
        <v>administratieve -, personeels- en vergaderruimte</v>
      </c>
      <c r="J254" s="694" t="s">
        <v>477</v>
      </c>
      <c r="K254" s="800">
        <v>10</v>
      </c>
      <c r="L254" s="800"/>
      <c r="M254" s="867">
        <v>1051</v>
      </c>
      <c r="N254" s="868"/>
      <c r="O254" s="869"/>
      <c r="P254" s="869"/>
      <c r="Q254" s="866">
        <f t="shared" si="65"/>
        <v>51</v>
      </c>
      <c r="R254" s="600">
        <v>1</v>
      </c>
      <c r="S254" s="600">
        <v>1</v>
      </c>
      <c r="T254" s="468">
        <f t="shared" si="66"/>
        <v>0</v>
      </c>
      <c r="U254" s="468">
        <f t="shared" si="67"/>
        <v>0</v>
      </c>
      <c r="V254" s="468">
        <f t="shared" si="68"/>
        <v>0</v>
      </c>
      <c r="W254" s="468">
        <f t="shared" si="69"/>
        <v>0</v>
      </c>
      <c r="X254" s="601">
        <f t="shared" si="59"/>
        <v>0</v>
      </c>
      <c r="Y254" s="601">
        <f t="shared" si="60"/>
        <v>0</v>
      </c>
      <c r="Z254" s="601">
        <f t="shared" si="61"/>
        <v>0</v>
      </c>
      <c r="AA254" s="601">
        <f t="shared" si="62"/>
        <v>0</v>
      </c>
      <c r="AB254" s="602" t="str">
        <f t="shared" si="63"/>
        <v>B</v>
      </c>
      <c r="AC254" s="847" t="s">
        <v>1230</v>
      </c>
      <c r="AD254" s="603">
        <f>(T254+U254+V254)*'1.0-Contractblad'!$K$69</f>
        <v>0</v>
      </c>
      <c r="AE254" s="603"/>
      <c r="AF254" s="58">
        <f t="shared" si="64"/>
        <v>0</v>
      </c>
      <c r="AG254" s="58">
        <f t="shared" si="70"/>
        <v>510</v>
      </c>
      <c r="AH254" s="58" t="str">
        <f t="shared" si="71"/>
        <v>1051-51</v>
      </c>
    </row>
    <row r="255" spans="1:34" ht="13">
      <c r="A255" s="134"/>
      <c r="B255" s="470"/>
      <c r="C255" s="471"/>
      <c r="D255" s="859">
        <f>VLOOKUP(E255,'1.1a-Jaarprijzen'!B:G,6,FALSE)</f>
        <v>2</v>
      </c>
      <c r="E255" s="845" t="s">
        <v>863</v>
      </c>
      <c r="F255" s="798" t="s">
        <v>469</v>
      </c>
      <c r="G255" s="799" t="s">
        <v>444</v>
      </c>
      <c r="H255" s="573" t="s">
        <v>861</v>
      </c>
      <c r="I255" s="573" t="str">
        <f t="shared" si="72"/>
        <v>sanitaire ruimte (toilet-/doucheruimte)</v>
      </c>
      <c r="J255" s="694" t="s">
        <v>462</v>
      </c>
      <c r="K255" s="800">
        <v>1.87</v>
      </c>
      <c r="L255" s="800"/>
      <c r="M255" s="867">
        <v>4051</v>
      </c>
      <c r="N255" s="868"/>
      <c r="O255" s="869"/>
      <c r="P255" s="869"/>
      <c r="Q255" s="866">
        <f t="shared" si="65"/>
        <v>51</v>
      </c>
      <c r="R255" s="600">
        <v>1</v>
      </c>
      <c r="S255" s="600">
        <v>1</v>
      </c>
      <c r="T255" s="468">
        <f t="shared" si="66"/>
        <v>0</v>
      </c>
      <c r="U255" s="468">
        <f t="shared" si="67"/>
        <v>0</v>
      </c>
      <c r="V255" s="468">
        <f t="shared" si="68"/>
        <v>0</v>
      </c>
      <c r="W255" s="468">
        <f t="shared" si="69"/>
        <v>0</v>
      </c>
      <c r="X255" s="601">
        <f t="shared" si="59"/>
        <v>0</v>
      </c>
      <c r="Y255" s="601">
        <f t="shared" si="60"/>
        <v>0</v>
      </c>
      <c r="Z255" s="601">
        <f t="shared" si="61"/>
        <v>0</v>
      </c>
      <c r="AA255" s="601">
        <f t="shared" si="62"/>
        <v>0</v>
      </c>
      <c r="AB255" s="602" t="str">
        <f t="shared" si="63"/>
        <v>S</v>
      </c>
      <c r="AC255" s="847" t="s">
        <v>1230</v>
      </c>
      <c r="AD255" s="603">
        <f>(T255+U255+V255)*'1.0-Contractblad'!$K$69</f>
        <v>0</v>
      </c>
      <c r="AE255" s="603"/>
      <c r="AF255" s="58">
        <f t="shared" si="64"/>
        <v>0</v>
      </c>
      <c r="AG255" s="58">
        <f t="shared" si="70"/>
        <v>95.37</v>
      </c>
      <c r="AH255" s="58" t="str">
        <f t="shared" si="71"/>
        <v>4051-51</v>
      </c>
    </row>
    <row r="256" spans="1:34" ht="13">
      <c r="A256" s="134"/>
      <c r="B256" s="470"/>
      <c r="C256" s="471"/>
      <c r="D256" s="859">
        <f>VLOOKUP(E256,'1.1a-Jaarprijzen'!B:G,6,FALSE)</f>
        <v>2</v>
      </c>
      <c r="E256" s="845" t="s">
        <v>863</v>
      </c>
      <c r="F256" s="798" t="s">
        <v>469</v>
      </c>
      <c r="G256" s="799" t="s">
        <v>445</v>
      </c>
      <c r="H256" s="573" t="s">
        <v>466</v>
      </c>
      <c r="I256" s="573" t="str">
        <f t="shared" si="72"/>
        <v>sanitaire ruimte (toilet-/doucheruimte)</v>
      </c>
      <c r="J256" s="694" t="s">
        <v>462</v>
      </c>
      <c r="K256" s="800">
        <v>1.91</v>
      </c>
      <c r="L256" s="800"/>
      <c r="M256" s="867">
        <v>4051</v>
      </c>
      <c r="N256" s="868"/>
      <c r="O256" s="869"/>
      <c r="P256" s="869"/>
      <c r="Q256" s="866">
        <f t="shared" si="65"/>
        <v>51</v>
      </c>
      <c r="R256" s="600">
        <v>1</v>
      </c>
      <c r="S256" s="600">
        <v>1</v>
      </c>
      <c r="T256" s="468">
        <f t="shared" si="66"/>
        <v>0</v>
      </c>
      <c r="U256" s="468">
        <f t="shared" si="67"/>
        <v>0</v>
      </c>
      <c r="V256" s="468">
        <f t="shared" si="68"/>
        <v>0</v>
      </c>
      <c r="W256" s="468">
        <f t="shared" si="69"/>
        <v>0</v>
      </c>
      <c r="X256" s="601">
        <f t="shared" si="59"/>
        <v>0</v>
      </c>
      <c r="Y256" s="601">
        <f t="shared" si="60"/>
        <v>0</v>
      </c>
      <c r="Z256" s="601">
        <f t="shared" si="61"/>
        <v>0</v>
      </c>
      <c r="AA256" s="601">
        <f t="shared" si="62"/>
        <v>0</v>
      </c>
      <c r="AB256" s="602" t="str">
        <f t="shared" si="63"/>
        <v>S</v>
      </c>
      <c r="AC256" s="847" t="s">
        <v>1230</v>
      </c>
      <c r="AD256" s="603">
        <f>(T256+U256+V256)*'1.0-Contractblad'!$K$69</f>
        <v>0</v>
      </c>
      <c r="AE256" s="603"/>
      <c r="AF256" s="58">
        <f t="shared" si="64"/>
        <v>0</v>
      </c>
      <c r="AG256" s="58">
        <f t="shared" si="70"/>
        <v>97.41</v>
      </c>
      <c r="AH256" s="58" t="str">
        <f t="shared" si="71"/>
        <v>4051-51</v>
      </c>
    </row>
    <row r="257" spans="1:34" ht="13">
      <c r="A257" s="134"/>
      <c r="B257" s="470"/>
      <c r="C257" s="471"/>
      <c r="D257" s="859">
        <f>VLOOKUP(E257,'1.1a-Jaarprijzen'!B:G,6,FALSE)</f>
        <v>2</v>
      </c>
      <c r="E257" s="845" t="s">
        <v>863</v>
      </c>
      <c r="F257" s="798" t="s">
        <v>469</v>
      </c>
      <c r="G257" s="799" t="s">
        <v>446</v>
      </c>
      <c r="H257" s="573" t="s">
        <v>862</v>
      </c>
      <c r="I257" s="573" t="str">
        <f t="shared" si="72"/>
        <v>niet van toepassing</v>
      </c>
      <c r="J257" s="694" t="s">
        <v>326</v>
      </c>
      <c r="K257" s="800"/>
      <c r="L257" s="800">
        <v>130.36000000000001</v>
      </c>
      <c r="M257" s="867" t="s">
        <v>19</v>
      </c>
      <c r="N257" s="868"/>
      <c r="O257" s="869"/>
      <c r="P257" s="869"/>
      <c r="Q257" s="866">
        <f t="shared" si="65"/>
        <v>0</v>
      </c>
      <c r="R257" s="600">
        <v>1</v>
      </c>
      <c r="S257" s="600">
        <v>1</v>
      </c>
      <c r="T257" s="468">
        <f t="shared" si="66"/>
        <v>0</v>
      </c>
      <c r="U257" s="468">
        <f t="shared" si="67"/>
        <v>0</v>
      </c>
      <c r="V257" s="468">
        <f t="shared" si="68"/>
        <v>0</v>
      </c>
      <c r="W257" s="468">
        <f t="shared" si="69"/>
        <v>0</v>
      </c>
      <c r="X257" s="601">
        <f t="shared" si="59"/>
        <v>0</v>
      </c>
      <c r="Y257" s="601">
        <f t="shared" si="60"/>
        <v>0</v>
      </c>
      <c r="Z257" s="601">
        <f t="shared" si="61"/>
        <v>0</v>
      </c>
      <c r="AA257" s="601">
        <f t="shared" si="62"/>
        <v>0</v>
      </c>
      <c r="AB257" s="602">
        <f t="shared" si="63"/>
        <v>0</v>
      </c>
      <c r="AC257" s="847"/>
      <c r="AD257" s="603">
        <f>(T257+U257+V257)*'1.0-Contractblad'!$K$69</f>
        <v>0</v>
      </c>
      <c r="AE257" s="603"/>
      <c r="AF257" s="58">
        <f t="shared" si="64"/>
        <v>0</v>
      </c>
      <c r="AG257" s="58">
        <f t="shared" si="70"/>
        <v>0</v>
      </c>
      <c r="AH257" s="58" t="str">
        <f t="shared" si="71"/>
        <v>nvt-0</v>
      </c>
    </row>
    <row r="258" spans="1:34" ht="13">
      <c r="A258" s="134"/>
      <c r="B258" s="470"/>
      <c r="C258" s="471"/>
      <c r="D258" s="859">
        <f>VLOOKUP(E258,'1.1a-Jaarprijzen'!B:G,6,FALSE)</f>
        <v>2</v>
      </c>
      <c r="E258" s="845" t="s">
        <v>519</v>
      </c>
      <c r="F258" s="798" t="s">
        <v>469</v>
      </c>
      <c r="G258" s="799" t="s">
        <v>437</v>
      </c>
      <c r="H258" s="845" t="s">
        <v>520</v>
      </c>
      <c r="I258" s="573" t="str">
        <f t="shared" si="72"/>
        <v>niet van toepassing</v>
      </c>
      <c r="J258" s="694" t="s">
        <v>326</v>
      </c>
      <c r="K258" s="800"/>
      <c r="L258" s="800">
        <v>37.799999999999997</v>
      </c>
      <c r="M258" s="867" t="s">
        <v>19</v>
      </c>
      <c r="N258" s="868"/>
      <c r="O258" s="869"/>
      <c r="P258" s="869"/>
      <c r="Q258" s="866">
        <f t="shared" si="65"/>
        <v>0</v>
      </c>
      <c r="R258" s="600">
        <v>1</v>
      </c>
      <c r="S258" s="600">
        <v>1</v>
      </c>
      <c r="T258" s="468">
        <f t="shared" si="66"/>
        <v>0</v>
      </c>
      <c r="U258" s="468">
        <f t="shared" si="67"/>
        <v>0</v>
      </c>
      <c r="V258" s="468">
        <f t="shared" si="68"/>
        <v>0</v>
      </c>
      <c r="W258" s="468">
        <f t="shared" si="69"/>
        <v>0</v>
      </c>
      <c r="X258" s="601">
        <f t="shared" si="59"/>
        <v>0</v>
      </c>
      <c r="Y258" s="601">
        <f t="shared" si="60"/>
        <v>0</v>
      </c>
      <c r="Z258" s="601">
        <f t="shared" si="61"/>
        <v>0</v>
      </c>
      <c r="AA258" s="601">
        <f t="shared" si="62"/>
        <v>0</v>
      </c>
      <c r="AB258" s="602">
        <f t="shared" si="63"/>
        <v>0</v>
      </c>
      <c r="AC258" s="847"/>
      <c r="AD258" s="603">
        <f>(T258+U258+V258)*'1.0-Contractblad'!$K$69</f>
        <v>0</v>
      </c>
      <c r="AE258" s="603"/>
      <c r="AF258" s="58">
        <f t="shared" si="64"/>
        <v>0</v>
      </c>
      <c r="AG258" s="58">
        <f t="shared" si="70"/>
        <v>0</v>
      </c>
      <c r="AH258" s="58" t="str">
        <f t="shared" si="71"/>
        <v>nvt-0</v>
      </c>
    </row>
    <row r="259" spans="1:34" ht="13">
      <c r="A259" s="134"/>
      <c r="B259" s="470"/>
      <c r="C259" s="471"/>
      <c r="D259" s="859">
        <f>VLOOKUP(E259,'1.1a-Jaarprijzen'!B:G,6,FALSE)</f>
        <v>2</v>
      </c>
      <c r="E259" s="845" t="s">
        <v>519</v>
      </c>
      <c r="F259" s="798" t="s">
        <v>469</v>
      </c>
      <c r="G259" s="799" t="s">
        <v>437</v>
      </c>
      <c r="H259" s="845" t="s">
        <v>980</v>
      </c>
      <c r="I259" s="573" t="str">
        <f t="shared" si="72"/>
        <v>niet van toepassing</v>
      </c>
      <c r="J259" s="694" t="s">
        <v>326</v>
      </c>
      <c r="K259" s="800"/>
      <c r="L259" s="800">
        <v>23.9</v>
      </c>
      <c r="M259" s="867" t="s">
        <v>19</v>
      </c>
      <c r="N259" s="868"/>
      <c r="O259" s="869"/>
      <c r="P259" s="869"/>
      <c r="Q259" s="866">
        <f t="shared" si="65"/>
        <v>0</v>
      </c>
      <c r="R259" s="600">
        <v>1</v>
      </c>
      <c r="S259" s="600">
        <v>1</v>
      </c>
      <c r="T259" s="468">
        <f t="shared" si="66"/>
        <v>0</v>
      </c>
      <c r="U259" s="468">
        <f t="shared" si="67"/>
        <v>0</v>
      </c>
      <c r="V259" s="468">
        <f t="shared" si="68"/>
        <v>0</v>
      </c>
      <c r="W259" s="468">
        <f t="shared" si="69"/>
        <v>0</v>
      </c>
      <c r="X259" s="601">
        <f t="shared" si="59"/>
        <v>0</v>
      </c>
      <c r="Y259" s="601">
        <f t="shared" si="60"/>
        <v>0</v>
      </c>
      <c r="Z259" s="601">
        <f t="shared" si="61"/>
        <v>0</v>
      </c>
      <c r="AA259" s="601">
        <f t="shared" si="62"/>
        <v>0</v>
      </c>
      <c r="AB259" s="602">
        <f t="shared" si="63"/>
        <v>0</v>
      </c>
      <c r="AC259" s="847"/>
      <c r="AD259" s="603">
        <f>(T259+U259+V259)*'1.0-Contractblad'!$K$69</f>
        <v>0</v>
      </c>
      <c r="AE259" s="603"/>
      <c r="AF259" s="58">
        <f t="shared" si="64"/>
        <v>0</v>
      </c>
      <c r="AG259" s="58">
        <f t="shared" si="70"/>
        <v>0</v>
      </c>
      <c r="AH259" s="58" t="str">
        <f t="shared" si="71"/>
        <v>nvt-0</v>
      </c>
    </row>
    <row r="260" spans="1:34" ht="13">
      <c r="A260" s="134"/>
      <c r="B260" s="470"/>
      <c r="C260" s="471"/>
      <c r="D260" s="859">
        <f>VLOOKUP(E260,'1.1a-Jaarprijzen'!B:G,6,FALSE)</f>
        <v>2</v>
      </c>
      <c r="E260" s="845" t="s">
        <v>519</v>
      </c>
      <c r="F260" s="798" t="s">
        <v>469</v>
      </c>
      <c r="G260" s="799" t="s">
        <v>438</v>
      </c>
      <c r="H260" s="845" t="s">
        <v>521</v>
      </c>
      <c r="I260" s="573" t="str">
        <f t="shared" si="72"/>
        <v>sanitaire ruimte (toilet-/doucheruimte)</v>
      </c>
      <c r="J260" s="694" t="s">
        <v>462</v>
      </c>
      <c r="K260" s="800">
        <v>4.3</v>
      </c>
      <c r="L260" s="800"/>
      <c r="M260" s="867">
        <v>4051</v>
      </c>
      <c r="N260" s="868"/>
      <c r="O260" s="869"/>
      <c r="P260" s="869"/>
      <c r="Q260" s="866">
        <f t="shared" si="65"/>
        <v>51</v>
      </c>
      <c r="R260" s="600">
        <v>1</v>
      </c>
      <c r="S260" s="600">
        <v>1</v>
      </c>
      <c r="T260" s="468">
        <f t="shared" si="66"/>
        <v>0</v>
      </c>
      <c r="U260" s="468">
        <f t="shared" si="67"/>
        <v>0</v>
      </c>
      <c r="V260" s="468">
        <f t="shared" si="68"/>
        <v>0</v>
      </c>
      <c r="W260" s="468">
        <f t="shared" si="69"/>
        <v>0</v>
      </c>
      <c r="X260" s="601">
        <f t="shared" si="59"/>
        <v>0</v>
      </c>
      <c r="Y260" s="601">
        <f t="shared" si="60"/>
        <v>0</v>
      </c>
      <c r="Z260" s="601">
        <f t="shared" si="61"/>
        <v>0</v>
      </c>
      <c r="AA260" s="601">
        <f t="shared" si="62"/>
        <v>0</v>
      </c>
      <c r="AB260" s="602" t="str">
        <f t="shared" si="63"/>
        <v>S</v>
      </c>
      <c r="AC260" s="847" t="s">
        <v>1232</v>
      </c>
      <c r="AD260" s="603">
        <f>(T260+U260+V260)*'1.0-Contractblad'!$K$69</f>
        <v>0</v>
      </c>
      <c r="AE260" s="603"/>
      <c r="AF260" s="58">
        <f t="shared" si="64"/>
        <v>0</v>
      </c>
      <c r="AG260" s="58">
        <f t="shared" si="70"/>
        <v>219.29999999999998</v>
      </c>
      <c r="AH260" s="58" t="str">
        <f t="shared" si="71"/>
        <v>4051-51</v>
      </c>
    </row>
    <row r="261" spans="1:34" ht="13">
      <c r="A261" s="134"/>
      <c r="B261" s="470"/>
      <c r="C261" s="471"/>
      <c r="D261" s="859">
        <f>VLOOKUP(E261,'1.1a-Jaarprijzen'!B:G,6,FALSE)</f>
        <v>2</v>
      </c>
      <c r="E261" s="845" t="s">
        <v>519</v>
      </c>
      <c r="F261" s="798" t="s">
        <v>469</v>
      </c>
      <c r="G261" s="799" t="s">
        <v>439</v>
      </c>
      <c r="H261" s="845" t="s">
        <v>466</v>
      </c>
      <c r="I261" s="573" t="str">
        <f t="shared" si="72"/>
        <v>sanitaire ruimte (toilet-/doucheruimte)</v>
      </c>
      <c r="J261" s="694" t="s">
        <v>462</v>
      </c>
      <c r="K261" s="800">
        <v>1.4</v>
      </c>
      <c r="L261" s="800"/>
      <c r="M261" s="867">
        <v>4051</v>
      </c>
      <c r="N261" s="868"/>
      <c r="O261" s="869"/>
      <c r="P261" s="869"/>
      <c r="Q261" s="866">
        <f t="shared" si="65"/>
        <v>51</v>
      </c>
      <c r="R261" s="600">
        <v>1</v>
      </c>
      <c r="S261" s="600">
        <v>1</v>
      </c>
      <c r="T261" s="468">
        <f t="shared" si="66"/>
        <v>0</v>
      </c>
      <c r="U261" s="468">
        <f t="shared" si="67"/>
        <v>0</v>
      </c>
      <c r="V261" s="468">
        <f t="shared" si="68"/>
        <v>0</v>
      </c>
      <c r="W261" s="468">
        <f t="shared" si="69"/>
        <v>0</v>
      </c>
      <c r="X261" s="601">
        <f t="shared" si="59"/>
        <v>0</v>
      </c>
      <c r="Y261" s="601">
        <f t="shared" si="60"/>
        <v>0</v>
      </c>
      <c r="Z261" s="601">
        <f t="shared" si="61"/>
        <v>0</v>
      </c>
      <c r="AA261" s="601">
        <f t="shared" si="62"/>
        <v>0</v>
      </c>
      <c r="AB261" s="602" t="str">
        <f t="shared" si="63"/>
        <v>S</v>
      </c>
      <c r="AC261" s="847" t="s">
        <v>1232</v>
      </c>
      <c r="AD261" s="603">
        <f>(T261+U261+V261)*'1.0-Contractblad'!$K$69</f>
        <v>0</v>
      </c>
      <c r="AE261" s="603"/>
      <c r="AF261" s="58">
        <f t="shared" si="64"/>
        <v>0</v>
      </c>
      <c r="AG261" s="58">
        <f t="shared" si="70"/>
        <v>71.399999999999991</v>
      </c>
      <c r="AH261" s="58" t="str">
        <f t="shared" si="71"/>
        <v>4051-51</v>
      </c>
    </row>
    <row r="262" spans="1:34" ht="13">
      <c r="A262" s="134"/>
      <c r="B262" s="470"/>
      <c r="C262" s="471"/>
      <c r="D262" s="859">
        <f>VLOOKUP(E262,'1.1a-Jaarprijzen'!B:G,6,FALSE)</f>
        <v>2</v>
      </c>
      <c r="E262" s="845" t="s">
        <v>519</v>
      </c>
      <c r="F262" s="798" t="s">
        <v>469</v>
      </c>
      <c r="G262" s="799" t="s">
        <v>440</v>
      </c>
      <c r="H262" s="845" t="s">
        <v>522</v>
      </c>
      <c r="I262" s="573" t="str">
        <f t="shared" si="72"/>
        <v>trappenhuis</v>
      </c>
      <c r="J262" s="694" t="s">
        <v>330</v>
      </c>
      <c r="K262" s="800">
        <v>10.7</v>
      </c>
      <c r="L262" s="800"/>
      <c r="M262" s="867">
        <v>9051</v>
      </c>
      <c r="N262" s="868"/>
      <c r="O262" s="869"/>
      <c r="P262" s="869"/>
      <c r="Q262" s="866">
        <f t="shared" si="65"/>
        <v>51</v>
      </c>
      <c r="R262" s="600">
        <v>1</v>
      </c>
      <c r="S262" s="600">
        <v>1</v>
      </c>
      <c r="T262" s="468">
        <f t="shared" si="66"/>
        <v>0</v>
      </c>
      <c r="U262" s="468">
        <f t="shared" si="67"/>
        <v>0</v>
      </c>
      <c r="V262" s="468">
        <f t="shared" si="68"/>
        <v>0</v>
      </c>
      <c r="W262" s="468">
        <f t="shared" si="69"/>
        <v>0</v>
      </c>
      <c r="X262" s="601">
        <f t="shared" si="59"/>
        <v>0</v>
      </c>
      <c r="Y262" s="601">
        <f t="shared" si="60"/>
        <v>0</v>
      </c>
      <c r="Z262" s="601">
        <f t="shared" si="61"/>
        <v>0</v>
      </c>
      <c r="AA262" s="601">
        <f t="shared" si="62"/>
        <v>0</v>
      </c>
      <c r="AB262" s="602" t="str">
        <f t="shared" si="63"/>
        <v>V</v>
      </c>
      <c r="AC262" s="847" t="s">
        <v>1232</v>
      </c>
      <c r="AD262" s="603">
        <f>(T262+U262+V262)*'1.0-Contractblad'!$K$69</f>
        <v>0</v>
      </c>
      <c r="AE262" s="603"/>
      <c r="AF262" s="58">
        <f t="shared" si="64"/>
        <v>0</v>
      </c>
      <c r="AG262" s="58">
        <f t="shared" si="70"/>
        <v>545.69999999999993</v>
      </c>
      <c r="AH262" s="58" t="str">
        <f t="shared" si="71"/>
        <v>9051-51</v>
      </c>
    </row>
    <row r="263" spans="1:34" ht="13">
      <c r="A263" s="134"/>
      <c r="B263" s="470"/>
      <c r="C263" s="471"/>
      <c r="D263" s="859">
        <f>VLOOKUP(E263,'1.1a-Jaarprijzen'!B:G,6,FALSE)</f>
        <v>2</v>
      </c>
      <c r="E263" s="845" t="s">
        <v>519</v>
      </c>
      <c r="F263" s="798" t="s">
        <v>736</v>
      </c>
      <c r="G263" s="799" t="s">
        <v>456</v>
      </c>
      <c r="H263" s="845" t="s">
        <v>523</v>
      </c>
      <c r="I263" s="573" t="str">
        <f t="shared" si="72"/>
        <v>niet van toepassing</v>
      </c>
      <c r="J263" s="694" t="s">
        <v>330</v>
      </c>
      <c r="K263" s="800"/>
      <c r="L263" s="800">
        <v>72.8</v>
      </c>
      <c r="M263" s="867" t="s">
        <v>19</v>
      </c>
      <c r="N263" s="868"/>
      <c r="O263" s="869"/>
      <c r="P263" s="869"/>
      <c r="Q263" s="866">
        <f t="shared" si="65"/>
        <v>0</v>
      </c>
      <c r="R263" s="600">
        <v>1</v>
      </c>
      <c r="S263" s="600">
        <v>1</v>
      </c>
      <c r="T263" s="468">
        <f t="shared" si="66"/>
        <v>0</v>
      </c>
      <c r="U263" s="468">
        <f t="shared" si="67"/>
        <v>0</v>
      </c>
      <c r="V263" s="468">
        <f t="shared" si="68"/>
        <v>0</v>
      </c>
      <c r="W263" s="468">
        <f t="shared" si="69"/>
        <v>0</v>
      </c>
      <c r="X263" s="601">
        <f t="shared" si="59"/>
        <v>0</v>
      </c>
      <c r="Y263" s="601">
        <f t="shared" si="60"/>
        <v>0</v>
      </c>
      <c r="Z263" s="601">
        <f t="shared" si="61"/>
        <v>0</v>
      </c>
      <c r="AA263" s="601">
        <f t="shared" si="62"/>
        <v>0</v>
      </c>
      <c r="AB263" s="602">
        <f t="shared" si="63"/>
        <v>0</v>
      </c>
      <c r="AC263" s="847" t="s">
        <v>1232</v>
      </c>
      <c r="AD263" s="603">
        <f>(T263+U263+V263)*'1.0-Contractblad'!$K$69</f>
        <v>0</v>
      </c>
      <c r="AE263" s="603"/>
      <c r="AF263" s="58">
        <f t="shared" si="64"/>
        <v>0</v>
      </c>
      <c r="AG263" s="58">
        <f t="shared" si="70"/>
        <v>0</v>
      </c>
      <c r="AH263" s="58" t="str">
        <f t="shared" si="71"/>
        <v>nvt-0</v>
      </c>
    </row>
    <row r="264" spans="1:34" ht="13">
      <c r="A264" s="134"/>
      <c r="B264" s="470"/>
      <c r="C264" s="471"/>
      <c r="D264" s="859">
        <f>VLOOKUP(E264,'1.1a-Jaarprijzen'!B:G,6,FALSE)</f>
        <v>2</v>
      </c>
      <c r="E264" s="845" t="s">
        <v>519</v>
      </c>
      <c r="F264" s="798" t="s">
        <v>736</v>
      </c>
      <c r="G264" s="799" t="s">
        <v>457</v>
      </c>
      <c r="H264" s="845" t="s">
        <v>524</v>
      </c>
      <c r="I264" s="573" t="str">
        <f t="shared" si="72"/>
        <v>verblijfsruimte</v>
      </c>
      <c r="J264" s="694" t="s">
        <v>455</v>
      </c>
      <c r="K264" s="800">
        <v>24.8</v>
      </c>
      <c r="L264" s="800"/>
      <c r="M264" s="867">
        <v>15051</v>
      </c>
      <c r="N264" s="868"/>
      <c r="O264" s="869"/>
      <c r="P264" s="869"/>
      <c r="Q264" s="866">
        <f t="shared" si="65"/>
        <v>51</v>
      </c>
      <c r="R264" s="600">
        <v>1</v>
      </c>
      <c r="S264" s="600">
        <v>1</v>
      </c>
      <c r="T264" s="468">
        <f t="shared" si="66"/>
        <v>0</v>
      </c>
      <c r="U264" s="468">
        <f t="shared" si="67"/>
        <v>0</v>
      </c>
      <c r="V264" s="468">
        <f t="shared" si="68"/>
        <v>0</v>
      </c>
      <c r="W264" s="468">
        <f t="shared" si="69"/>
        <v>0</v>
      </c>
      <c r="X264" s="601">
        <f t="shared" si="59"/>
        <v>0</v>
      </c>
      <c r="Y264" s="601">
        <f t="shared" si="60"/>
        <v>0</v>
      </c>
      <c r="Z264" s="601">
        <f t="shared" si="61"/>
        <v>0</v>
      </c>
      <c r="AA264" s="601">
        <f t="shared" si="62"/>
        <v>0</v>
      </c>
      <c r="AB264" s="602" t="str">
        <f t="shared" si="63"/>
        <v>V</v>
      </c>
      <c r="AC264" s="847" t="s">
        <v>1232</v>
      </c>
      <c r="AD264" s="603">
        <f>(T264+U264+V264)*'1.0-Contractblad'!$K$69</f>
        <v>0</v>
      </c>
      <c r="AE264" s="603"/>
      <c r="AF264" s="58">
        <f t="shared" si="64"/>
        <v>0</v>
      </c>
      <c r="AG264" s="58">
        <f t="shared" si="70"/>
        <v>1264.8</v>
      </c>
      <c r="AH264" s="58" t="str">
        <f t="shared" si="71"/>
        <v>15051-51</v>
      </c>
    </row>
    <row r="265" spans="1:34" ht="13">
      <c r="A265" s="134"/>
      <c r="B265" s="470"/>
      <c r="C265" s="471"/>
      <c r="D265" s="859">
        <f>VLOOKUP(E265,'1.1a-Jaarprijzen'!B:G,6,FALSE)</f>
        <v>2</v>
      </c>
      <c r="E265" s="845" t="s">
        <v>635</v>
      </c>
      <c r="F265" s="798" t="s">
        <v>469</v>
      </c>
      <c r="G265" s="799" t="s">
        <v>437</v>
      </c>
      <c r="H265" s="573" t="s">
        <v>504</v>
      </c>
      <c r="I265" s="573" t="str">
        <f t="shared" si="72"/>
        <v>entree, gang, hal, repro, kopieer</v>
      </c>
      <c r="J265" s="694" t="s">
        <v>462</v>
      </c>
      <c r="K265" s="800">
        <v>2.92</v>
      </c>
      <c r="L265" s="800"/>
      <c r="M265" s="867">
        <v>3026</v>
      </c>
      <c r="N265" s="868"/>
      <c r="O265" s="869"/>
      <c r="P265" s="869"/>
      <c r="Q265" s="866">
        <f t="shared" si="65"/>
        <v>26</v>
      </c>
      <c r="R265" s="600">
        <v>1</v>
      </c>
      <c r="S265" s="600">
        <v>1</v>
      </c>
      <c r="T265" s="468">
        <f t="shared" si="66"/>
        <v>0</v>
      </c>
      <c r="U265" s="468">
        <f t="shared" si="67"/>
        <v>0</v>
      </c>
      <c r="V265" s="468">
        <f t="shared" si="68"/>
        <v>0</v>
      </c>
      <c r="W265" s="468">
        <f t="shared" si="69"/>
        <v>0</v>
      </c>
      <c r="X265" s="601">
        <f t="shared" si="59"/>
        <v>0</v>
      </c>
      <c r="Y265" s="601">
        <f t="shared" si="60"/>
        <v>0</v>
      </c>
      <c r="Z265" s="601">
        <f t="shared" si="61"/>
        <v>0</v>
      </c>
      <c r="AA265" s="601">
        <f t="shared" si="62"/>
        <v>0</v>
      </c>
      <c r="AB265" s="602" t="str">
        <f t="shared" si="63"/>
        <v>V</v>
      </c>
      <c r="AC265" s="847" t="s">
        <v>1233</v>
      </c>
      <c r="AD265" s="603">
        <f>(T265+U265+V265)*'1.0-Contractblad'!$K$69</f>
        <v>0</v>
      </c>
      <c r="AE265" s="603"/>
      <c r="AF265" s="58">
        <f t="shared" si="64"/>
        <v>0</v>
      </c>
      <c r="AG265" s="58">
        <f t="shared" si="70"/>
        <v>75.92</v>
      </c>
      <c r="AH265" s="58" t="str">
        <f t="shared" si="71"/>
        <v>3026-26</v>
      </c>
    </row>
    <row r="266" spans="1:34" ht="13">
      <c r="A266" s="134"/>
      <c r="B266" s="470"/>
      <c r="C266" s="471"/>
      <c r="D266" s="859">
        <f>VLOOKUP(E266,'1.1a-Jaarprijzen'!B:G,6,FALSE)</f>
        <v>2</v>
      </c>
      <c r="E266" s="845" t="s">
        <v>635</v>
      </c>
      <c r="F266" s="798" t="s">
        <v>469</v>
      </c>
      <c r="G266" s="799" t="s">
        <v>438</v>
      </c>
      <c r="H266" s="573" t="s">
        <v>466</v>
      </c>
      <c r="I266" s="573" t="str">
        <f t="shared" si="72"/>
        <v>sanitaire ruimte (toilet-/doucheruimte)</v>
      </c>
      <c r="J266" s="694" t="s">
        <v>462</v>
      </c>
      <c r="K266" s="800">
        <v>1.21</v>
      </c>
      <c r="L266" s="800"/>
      <c r="M266" s="867">
        <v>4026</v>
      </c>
      <c r="N266" s="868"/>
      <c r="O266" s="869"/>
      <c r="P266" s="869"/>
      <c r="Q266" s="866">
        <f t="shared" si="65"/>
        <v>26</v>
      </c>
      <c r="R266" s="600">
        <v>1</v>
      </c>
      <c r="S266" s="600">
        <v>1</v>
      </c>
      <c r="T266" s="468">
        <f t="shared" si="66"/>
        <v>0</v>
      </c>
      <c r="U266" s="468">
        <f t="shared" si="67"/>
        <v>0</v>
      </c>
      <c r="V266" s="468">
        <f t="shared" si="68"/>
        <v>0</v>
      </c>
      <c r="W266" s="468">
        <f t="shared" si="69"/>
        <v>0</v>
      </c>
      <c r="X266" s="601">
        <f t="shared" si="59"/>
        <v>0</v>
      </c>
      <c r="Y266" s="601">
        <f t="shared" si="60"/>
        <v>0</v>
      </c>
      <c r="Z266" s="601">
        <f t="shared" si="61"/>
        <v>0</v>
      </c>
      <c r="AA266" s="601">
        <f t="shared" si="62"/>
        <v>0</v>
      </c>
      <c r="AB266" s="602" t="str">
        <f t="shared" si="63"/>
        <v>S</v>
      </c>
      <c r="AC266" s="847"/>
      <c r="AD266" s="603">
        <f>(T266+U266+V266)*'1.0-Contractblad'!$K$69</f>
        <v>0</v>
      </c>
      <c r="AE266" s="603"/>
      <c r="AF266" s="58">
        <f t="shared" si="64"/>
        <v>0</v>
      </c>
      <c r="AG266" s="58">
        <f t="shared" si="70"/>
        <v>31.46</v>
      </c>
      <c r="AH266" s="58" t="str">
        <f t="shared" si="71"/>
        <v>4026-26</v>
      </c>
    </row>
    <row r="267" spans="1:34" ht="13">
      <c r="A267" s="134"/>
      <c r="B267" s="470"/>
      <c r="C267" s="471"/>
      <c r="D267" s="859">
        <f>VLOOKUP(E267,'1.1a-Jaarprijzen'!B:G,6,FALSE)</f>
        <v>2</v>
      </c>
      <c r="E267" s="845" t="s">
        <v>635</v>
      </c>
      <c r="F267" s="798" t="s">
        <v>469</v>
      </c>
      <c r="G267" s="799" t="s">
        <v>439</v>
      </c>
      <c r="H267" s="845" t="s">
        <v>631</v>
      </c>
      <c r="I267" s="573" t="str">
        <f t="shared" si="72"/>
        <v>pantry, keuken, koffiecorner</v>
      </c>
      <c r="J267" s="694" t="s">
        <v>462</v>
      </c>
      <c r="K267" s="800">
        <v>18.09</v>
      </c>
      <c r="L267" s="800"/>
      <c r="M267" s="867">
        <v>5026</v>
      </c>
      <c r="N267" s="868"/>
      <c r="O267" s="869"/>
      <c r="P267" s="869"/>
      <c r="Q267" s="866">
        <f t="shared" si="65"/>
        <v>26</v>
      </c>
      <c r="R267" s="600">
        <v>1</v>
      </c>
      <c r="S267" s="600">
        <v>1</v>
      </c>
      <c r="T267" s="468">
        <f t="shared" si="66"/>
        <v>0</v>
      </c>
      <c r="U267" s="468">
        <f t="shared" si="67"/>
        <v>0</v>
      </c>
      <c r="V267" s="468">
        <f t="shared" si="68"/>
        <v>0</v>
      </c>
      <c r="W267" s="468">
        <f t="shared" si="69"/>
        <v>0</v>
      </c>
      <c r="X267" s="601">
        <f t="shared" si="59"/>
        <v>0</v>
      </c>
      <c r="Y267" s="601">
        <f t="shared" si="60"/>
        <v>0</v>
      </c>
      <c r="Z267" s="601">
        <f t="shared" si="61"/>
        <v>0</v>
      </c>
      <c r="AA267" s="601">
        <f t="shared" si="62"/>
        <v>0</v>
      </c>
      <c r="AB267" s="602" t="str">
        <f t="shared" si="63"/>
        <v>V</v>
      </c>
      <c r="AC267" s="847"/>
      <c r="AD267" s="603">
        <f>(T267+U267+V267)*'1.0-Contractblad'!$K$69</f>
        <v>0</v>
      </c>
      <c r="AE267" s="603"/>
      <c r="AF267" s="58">
        <f t="shared" si="64"/>
        <v>0</v>
      </c>
      <c r="AG267" s="58">
        <f t="shared" si="70"/>
        <v>470.34</v>
      </c>
      <c r="AH267" s="58" t="str">
        <f t="shared" si="71"/>
        <v>5026-26</v>
      </c>
    </row>
    <row r="268" spans="1:34" ht="13">
      <c r="A268" s="134"/>
      <c r="B268" s="470"/>
      <c r="C268" s="471"/>
      <c r="D268" s="859">
        <f>VLOOKUP(E268,'1.1a-Jaarprijzen'!B:G,6,FALSE)</f>
        <v>2</v>
      </c>
      <c r="E268" s="845" t="s">
        <v>635</v>
      </c>
      <c r="F268" s="798" t="s">
        <v>469</v>
      </c>
      <c r="G268" s="799" t="s">
        <v>440</v>
      </c>
      <c r="H268" s="573" t="s">
        <v>632</v>
      </c>
      <c r="I268" s="573" t="str">
        <f t="shared" si="72"/>
        <v>niet van toepassing</v>
      </c>
      <c r="J268" s="694" t="s">
        <v>326</v>
      </c>
      <c r="K268" s="800"/>
      <c r="L268" s="800"/>
      <c r="M268" s="867" t="s">
        <v>19</v>
      </c>
      <c r="N268" s="868"/>
      <c r="O268" s="869"/>
      <c r="P268" s="869"/>
      <c r="Q268" s="866">
        <f t="shared" si="65"/>
        <v>0</v>
      </c>
      <c r="R268" s="600">
        <v>1</v>
      </c>
      <c r="S268" s="600">
        <v>1</v>
      </c>
      <c r="T268" s="468">
        <f t="shared" si="66"/>
        <v>0</v>
      </c>
      <c r="U268" s="468">
        <f t="shared" si="67"/>
        <v>0</v>
      </c>
      <c r="V268" s="468">
        <f t="shared" si="68"/>
        <v>0</v>
      </c>
      <c r="W268" s="468">
        <f t="shared" si="69"/>
        <v>0</v>
      </c>
      <c r="X268" s="601">
        <f t="shared" si="59"/>
        <v>0</v>
      </c>
      <c r="Y268" s="601">
        <f t="shared" si="60"/>
        <v>0</v>
      </c>
      <c r="Z268" s="601">
        <f t="shared" si="61"/>
        <v>0</v>
      </c>
      <c r="AA268" s="601">
        <f t="shared" si="62"/>
        <v>0</v>
      </c>
      <c r="AB268" s="602">
        <f t="shared" si="63"/>
        <v>0</v>
      </c>
      <c r="AC268" s="847"/>
      <c r="AD268" s="603">
        <f>(T268+U268+V268)*'1.0-Contractblad'!$K$69</f>
        <v>0</v>
      </c>
      <c r="AE268" s="603"/>
      <c r="AF268" s="58">
        <f t="shared" si="64"/>
        <v>0</v>
      </c>
      <c r="AG268" s="58">
        <f t="shared" si="70"/>
        <v>0</v>
      </c>
      <c r="AH268" s="58" t="str">
        <f t="shared" si="71"/>
        <v>nvt-0</v>
      </c>
    </row>
    <row r="269" spans="1:34" ht="13">
      <c r="A269" s="134"/>
      <c r="B269" s="470"/>
      <c r="C269" s="471"/>
      <c r="D269" s="859">
        <f>VLOOKUP(E269,'1.1a-Jaarprijzen'!B:G,6,FALSE)</f>
        <v>2</v>
      </c>
      <c r="E269" s="845" t="s">
        <v>635</v>
      </c>
      <c r="F269" s="798" t="s">
        <v>469</v>
      </c>
      <c r="G269" s="799" t="s">
        <v>441</v>
      </c>
      <c r="H269" s="845" t="s">
        <v>633</v>
      </c>
      <c r="I269" s="573" t="str">
        <f t="shared" si="72"/>
        <v>niet van toepassing</v>
      </c>
      <c r="J269" s="694" t="s">
        <v>326</v>
      </c>
      <c r="K269" s="800"/>
      <c r="L269" s="800"/>
      <c r="M269" s="867" t="s">
        <v>19</v>
      </c>
      <c r="N269" s="868"/>
      <c r="O269" s="869"/>
      <c r="P269" s="869"/>
      <c r="Q269" s="866">
        <f t="shared" si="65"/>
        <v>0</v>
      </c>
      <c r="R269" s="600">
        <v>1</v>
      </c>
      <c r="S269" s="600">
        <v>1</v>
      </c>
      <c r="T269" s="468">
        <f t="shared" si="66"/>
        <v>0</v>
      </c>
      <c r="U269" s="468">
        <f t="shared" si="67"/>
        <v>0</v>
      </c>
      <c r="V269" s="468">
        <f t="shared" si="68"/>
        <v>0</v>
      </c>
      <c r="W269" s="468">
        <f t="shared" si="69"/>
        <v>0</v>
      </c>
      <c r="X269" s="601">
        <f t="shared" si="59"/>
        <v>0</v>
      </c>
      <c r="Y269" s="601">
        <f t="shared" si="60"/>
        <v>0</v>
      </c>
      <c r="Z269" s="601">
        <f t="shared" si="61"/>
        <v>0</v>
      </c>
      <c r="AA269" s="601">
        <f t="shared" si="62"/>
        <v>0</v>
      </c>
      <c r="AB269" s="602">
        <f t="shared" si="63"/>
        <v>0</v>
      </c>
      <c r="AC269" s="847"/>
      <c r="AD269" s="603">
        <f>(T269+U269+V269)*'1.0-Contractblad'!$K$69</f>
        <v>0</v>
      </c>
      <c r="AE269" s="603"/>
      <c r="AF269" s="58">
        <f t="shared" si="64"/>
        <v>0</v>
      </c>
      <c r="AG269" s="58">
        <f t="shared" si="70"/>
        <v>0</v>
      </c>
      <c r="AH269" s="58" t="str">
        <f t="shared" si="71"/>
        <v>nvt-0</v>
      </c>
    </row>
    <row r="270" spans="1:34" ht="13">
      <c r="A270" s="134"/>
      <c r="B270" s="470"/>
      <c r="C270" s="471"/>
      <c r="D270" s="859">
        <f>VLOOKUP(E270,'1.1a-Jaarprijzen'!B:G,6,FALSE)</f>
        <v>2</v>
      </c>
      <c r="E270" s="845" t="s">
        <v>635</v>
      </c>
      <c r="F270" s="798" t="s">
        <v>469</v>
      </c>
      <c r="G270" s="799" t="s">
        <v>442</v>
      </c>
      <c r="H270" s="573" t="s">
        <v>634</v>
      </c>
      <c r="I270" s="573" t="str">
        <f t="shared" si="72"/>
        <v>niet van toepassing</v>
      </c>
      <c r="J270" s="694" t="s">
        <v>326</v>
      </c>
      <c r="K270" s="800"/>
      <c r="L270" s="800"/>
      <c r="M270" s="867" t="s">
        <v>19</v>
      </c>
      <c r="N270" s="868"/>
      <c r="O270" s="869"/>
      <c r="P270" s="869"/>
      <c r="Q270" s="866">
        <f t="shared" si="65"/>
        <v>0</v>
      </c>
      <c r="R270" s="600">
        <v>1</v>
      </c>
      <c r="S270" s="600">
        <v>1</v>
      </c>
      <c r="T270" s="468">
        <f t="shared" si="66"/>
        <v>0</v>
      </c>
      <c r="U270" s="468">
        <f t="shared" si="67"/>
        <v>0</v>
      </c>
      <c r="V270" s="468">
        <f t="shared" si="68"/>
        <v>0</v>
      </c>
      <c r="W270" s="468">
        <f t="shared" si="69"/>
        <v>0</v>
      </c>
      <c r="X270" s="601">
        <f t="shared" si="59"/>
        <v>0</v>
      </c>
      <c r="Y270" s="601">
        <f t="shared" si="60"/>
        <v>0</v>
      </c>
      <c r="Z270" s="601">
        <f t="shared" si="61"/>
        <v>0</v>
      </c>
      <c r="AA270" s="601">
        <f t="shared" si="62"/>
        <v>0</v>
      </c>
      <c r="AB270" s="602">
        <f t="shared" si="63"/>
        <v>0</v>
      </c>
      <c r="AC270" s="847"/>
      <c r="AD270" s="603">
        <f>(T270+U270+V270)*'1.0-Contractblad'!$K$69</f>
        <v>0</v>
      </c>
      <c r="AE270" s="603"/>
      <c r="AF270" s="58">
        <f t="shared" si="64"/>
        <v>0</v>
      </c>
      <c r="AG270" s="58">
        <f t="shared" si="70"/>
        <v>0</v>
      </c>
      <c r="AH270" s="58" t="str">
        <f t="shared" si="71"/>
        <v>nvt-0</v>
      </c>
    </row>
    <row r="271" spans="1:34" ht="13">
      <c r="A271" s="134"/>
      <c r="B271" s="470"/>
      <c r="C271" s="471"/>
      <c r="D271" s="859">
        <f>VLOOKUP(E271,'1.1a-Jaarprijzen'!B:G,6,FALSE)</f>
        <v>2</v>
      </c>
      <c r="E271" s="845" t="s">
        <v>738</v>
      </c>
      <c r="F271" s="798" t="s">
        <v>469</v>
      </c>
      <c r="G271" s="799" t="s">
        <v>715</v>
      </c>
      <c r="H271" s="573" t="s">
        <v>526</v>
      </c>
      <c r="I271" s="573" t="str">
        <f t="shared" si="72"/>
        <v>buitenbordes</v>
      </c>
      <c r="J271" s="694" t="s">
        <v>462</v>
      </c>
      <c r="K271" s="800">
        <v>2</v>
      </c>
      <c r="L271" s="800"/>
      <c r="M271" s="867">
        <v>16051</v>
      </c>
      <c r="N271" s="868"/>
      <c r="O271" s="869"/>
      <c r="P271" s="869"/>
      <c r="Q271" s="866">
        <f t="shared" si="65"/>
        <v>51</v>
      </c>
      <c r="R271" s="600">
        <v>1</v>
      </c>
      <c r="S271" s="600">
        <v>1</v>
      </c>
      <c r="T271" s="468">
        <f t="shared" si="66"/>
        <v>0</v>
      </c>
      <c r="U271" s="468">
        <f t="shared" si="67"/>
        <v>0</v>
      </c>
      <c r="V271" s="468">
        <f t="shared" si="68"/>
        <v>0</v>
      </c>
      <c r="W271" s="468">
        <f t="shared" si="69"/>
        <v>0</v>
      </c>
      <c r="X271" s="601">
        <f t="shared" si="59"/>
        <v>0</v>
      </c>
      <c r="Y271" s="601">
        <f t="shared" si="60"/>
        <v>0</v>
      </c>
      <c r="Z271" s="601">
        <f t="shared" si="61"/>
        <v>0</v>
      </c>
      <c r="AA271" s="601">
        <f t="shared" si="62"/>
        <v>0</v>
      </c>
      <c r="AB271" s="602" t="str">
        <f t="shared" si="63"/>
        <v>V</v>
      </c>
      <c r="AC271" s="847" t="s">
        <v>1232</v>
      </c>
      <c r="AD271" s="603">
        <f>(T271+U271+V271)*'1.0-Contractblad'!$K$69</f>
        <v>0</v>
      </c>
      <c r="AE271" s="603"/>
      <c r="AF271" s="58">
        <f t="shared" si="64"/>
        <v>0</v>
      </c>
      <c r="AG271" s="58">
        <f t="shared" si="70"/>
        <v>102</v>
      </c>
      <c r="AH271" s="58" t="str">
        <f t="shared" si="71"/>
        <v>16051-51</v>
      </c>
    </row>
    <row r="272" spans="1:34" ht="13">
      <c r="A272" s="134"/>
      <c r="B272" s="470"/>
      <c r="C272" s="471"/>
      <c r="D272" s="859">
        <f>VLOOKUP(E272,'1.1a-Jaarprijzen'!B:G,6,FALSE)</f>
        <v>2</v>
      </c>
      <c r="E272" s="845" t="s">
        <v>738</v>
      </c>
      <c r="F272" s="798" t="s">
        <v>469</v>
      </c>
      <c r="G272" s="799" t="s">
        <v>716</v>
      </c>
      <c r="H272" s="573" t="s">
        <v>717</v>
      </c>
      <c r="I272" s="573" t="str">
        <f t="shared" si="72"/>
        <v>entree, gang, hal, repro, kopieer</v>
      </c>
      <c r="J272" s="694" t="s">
        <v>462</v>
      </c>
      <c r="K272" s="800">
        <v>13.13</v>
      </c>
      <c r="L272" s="800"/>
      <c r="M272" s="867">
        <v>3051</v>
      </c>
      <c r="N272" s="868"/>
      <c r="O272" s="869"/>
      <c r="P272" s="869"/>
      <c r="Q272" s="866">
        <f t="shared" si="65"/>
        <v>51</v>
      </c>
      <c r="R272" s="600">
        <v>1</v>
      </c>
      <c r="S272" s="600">
        <v>1</v>
      </c>
      <c r="T272" s="468">
        <f t="shared" si="66"/>
        <v>0</v>
      </c>
      <c r="U272" s="468">
        <f t="shared" si="67"/>
        <v>0</v>
      </c>
      <c r="V272" s="468">
        <f t="shared" si="68"/>
        <v>0</v>
      </c>
      <c r="W272" s="468">
        <f t="shared" si="69"/>
        <v>0</v>
      </c>
      <c r="X272" s="601">
        <f t="shared" si="59"/>
        <v>0</v>
      </c>
      <c r="Y272" s="601">
        <f t="shared" si="60"/>
        <v>0</v>
      </c>
      <c r="Z272" s="601">
        <f t="shared" si="61"/>
        <v>0</v>
      </c>
      <c r="AA272" s="601">
        <f t="shared" si="62"/>
        <v>0</v>
      </c>
      <c r="AB272" s="602" t="str">
        <f t="shared" si="63"/>
        <v>V</v>
      </c>
      <c r="AC272" s="847" t="s">
        <v>1232</v>
      </c>
      <c r="AD272" s="603">
        <f>(T272+U272+V272)*'1.0-Contractblad'!$K$69</f>
        <v>0</v>
      </c>
      <c r="AE272" s="603"/>
      <c r="AF272" s="58">
        <f t="shared" si="64"/>
        <v>0</v>
      </c>
      <c r="AG272" s="58">
        <f t="shared" si="70"/>
        <v>669.63</v>
      </c>
      <c r="AH272" s="58" t="str">
        <f t="shared" si="71"/>
        <v>3051-51</v>
      </c>
    </row>
    <row r="273" spans="1:34" ht="13">
      <c r="A273" s="134"/>
      <c r="B273" s="470"/>
      <c r="C273" s="471"/>
      <c r="D273" s="859">
        <f>VLOOKUP(E273,'1.1a-Jaarprijzen'!B:G,6,FALSE)</f>
        <v>2</v>
      </c>
      <c r="E273" s="845" t="s">
        <v>738</v>
      </c>
      <c r="F273" s="798" t="s">
        <v>469</v>
      </c>
      <c r="G273" s="799" t="s">
        <v>718</v>
      </c>
      <c r="H273" s="573" t="s">
        <v>502</v>
      </c>
      <c r="I273" s="573" t="str">
        <f t="shared" si="72"/>
        <v>pantry, keuken, koffiecorner</v>
      </c>
      <c r="J273" s="694" t="s">
        <v>719</v>
      </c>
      <c r="K273" s="800">
        <v>17</v>
      </c>
      <c r="L273" s="800"/>
      <c r="M273" s="867">
        <v>5051</v>
      </c>
      <c r="N273" s="868"/>
      <c r="O273" s="869"/>
      <c r="P273" s="869"/>
      <c r="Q273" s="866">
        <f t="shared" si="65"/>
        <v>51</v>
      </c>
      <c r="R273" s="600">
        <v>1</v>
      </c>
      <c r="S273" s="600">
        <v>1</v>
      </c>
      <c r="T273" s="468">
        <f t="shared" si="66"/>
        <v>0</v>
      </c>
      <c r="U273" s="468">
        <f t="shared" si="67"/>
        <v>0</v>
      </c>
      <c r="V273" s="468">
        <f t="shared" si="68"/>
        <v>0</v>
      </c>
      <c r="W273" s="468">
        <f t="shared" si="69"/>
        <v>0</v>
      </c>
      <c r="X273" s="601">
        <f t="shared" si="59"/>
        <v>0</v>
      </c>
      <c r="Y273" s="601">
        <f t="shared" si="60"/>
        <v>0</v>
      </c>
      <c r="Z273" s="601">
        <f t="shared" si="61"/>
        <v>0</v>
      </c>
      <c r="AA273" s="601">
        <f t="shared" si="62"/>
        <v>0</v>
      </c>
      <c r="AB273" s="602" t="str">
        <f t="shared" si="63"/>
        <v>V</v>
      </c>
      <c r="AC273" s="847" t="s">
        <v>1232</v>
      </c>
      <c r="AD273" s="603">
        <f>(T273+U273+V273)*'1.0-Contractblad'!$K$69</f>
        <v>0</v>
      </c>
      <c r="AE273" s="603"/>
      <c r="AF273" s="58">
        <f t="shared" si="64"/>
        <v>0</v>
      </c>
      <c r="AG273" s="58">
        <f t="shared" si="70"/>
        <v>867</v>
      </c>
      <c r="AH273" s="58" t="str">
        <f t="shared" si="71"/>
        <v>5051-51</v>
      </c>
    </row>
    <row r="274" spans="1:34" ht="13">
      <c r="A274" s="134"/>
      <c r="B274" s="470"/>
      <c r="C274" s="471"/>
      <c r="D274" s="859">
        <f>VLOOKUP(E274,'1.1a-Jaarprijzen'!B:G,6,FALSE)</f>
        <v>2</v>
      </c>
      <c r="E274" s="845" t="s">
        <v>738</v>
      </c>
      <c r="F274" s="798" t="s">
        <v>469</v>
      </c>
      <c r="G274" s="799" t="s">
        <v>720</v>
      </c>
      <c r="H274" s="573" t="s">
        <v>721</v>
      </c>
      <c r="I274" s="573" t="str">
        <f t="shared" si="72"/>
        <v>niet van toepassing</v>
      </c>
      <c r="J274" s="694" t="s">
        <v>719</v>
      </c>
      <c r="K274" s="800"/>
      <c r="L274" s="800">
        <v>29.39</v>
      </c>
      <c r="M274" s="867" t="s">
        <v>19</v>
      </c>
      <c r="N274" s="868"/>
      <c r="O274" s="869"/>
      <c r="P274" s="869"/>
      <c r="Q274" s="866">
        <f t="shared" si="65"/>
        <v>0</v>
      </c>
      <c r="R274" s="600">
        <v>1</v>
      </c>
      <c r="S274" s="600">
        <v>1</v>
      </c>
      <c r="T274" s="468">
        <f t="shared" si="66"/>
        <v>0</v>
      </c>
      <c r="U274" s="468">
        <f t="shared" si="67"/>
        <v>0</v>
      </c>
      <c r="V274" s="468">
        <f t="shared" si="68"/>
        <v>0</v>
      </c>
      <c r="W274" s="468">
        <f t="shared" si="69"/>
        <v>0</v>
      </c>
      <c r="X274" s="601">
        <f t="shared" si="59"/>
        <v>0</v>
      </c>
      <c r="Y274" s="601">
        <f t="shared" si="60"/>
        <v>0</v>
      </c>
      <c r="Z274" s="601">
        <f t="shared" si="61"/>
        <v>0</v>
      </c>
      <c r="AA274" s="601">
        <f t="shared" si="62"/>
        <v>0</v>
      </c>
      <c r="AB274" s="602">
        <f t="shared" si="63"/>
        <v>0</v>
      </c>
      <c r="AC274" s="847"/>
      <c r="AD274" s="603">
        <f>(T274+U274+V274)*'1.0-Contractblad'!$K$69</f>
        <v>0</v>
      </c>
      <c r="AE274" s="603"/>
      <c r="AF274" s="58">
        <f t="shared" si="64"/>
        <v>0</v>
      </c>
      <c r="AG274" s="58">
        <f t="shared" si="70"/>
        <v>0</v>
      </c>
      <c r="AH274" s="58" t="str">
        <f t="shared" si="71"/>
        <v>nvt-0</v>
      </c>
    </row>
    <row r="275" spans="1:34" ht="13">
      <c r="A275" s="134"/>
      <c r="B275" s="470"/>
      <c r="C275" s="471"/>
      <c r="D275" s="859">
        <f>VLOOKUP(E275,'1.1a-Jaarprijzen'!B:G,6,FALSE)</f>
        <v>2</v>
      </c>
      <c r="E275" s="845" t="s">
        <v>738</v>
      </c>
      <c r="F275" s="798" t="s">
        <v>469</v>
      </c>
      <c r="G275" s="799" t="s">
        <v>722</v>
      </c>
      <c r="H275" s="573" t="s">
        <v>723</v>
      </c>
      <c r="I275" s="573" t="str">
        <f t="shared" si="72"/>
        <v>niet van toepassing</v>
      </c>
      <c r="J275" s="800"/>
      <c r="K275" s="800"/>
      <c r="L275" s="800"/>
      <c r="M275" s="867" t="s">
        <v>19</v>
      </c>
      <c r="N275" s="868"/>
      <c r="O275" s="869"/>
      <c r="P275" s="869"/>
      <c r="Q275" s="866">
        <f t="shared" si="65"/>
        <v>0</v>
      </c>
      <c r="R275" s="600">
        <v>1</v>
      </c>
      <c r="S275" s="600">
        <v>1</v>
      </c>
      <c r="T275" s="468">
        <f t="shared" si="66"/>
        <v>0</v>
      </c>
      <c r="U275" s="468">
        <f t="shared" si="67"/>
        <v>0</v>
      </c>
      <c r="V275" s="468">
        <f t="shared" si="68"/>
        <v>0</v>
      </c>
      <c r="W275" s="468">
        <f t="shared" si="69"/>
        <v>0</v>
      </c>
      <c r="X275" s="601">
        <f t="shared" si="59"/>
        <v>0</v>
      </c>
      <c r="Y275" s="601">
        <f t="shared" si="60"/>
        <v>0</v>
      </c>
      <c r="Z275" s="601">
        <f t="shared" si="61"/>
        <v>0</v>
      </c>
      <c r="AA275" s="601">
        <f t="shared" si="62"/>
        <v>0</v>
      </c>
      <c r="AB275" s="602">
        <f t="shared" si="63"/>
        <v>0</v>
      </c>
      <c r="AC275" s="847"/>
      <c r="AD275" s="603">
        <f>(T275+U275+V275)*'1.0-Contractblad'!$K$69</f>
        <v>0</v>
      </c>
      <c r="AE275" s="603"/>
      <c r="AF275" s="58">
        <f t="shared" si="64"/>
        <v>0</v>
      </c>
      <c r="AG275" s="58">
        <f t="shared" si="70"/>
        <v>0</v>
      </c>
      <c r="AH275" s="58" t="str">
        <f t="shared" si="71"/>
        <v>nvt-0</v>
      </c>
    </row>
    <row r="276" spans="1:34" ht="13">
      <c r="A276" s="134"/>
      <c r="B276" s="470"/>
      <c r="C276" s="471"/>
      <c r="D276" s="859">
        <f>VLOOKUP(E276,'1.1a-Jaarprijzen'!B:G,6,FALSE)</f>
        <v>2</v>
      </c>
      <c r="E276" s="845" t="s">
        <v>738</v>
      </c>
      <c r="F276" s="798" t="s">
        <v>469</v>
      </c>
      <c r="G276" s="799" t="s">
        <v>724</v>
      </c>
      <c r="H276" s="573" t="s">
        <v>466</v>
      </c>
      <c r="I276" s="573" t="str">
        <f t="shared" si="72"/>
        <v>sanitaire ruimte (toilet-/doucheruimte)</v>
      </c>
      <c r="J276" s="694" t="s">
        <v>462</v>
      </c>
      <c r="K276" s="800">
        <v>1.1499999999999999</v>
      </c>
      <c r="L276" s="800"/>
      <c r="M276" s="867">
        <v>4051</v>
      </c>
      <c r="N276" s="868"/>
      <c r="O276" s="869"/>
      <c r="P276" s="869"/>
      <c r="Q276" s="866">
        <f t="shared" si="65"/>
        <v>51</v>
      </c>
      <c r="R276" s="600">
        <v>1</v>
      </c>
      <c r="S276" s="600">
        <v>1</v>
      </c>
      <c r="T276" s="468">
        <f t="shared" si="66"/>
        <v>0</v>
      </c>
      <c r="U276" s="468">
        <f t="shared" si="67"/>
        <v>0</v>
      </c>
      <c r="V276" s="468">
        <f t="shared" si="68"/>
        <v>0</v>
      </c>
      <c r="W276" s="468">
        <f t="shared" si="69"/>
        <v>0</v>
      </c>
      <c r="X276" s="601">
        <f t="shared" si="59"/>
        <v>0</v>
      </c>
      <c r="Y276" s="601">
        <f t="shared" si="60"/>
        <v>0</v>
      </c>
      <c r="Z276" s="601">
        <f t="shared" si="61"/>
        <v>0</v>
      </c>
      <c r="AA276" s="601">
        <f t="shared" si="62"/>
        <v>0</v>
      </c>
      <c r="AB276" s="602" t="str">
        <f t="shared" si="63"/>
        <v>S</v>
      </c>
      <c r="AC276" s="847" t="s">
        <v>1232</v>
      </c>
      <c r="AD276" s="603">
        <f>(T276+U276+V276)*'1.0-Contractblad'!$K$69</f>
        <v>0</v>
      </c>
      <c r="AE276" s="603"/>
      <c r="AF276" s="58">
        <f t="shared" si="64"/>
        <v>0</v>
      </c>
      <c r="AG276" s="58">
        <f t="shared" si="70"/>
        <v>58.65</v>
      </c>
      <c r="AH276" s="58" t="str">
        <f t="shared" si="71"/>
        <v>4051-51</v>
      </c>
    </row>
    <row r="277" spans="1:34" ht="13">
      <c r="A277" s="134"/>
      <c r="B277" s="470"/>
      <c r="C277" s="471"/>
      <c r="D277" s="859">
        <f>VLOOKUP(E277,'1.1a-Jaarprijzen'!B:G,6,FALSE)</f>
        <v>2</v>
      </c>
      <c r="E277" s="845" t="s">
        <v>738</v>
      </c>
      <c r="F277" s="798" t="s">
        <v>469</v>
      </c>
      <c r="G277" s="799" t="s">
        <v>725</v>
      </c>
      <c r="H277" s="573" t="s">
        <v>726</v>
      </c>
      <c r="I277" s="573" t="str">
        <f t="shared" si="72"/>
        <v>entree, gang, hal, repro, kopieer</v>
      </c>
      <c r="J277" s="694" t="s">
        <v>462</v>
      </c>
      <c r="K277" s="800">
        <v>7.45</v>
      </c>
      <c r="L277" s="800"/>
      <c r="M277" s="867">
        <v>3051</v>
      </c>
      <c r="N277" s="868"/>
      <c r="O277" s="869"/>
      <c r="P277" s="869"/>
      <c r="Q277" s="866">
        <f t="shared" si="65"/>
        <v>51</v>
      </c>
      <c r="R277" s="600">
        <v>1</v>
      </c>
      <c r="S277" s="600">
        <v>1</v>
      </c>
      <c r="T277" s="468">
        <f t="shared" si="66"/>
        <v>0</v>
      </c>
      <c r="U277" s="468">
        <f t="shared" si="67"/>
        <v>0</v>
      </c>
      <c r="V277" s="468">
        <f t="shared" si="68"/>
        <v>0</v>
      </c>
      <c r="W277" s="468">
        <f t="shared" si="69"/>
        <v>0</v>
      </c>
      <c r="X277" s="601">
        <f t="shared" si="59"/>
        <v>0</v>
      </c>
      <c r="Y277" s="601">
        <f t="shared" si="60"/>
        <v>0</v>
      </c>
      <c r="Z277" s="601">
        <f t="shared" si="61"/>
        <v>0</v>
      </c>
      <c r="AA277" s="601">
        <f t="shared" si="62"/>
        <v>0</v>
      </c>
      <c r="AB277" s="602" t="str">
        <f t="shared" si="63"/>
        <v>V</v>
      </c>
      <c r="AC277" s="847" t="s">
        <v>1232</v>
      </c>
      <c r="AD277" s="603">
        <f>(T277+U277+V277)*'1.0-Contractblad'!$K$69</f>
        <v>0</v>
      </c>
      <c r="AE277" s="603"/>
      <c r="AF277" s="58">
        <f t="shared" si="64"/>
        <v>0</v>
      </c>
      <c r="AG277" s="58">
        <f t="shared" si="70"/>
        <v>379.95</v>
      </c>
      <c r="AH277" s="58" t="str">
        <f t="shared" si="71"/>
        <v>3051-51</v>
      </c>
    </row>
    <row r="278" spans="1:34" ht="13">
      <c r="A278" s="134"/>
      <c r="B278" s="470"/>
      <c r="C278" s="471"/>
      <c r="D278" s="859">
        <f>VLOOKUP(E278,'1.1a-Jaarprijzen'!B:G,6,FALSE)</f>
        <v>2</v>
      </c>
      <c r="E278" s="845" t="s">
        <v>738</v>
      </c>
      <c r="F278" s="798" t="s">
        <v>469</v>
      </c>
      <c r="G278" s="799" t="s">
        <v>727</v>
      </c>
      <c r="H278" s="573" t="s">
        <v>728</v>
      </c>
      <c r="I278" s="573" t="str">
        <f t="shared" si="72"/>
        <v>sanitaire ruimte (toilet-/doucheruimte)</v>
      </c>
      <c r="J278" s="694" t="s">
        <v>462</v>
      </c>
      <c r="K278" s="800">
        <v>1</v>
      </c>
      <c r="L278" s="800"/>
      <c r="M278" s="867">
        <v>4051</v>
      </c>
      <c r="N278" s="868"/>
      <c r="O278" s="869"/>
      <c r="P278" s="869"/>
      <c r="Q278" s="866">
        <f t="shared" si="65"/>
        <v>51</v>
      </c>
      <c r="R278" s="600">
        <v>1</v>
      </c>
      <c r="S278" s="600">
        <v>1</v>
      </c>
      <c r="T278" s="468">
        <f t="shared" si="66"/>
        <v>0</v>
      </c>
      <c r="U278" s="468">
        <f t="shared" si="67"/>
        <v>0</v>
      </c>
      <c r="V278" s="468">
        <f t="shared" si="68"/>
        <v>0</v>
      </c>
      <c r="W278" s="468">
        <f t="shared" si="69"/>
        <v>0</v>
      </c>
      <c r="X278" s="601">
        <f t="shared" si="59"/>
        <v>0</v>
      </c>
      <c r="Y278" s="601">
        <f t="shared" si="60"/>
        <v>0</v>
      </c>
      <c r="Z278" s="601">
        <f t="shared" si="61"/>
        <v>0</v>
      </c>
      <c r="AA278" s="601">
        <f t="shared" si="62"/>
        <v>0</v>
      </c>
      <c r="AB278" s="602" t="str">
        <f t="shared" si="63"/>
        <v>S</v>
      </c>
      <c r="AC278" s="847" t="s">
        <v>1232</v>
      </c>
      <c r="AD278" s="603">
        <f>(T278+U278+V278)*'1.0-Contractblad'!$K$69</f>
        <v>0</v>
      </c>
      <c r="AE278" s="603"/>
      <c r="AF278" s="58">
        <f t="shared" si="64"/>
        <v>0</v>
      </c>
      <c r="AG278" s="58">
        <f t="shared" si="70"/>
        <v>51</v>
      </c>
      <c r="AH278" s="58" t="str">
        <f t="shared" si="71"/>
        <v>4051-51</v>
      </c>
    </row>
    <row r="279" spans="1:34" ht="13">
      <c r="A279" s="134"/>
      <c r="B279" s="470"/>
      <c r="C279" s="471"/>
      <c r="D279" s="859">
        <f>VLOOKUP(E279,'1.1a-Jaarprijzen'!B:G,6,FALSE)</f>
        <v>2</v>
      </c>
      <c r="E279" s="845" t="s">
        <v>738</v>
      </c>
      <c r="F279" s="798" t="s">
        <v>469</v>
      </c>
      <c r="G279" s="799" t="s">
        <v>729</v>
      </c>
      <c r="H279" s="573" t="s">
        <v>730</v>
      </c>
      <c r="I279" s="573" t="str">
        <f t="shared" si="72"/>
        <v>niet van toepassing</v>
      </c>
      <c r="J279" s="694" t="s">
        <v>462</v>
      </c>
      <c r="K279" s="800"/>
      <c r="L279" s="800">
        <v>34.21</v>
      </c>
      <c r="M279" s="867" t="s">
        <v>19</v>
      </c>
      <c r="N279" s="868"/>
      <c r="O279" s="869"/>
      <c r="P279" s="869"/>
      <c r="Q279" s="866">
        <f t="shared" si="65"/>
        <v>0</v>
      </c>
      <c r="R279" s="600">
        <v>1</v>
      </c>
      <c r="S279" s="600">
        <v>1</v>
      </c>
      <c r="T279" s="468">
        <f t="shared" si="66"/>
        <v>0</v>
      </c>
      <c r="U279" s="468">
        <f t="shared" si="67"/>
        <v>0</v>
      </c>
      <c r="V279" s="468">
        <f t="shared" si="68"/>
        <v>0</v>
      </c>
      <c r="W279" s="468">
        <f t="shared" si="69"/>
        <v>0</v>
      </c>
      <c r="X279" s="601">
        <f t="shared" si="59"/>
        <v>0</v>
      </c>
      <c r="Y279" s="601">
        <f t="shared" si="60"/>
        <v>0</v>
      </c>
      <c r="Z279" s="601">
        <f t="shared" si="61"/>
        <v>0</v>
      </c>
      <c r="AA279" s="601">
        <f t="shared" si="62"/>
        <v>0</v>
      </c>
      <c r="AB279" s="602">
        <f t="shared" si="63"/>
        <v>0</v>
      </c>
      <c r="AC279" s="847"/>
      <c r="AD279" s="603">
        <f>(T279+U279+V279)*'1.0-Contractblad'!$K$69</f>
        <v>0</v>
      </c>
      <c r="AE279" s="603"/>
      <c r="AF279" s="58">
        <f t="shared" si="64"/>
        <v>0</v>
      </c>
      <c r="AG279" s="58">
        <f t="shared" si="70"/>
        <v>0</v>
      </c>
      <c r="AH279" s="58" t="str">
        <f t="shared" si="71"/>
        <v>nvt-0</v>
      </c>
    </row>
    <row r="280" spans="1:34" ht="13">
      <c r="A280" s="134"/>
      <c r="B280" s="470"/>
      <c r="C280" s="471"/>
      <c r="D280" s="859">
        <f>VLOOKUP(E280,'1.1a-Jaarprijzen'!B:G,6,FALSE)</f>
        <v>2</v>
      </c>
      <c r="E280" s="845" t="s">
        <v>738</v>
      </c>
      <c r="F280" s="798" t="s">
        <v>469</v>
      </c>
      <c r="G280" s="799" t="s">
        <v>731</v>
      </c>
      <c r="H280" s="573" t="s">
        <v>732</v>
      </c>
      <c r="I280" s="573" t="str">
        <f t="shared" si="72"/>
        <v>niet van toepassing</v>
      </c>
      <c r="J280" s="694" t="s">
        <v>462</v>
      </c>
      <c r="K280" s="800"/>
      <c r="L280" s="800"/>
      <c r="M280" s="867" t="s">
        <v>19</v>
      </c>
      <c r="N280" s="868"/>
      <c r="O280" s="869"/>
      <c r="P280" s="869"/>
      <c r="Q280" s="866">
        <f t="shared" si="65"/>
        <v>0</v>
      </c>
      <c r="R280" s="600">
        <v>1</v>
      </c>
      <c r="S280" s="600">
        <v>1</v>
      </c>
      <c r="T280" s="468">
        <f t="shared" si="66"/>
        <v>0</v>
      </c>
      <c r="U280" s="468">
        <f t="shared" si="67"/>
        <v>0</v>
      </c>
      <c r="V280" s="468">
        <f t="shared" si="68"/>
        <v>0</v>
      </c>
      <c r="W280" s="468">
        <f t="shared" si="69"/>
        <v>0</v>
      </c>
      <c r="X280" s="601">
        <f t="shared" si="59"/>
        <v>0</v>
      </c>
      <c r="Y280" s="601">
        <f t="shared" si="60"/>
        <v>0</v>
      </c>
      <c r="Z280" s="601">
        <f t="shared" si="61"/>
        <v>0</v>
      </c>
      <c r="AA280" s="601">
        <f t="shared" si="62"/>
        <v>0</v>
      </c>
      <c r="AB280" s="602">
        <f t="shared" si="63"/>
        <v>0</v>
      </c>
      <c r="AC280" s="847"/>
      <c r="AD280" s="603">
        <f>(T280+U280+V280)*'1.0-Contractblad'!$K$69</f>
        <v>0</v>
      </c>
      <c r="AE280" s="603"/>
      <c r="AF280" s="58">
        <f t="shared" si="64"/>
        <v>0</v>
      </c>
      <c r="AG280" s="58">
        <f t="shared" si="70"/>
        <v>0</v>
      </c>
      <c r="AH280" s="58" t="str">
        <f t="shared" si="71"/>
        <v>nvt-0</v>
      </c>
    </row>
    <row r="281" spans="1:34" ht="13">
      <c r="A281" s="134"/>
      <c r="B281" s="470"/>
      <c r="C281" s="471"/>
      <c r="D281" s="859">
        <f>VLOOKUP(E281,'1.1a-Jaarprijzen'!B:G,6,FALSE)</f>
        <v>2</v>
      </c>
      <c r="E281" s="845" t="s">
        <v>738</v>
      </c>
      <c r="F281" s="798" t="s">
        <v>469</v>
      </c>
      <c r="G281" s="799" t="s">
        <v>733</v>
      </c>
      <c r="H281" s="573" t="s">
        <v>734</v>
      </c>
      <c r="I281" s="573" t="str">
        <f t="shared" si="72"/>
        <v>niet van toepassing</v>
      </c>
      <c r="J281" s="694" t="s">
        <v>462</v>
      </c>
      <c r="K281" s="800"/>
      <c r="L281" s="800"/>
      <c r="M281" s="867" t="s">
        <v>19</v>
      </c>
      <c r="N281" s="868"/>
      <c r="O281" s="869"/>
      <c r="P281" s="869"/>
      <c r="Q281" s="866">
        <f t="shared" si="65"/>
        <v>0</v>
      </c>
      <c r="R281" s="600">
        <v>1</v>
      </c>
      <c r="S281" s="600">
        <v>1</v>
      </c>
      <c r="T281" s="468">
        <f t="shared" si="66"/>
        <v>0</v>
      </c>
      <c r="U281" s="468">
        <f t="shared" si="67"/>
        <v>0</v>
      </c>
      <c r="V281" s="468">
        <f t="shared" si="68"/>
        <v>0</v>
      </c>
      <c r="W281" s="468">
        <f t="shared" si="69"/>
        <v>0</v>
      </c>
      <c r="X281" s="601">
        <f t="shared" si="59"/>
        <v>0</v>
      </c>
      <c r="Y281" s="601">
        <f t="shared" si="60"/>
        <v>0</v>
      </c>
      <c r="Z281" s="601">
        <f t="shared" si="61"/>
        <v>0</v>
      </c>
      <c r="AA281" s="601">
        <f t="shared" si="62"/>
        <v>0</v>
      </c>
      <c r="AB281" s="602">
        <f t="shared" si="63"/>
        <v>0</v>
      </c>
      <c r="AC281" s="847"/>
      <c r="AD281" s="603">
        <f>(T281+U281+V281)*'1.0-Contractblad'!$K$69</f>
        <v>0</v>
      </c>
      <c r="AE281" s="603"/>
      <c r="AF281" s="58">
        <f t="shared" si="64"/>
        <v>0</v>
      </c>
      <c r="AG281" s="58">
        <f t="shared" si="70"/>
        <v>0</v>
      </c>
      <c r="AH281" s="58" t="str">
        <f t="shared" si="71"/>
        <v>nvt-0</v>
      </c>
    </row>
    <row r="282" spans="1:34" ht="13">
      <c r="A282" s="134"/>
      <c r="B282" s="470"/>
      <c r="C282" s="471"/>
      <c r="D282" s="859">
        <f>VLOOKUP(E282,'1.1a-Jaarprijzen'!B:G,6,FALSE)</f>
        <v>2</v>
      </c>
      <c r="E282" s="845" t="s">
        <v>738</v>
      </c>
      <c r="F282" s="798" t="s">
        <v>469</v>
      </c>
      <c r="G282" s="799" t="s">
        <v>735</v>
      </c>
      <c r="H282" s="573" t="s">
        <v>452</v>
      </c>
      <c r="I282" s="573" t="str">
        <f t="shared" si="72"/>
        <v>administratieve -, personeels- en vergaderruimte</v>
      </c>
      <c r="J282" s="694" t="s">
        <v>719</v>
      </c>
      <c r="K282" s="800">
        <v>9.7100000000000009</v>
      </c>
      <c r="L282" s="800"/>
      <c r="M282" s="867">
        <v>1051</v>
      </c>
      <c r="N282" s="868"/>
      <c r="O282" s="869"/>
      <c r="P282" s="869"/>
      <c r="Q282" s="866">
        <f t="shared" si="65"/>
        <v>51</v>
      </c>
      <c r="R282" s="600">
        <v>1</v>
      </c>
      <c r="S282" s="600">
        <v>1</v>
      </c>
      <c r="T282" s="468">
        <f t="shared" si="66"/>
        <v>0</v>
      </c>
      <c r="U282" s="468">
        <f t="shared" si="67"/>
        <v>0</v>
      </c>
      <c r="V282" s="468">
        <f t="shared" si="68"/>
        <v>0</v>
      </c>
      <c r="W282" s="468">
        <f t="shared" si="69"/>
        <v>0</v>
      </c>
      <c r="X282" s="601">
        <f t="shared" si="59"/>
        <v>0</v>
      </c>
      <c r="Y282" s="601">
        <f t="shared" si="60"/>
        <v>0</v>
      </c>
      <c r="Z282" s="601">
        <f t="shared" si="61"/>
        <v>0</v>
      </c>
      <c r="AA282" s="601">
        <f t="shared" si="62"/>
        <v>0</v>
      </c>
      <c r="AB282" s="602" t="str">
        <f t="shared" si="63"/>
        <v>B</v>
      </c>
      <c r="AC282" s="847" t="s">
        <v>1232</v>
      </c>
      <c r="AD282" s="603">
        <f>(T282+U282+V282)*'1.0-Contractblad'!$K$69</f>
        <v>0</v>
      </c>
      <c r="AE282" s="603"/>
      <c r="AF282" s="58">
        <f t="shared" si="64"/>
        <v>0</v>
      </c>
      <c r="AG282" s="58">
        <f t="shared" si="70"/>
        <v>495.21000000000004</v>
      </c>
      <c r="AH282" s="58" t="str">
        <f t="shared" si="71"/>
        <v>1051-51</v>
      </c>
    </row>
    <row r="283" spans="1:34" ht="13">
      <c r="A283" s="134"/>
      <c r="B283" s="470"/>
      <c r="C283" s="471"/>
      <c r="D283" s="859">
        <f>VLOOKUP(E283,'1.1a-Jaarprijzen'!B:G,6,FALSE)</f>
        <v>2</v>
      </c>
      <c r="E283" s="845" t="s">
        <v>948</v>
      </c>
      <c r="F283" s="798" t="s">
        <v>469</v>
      </c>
      <c r="G283" s="799" t="s">
        <v>949</v>
      </c>
      <c r="H283" s="573" t="s">
        <v>528</v>
      </c>
      <c r="I283" s="573" t="str">
        <f t="shared" si="72"/>
        <v>entree, gang, hal, repro, kopieer</v>
      </c>
      <c r="J283" s="694" t="s">
        <v>462</v>
      </c>
      <c r="K283" s="800">
        <v>2.0299999999999998</v>
      </c>
      <c r="L283" s="800"/>
      <c r="M283" s="867">
        <v>3026</v>
      </c>
      <c r="N283" s="868"/>
      <c r="O283" s="869"/>
      <c r="P283" s="869"/>
      <c r="Q283" s="866">
        <f t="shared" si="65"/>
        <v>26</v>
      </c>
      <c r="R283" s="600">
        <v>1</v>
      </c>
      <c r="S283" s="600">
        <v>1</v>
      </c>
      <c r="T283" s="468">
        <f t="shared" si="66"/>
        <v>0</v>
      </c>
      <c r="U283" s="468">
        <f t="shared" si="67"/>
        <v>0</v>
      </c>
      <c r="V283" s="468">
        <f t="shared" si="68"/>
        <v>0</v>
      </c>
      <c r="W283" s="468">
        <f t="shared" si="69"/>
        <v>0</v>
      </c>
      <c r="X283" s="601">
        <f t="shared" si="59"/>
        <v>0</v>
      </c>
      <c r="Y283" s="601">
        <f t="shared" si="60"/>
        <v>0</v>
      </c>
      <c r="Z283" s="601">
        <f t="shared" si="61"/>
        <v>0</v>
      </c>
      <c r="AA283" s="601">
        <f t="shared" si="62"/>
        <v>0</v>
      </c>
      <c r="AB283" s="602" t="str">
        <f t="shared" si="63"/>
        <v>V</v>
      </c>
      <c r="AC283" s="847" t="s">
        <v>1233</v>
      </c>
      <c r="AD283" s="603">
        <f>(T283+U283+V283)*'1.0-Contractblad'!$K$69</f>
        <v>0</v>
      </c>
      <c r="AE283" s="603"/>
      <c r="AF283" s="58">
        <f t="shared" si="64"/>
        <v>0</v>
      </c>
      <c r="AG283" s="58">
        <f t="shared" si="70"/>
        <v>52.779999999999994</v>
      </c>
      <c r="AH283" s="58" t="str">
        <f t="shared" si="71"/>
        <v>3026-26</v>
      </c>
    </row>
    <row r="284" spans="1:34" ht="13">
      <c r="A284" s="134"/>
      <c r="B284" s="470"/>
      <c r="C284" s="471"/>
      <c r="D284" s="859">
        <f>VLOOKUP(E284,'1.1a-Jaarprijzen'!B:G,6,FALSE)</f>
        <v>2</v>
      </c>
      <c r="E284" s="845" t="s">
        <v>948</v>
      </c>
      <c r="F284" s="798" t="s">
        <v>469</v>
      </c>
      <c r="G284" s="799" t="s">
        <v>950</v>
      </c>
      <c r="H284" s="573" t="s">
        <v>576</v>
      </c>
      <c r="I284" s="573" t="str">
        <f t="shared" si="72"/>
        <v>administratieve -, personeels- en vergaderruimte</v>
      </c>
      <c r="J284" s="694" t="s">
        <v>455</v>
      </c>
      <c r="K284" s="800">
        <v>15.34</v>
      </c>
      <c r="L284" s="800"/>
      <c r="M284" s="867">
        <v>1026</v>
      </c>
      <c r="N284" s="868"/>
      <c r="O284" s="869"/>
      <c r="P284" s="869"/>
      <c r="Q284" s="866">
        <f t="shared" si="65"/>
        <v>26</v>
      </c>
      <c r="R284" s="600">
        <v>1</v>
      </c>
      <c r="S284" s="600">
        <v>1</v>
      </c>
      <c r="T284" s="468">
        <f t="shared" si="66"/>
        <v>0</v>
      </c>
      <c r="U284" s="468">
        <f t="shared" si="67"/>
        <v>0</v>
      </c>
      <c r="V284" s="468">
        <f t="shared" si="68"/>
        <v>0</v>
      </c>
      <c r="W284" s="468">
        <f t="shared" si="69"/>
        <v>0</v>
      </c>
      <c r="X284" s="601">
        <f t="shared" si="59"/>
        <v>0</v>
      </c>
      <c r="Y284" s="601">
        <f t="shared" si="60"/>
        <v>0</v>
      </c>
      <c r="Z284" s="601">
        <f t="shared" si="61"/>
        <v>0</v>
      </c>
      <c r="AA284" s="601">
        <f t="shared" si="62"/>
        <v>0</v>
      </c>
      <c r="AB284" s="602">
        <f t="shared" si="63"/>
        <v>0</v>
      </c>
      <c r="AC284" s="847" t="s">
        <v>1233</v>
      </c>
      <c r="AD284" s="603">
        <f>(T284+U284+V284)*'1.0-Contractblad'!$K$69</f>
        <v>0</v>
      </c>
      <c r="AE284" s="603"/>
      <c r="AF284" s="58">
        <f t="shared" si="64"/>
        <v>0</v>
      </c>
      <c r="AG284" s="58">
        <f t="shared" si="70"/>
        <v>398.84</v>
      </c>
      <c r="AH284" s="58" t="str">
        <f t="shared" si="71"/>
        <v>1026-26</v>
      </c>
    </row>
    <row r="285" spans="1:34" ht="13">
      <c r="A285" s="134"/>
      <c r="B285" s="470"/>
      <c r="C285" s="471"/>
      <c r="D285" s="859">
        <f>VLOOKUP(E285,'1.1a-Jaarprijzen'!B:G,6,FALSE)</f>
        <v>2</v>
      </c>
      <c r="E285" s="845" t="s">
        <v>948</v>
      </c>
      <c r="F285" s="798" t="s">
        <v>469</v>
      </c>
      <c r="G285" s="799" t="s">
        <v>951</v>
      </c>
      <c r="H285" s="573" t="s">
        <v>500</v>
      </c>
      <c r="I285" s="573" t="str">
        <f t="shared" si="72"/>
        <v>pantry, keuken, koffiecorner</v>
      </c>
      <c r="J285" s="694" t="s">
        <v>462</v>
      </c>
      <c r="K285" s="800">
        <v>4.16</v>
      </c>
      <c r="L285" s="800"/>
      <c r="M285" s="867">
        <v>5026</v>
      </c>
      <c r="N285" s="868"/>
      <c r="O285" s="869"/>
      <c r="P285" s="869"/>
      <c r="Q285" s="866">
        <f t="shared" si="65"/>
        <v>26</v>
      </c>
      <c r="R285" s="600">
        <v>1</v>
      </c>
      <c r="S285" s="600">
        <v>1</v>
      </c>
      <c r="T285" s="468">
        <f t="shared" si="66"/>
        <v>0</v>
      </c>
      <c r="U285" s="468">
        <f t="shared" si="67"/>
        <v>0</v>
      </c>
      <c r="V285" s="468">
        <f t="shared" si="68"/>
        <v>0</v>
      </c>
      <c r="W285" s="468">
        <f t="shared" si="69"/>
        <v>0</v>
      </c>
      <c r="X285" s="601">
        <f t="shared" si="59"/>
        <v>0</v>
      </c>
      <c r="Y285" s="601">
        <f t="shared" si="60"/>
        <v>0</v>
      </c>
      <c r="Z285" s="601">
        <f t="shared" si="61"/>
        <v>0</v>
      </c>
      <c r="AA285" s="601">
        <f t="shared" si="62"/>
        <v>0</v>
      </c>
      <c r="AB285" s="602" t="str">
        <f t="shared" si="63"/>
        <v>V</v>
      </c>
      <c r="AC285" s="847" t="s">
        <v>1233</v>
      </c>
      <c r="AD285" s="603">
        <f>(T285+U285+V285)*'1.0-Contractblad'!$K$69</f>
        <v>0</v>
      </c>
      <c r="AE285" s="603"/>
      <c r="AF285" s="58">
        <f t="shared" si="64"/>
        <v>0</v>
      </c>
      <c r="AG285" s="58">
        <f t="shared" si="70"/>
        <v>108.16</v>
      </c>
      <c r="AH285" s="58" t="str">
        <f t="shared" si="71"/>
        <v>5026-26</v>
      </c>
    </row>
    <row r="286" spans="1:34" ht="13">
      <c r="A286" s="134"/>
      <c r="B286" s="470"/>
      <c r="C286" s="471"/>
      <c r="D286" s="859">
        <f>VLOOKUP(E286,'1.1a-Jaarprijzen'!B:G,6,FALSE)</f>
        <v>2</v>
      </c>
      <c r="E286" s="845" t="s">
        <v>948</v>
      </c>
      <c r="F286" s="798" t="s">
        <v>469</v>
      </c>
      <c r="G286" s="799" t="s">
        <v>952</v>
      </c>
      <c r="H286" s="573" t="s">
        <v>728</v>
      </c>
      <c r="I286" s="573" t="str">
        <f t="shared" si="72"/>
        <v>sanitaire ruimte (toilet-/doucheruimte)</v>
      </c>
      <c r="J286" s="694" t="s">
        <v>462</v>
      </c>
      <c r="K286" s="800">
        <v>2.5499999999999998</v>
      </c>
      <c r="L286" s="800"/>
      <c r="M286" s="867">
        <v>4026</v>
      </c>
      <c r="N286" s="868"/>
      <c r="O286" s="869"/>
      <c r="P286" s="869"/>
      <c r="Q286" s="866">
        <f t="shared" si="65"/>
        <v>26</v>
      </c>
      <c r="R286" s="600">
        <v>1</v>
      </c>
      <c r="S286" s="600">
        <v>1</v>
      </c>
      <c r="T286" s="468">
        <f t="shared" si="66"/>
        <v>0</v>
      </c>
      <c r="U286" s="468">
        <f t="shared" si="67"/>
        <v>0</v>
      </c>
      <c r="V286" s="468">
        <f t="shared" si="68"/>
        <v>0</v>
      </c>
      <c r="W286" s="468">
        <f t="shared" si="69"/>
        <v>0</v>
      </c>
      <c r="X286" s="601">
        <f t="shared" si="59"/>
        <v>0</v>
      </c>
      <c r="Y286" s="601">
        <f t="shared" si="60"/>
        <v>0</v>
      </c>
      <c r="Z286" s="601">
        <f t="shared" si="61"/>
        <v>0</v>
      </c>
      <c r="AA286" s="601">
        <f t="shared" si="62"/>
        <v>0</v>
      </c>
      <c r="AB286" s="602" t="str">
        <f t="shared" si="63"/>
        <v>S</v>
      </c>
      <c r="AC286" s="847" t="s">
        <v>1233</v>
      </c>
      <c r="AD286" s="603">
        <f>(T286+U286+V286)*'1.0-Contractblad'!$K$69</f>
        <v>0</v>
      </c>
      <c r="AE286" s="603"/>
      <c r="AF286" s="58">
        <f t="shared" si="64"/>
        <v>0</v>
      </c>
      <c r="AG286" s="58">
        <f t="shared" si="70"/>
        <v>66.3</v>
      </c>
      <c r="AH286" s="58" t="str">
        <f t="shared" si="71"/>
        <v>4026-26</v>
      </c>
    </row>
    <row r="287" spans="1:34" ht="13">
      <c r="A287" s="134"/>
      <c r="B287" s="470"/>
      <c r="C287" s="471"/>
      <c r="D287" s="859">
        <f>VLOOKUP(E287,'1.1a-Jaarprijzen'!B:G,6,FALSE)</f>
        <v>2</v>
      </c>
      <c r="E287" s="845" t="s">
        <v>948</v>
      </c>
      <c r="F287" s="798" t="s">
        <v>469</v>
      </c>
      <c r="G287" s="799" t="s">
        <v>953</v>
      </c>
      <c r="H287" s="573" t="s">
        <v>466</v>
      </c>
      <c r="I287" s="573" t="str">
        <f t="shared" si="72"/>
        <v>sanitaire ruimte (toilet-/doucheruimte)</v>
      </c>
      <c r="J287" s="694" t="s">
        <v>462</v>
      </c>
      <c r="K287" s="800">
        <v>1.25</v>
      </c>
      <c r="L287" s="800"/>
      <c r="M287" s="867">
        <v>4026</v>
      </c>
      <c r="N287" s="868"/>
      <c r="O287" s="869"/>
      <c r="P287" s="869"/>
      <c r="Q287" s="866">
        <f t="shared" si="65"/>
        <v>26</v>
      </c>
      <c r="R287" s="600">
        <v>1</v>
      </c>
      <c r="S287" s="600">
        <v>1</v>
      </c>
      <c r="T287" s="468">
        <f t="shared" si="66"/>
        <v>0</v>
      </c>
      <c r="U287" s="468">
        <f t="shared" si="67"/>
        <v>0</v>
      </c>
      <c r="V287" s="468">
        <f t="shared" si="68"/>
        <v>0</v>
      </c>
      <c r="W287" s="468">
        <f t="shared" si="69"/>
        <v>0</v>
      </c>
      <c r="X287" s="601">
        <f t="shared" si="59"/>
        <v>0</v>
      </c>
      <c r="Y287" s="601">
        <f t="shared" si="60"/>
        <v>0</v>
      </c>
      <c r="Z287" s="601">
        <f t="shared" si="61"/>
        <v>0</v>
      </c>
      <c r="AA287" s="601">
        <f t="shared" si="62"/>
        <v>0</v>
      </c>
      <c r="AB287" s="602" t="str">
        <f t="shared" si="63"/>
        <v>S</v>
      </c>
      <c r="AC287" s="847" t="s">
        <v>1233</v>
      </c>
      <c r="AD287" s="603">
        <f>(T287+U287+V287)*'1.0-Contractblad'!$K$69</f>
        <v>0</v>
      </c>
      <c r="AE287" s="603"/>
      <c r="AF287" s="58">
        <f t="shared" si="64"/>
        <v>0</v>
      </c>
      <c r="AG287" s="58">
        <f t="shared" si="70"/>
        <v>32.5</v>
      </c>
      <c r="AH287" s="58" t="str">
        <f t="shared" si="71"/>
        <v>4026-26</v>
      </c>
    </row>
    <row r="288" spans="1:34" ht="13">
      <c r="A288" s="134"/>
      <c r="B288" s="470"/>
      <c r="C288" s="471"/>
      <c r="D288" s="859">
        <f>VLOOKUP(E288,'1.1a-Jaarprijzen'!B:G,6,FALSE)</f>
        <v>2</v>
      </c>
      <c r="E288" s="845" t="s">
        <v>586</v>
      </c>
      <c r="F288" s="798" t="s">
        <v>469</v>
      </c>
      <c r="G288" s="799" t="s">
        <v>578</v>
      </c>
      <c r="H288" s="573" t="s">
        <v>528</v>
      </c>
      <c r="I288" s="573" t="str">
        <f t="shared" si="72"/>
        <v>entree, gang, hal, repro, kopieer</v>
      </c>
      <c r="J288" s="694" t="s">
        <v>462</v>
      </c>
      <c r="K288" s="800">
        <v>2.0299999999999998</v>
      </c>
      <c r="L288" s="800"/>
      <c r="M288" s="867">
        <v>3026</v>
      </c>
      <c r="N288" s="868"/>
      <c r="O288" s="869"/>
      <c r="P288" s="869"/>
      <c r="Q288" s="866">
        <f t="shared" si="65"/>
        <v>26</v>
      </c>
      <c r="R288" s="600">
        <v>1</v>
      </c>
      <c r="S288" s="600">
        <v>1</v>
      </c>
      <c r="T288" s="468">
        <f t="shared" si="66"/>
        <v>0</v>
      </c>
      <c r="U288" s="468">
        <f t="shared" si="67"/>
        <v>0</v>
      </c>
      <c r="V288" s="468">
        <f t="shared" si="68"/>
        <v>0</v>
      </c>
      <c r="W288" s="468">
        <f t="shared" si="69"/>
        <v>0</v>
      </c>
      <c r="X288" s="601">
        <f t="shared" si="59"/>
        <v>0</v>
      </c>
      <c r="Y288" s="601">
        <f t="shared" si="60"/>
        <v>0</v>
      </c>
      <c r="Z288" s="601">
        <f t="shared" si="61"/>
        <v>0</v>
      </c>
      <c r="AA288" s="601">
        <f t="shared" si="62"/>
        <v>0</v>
      </c>
      <c r="AB288" s="602" t="str">
        <f t="shared" si="63"/>
        <v>V</v>
      </c>
      <c r="AC288" s="847" t="s">
        <v>1233</v>
      </c>
      <c r="AD288" s="603">
        <f>(T288+U288+V288)*'1.0-Contractblad'!$K$69</f>
        <v>0</v>
      </c>
      <c r="AE288" s="603"/>
      <c r="AF288" s="58">
        <f t="shared" si="64"/>
        <v>0</v>
      </c>
      <c r="AG288" s="58">
        <f t="shared" si="70"/>
        <v>52.779999999999994</v>
      </c>
      <c r="AH288" s="58" t="str">
        <f t="shared" si="71"/>
        <v>3026-26</v>
      </c>
    </row>
    <row r="289" spans="1:34" ht="13">
      <c r="A289" s="134"/>
      <c r="B289" s="470"/>
      <c r="C289" s="471"/>
      <c r="D289" s="859">
        <f>VLOOKUP(E289,'1.1a-Jaarprijzen'!B:G,6,FALSE)</f>
        <v>2</v>
      </c>
      <c r="E289" s="845" t="s">
        <v>586</v>
      </c>
      <c r="F289" s="798" t="s">
        <v>469</v>
      </c>
      <c r="G289" s="799" t="s">
        <v>579</v>
      </c>
      <c r="H289" s="573" t="s">
        <v>452</v>
      </c>
      <c r="I289" s="573" t="str">
        <f t="shared" si="72"/>
        <v>administratieve -, personeels- en vergaderruimte</v>
      </c>
      <c r="J289" s="694" t="s">
        <v>580</v>
      </c>
      <c r="K289" s="800">
        <v>15.34</v>
      </c>
      <c r="L289" s="800"/>
      <c r="M289" s="867">
        <v>1026</v>
      </c>
      <c r="N289" s="868"/>
      <c r="O289" s="869"/>
      <c r="P289" s="869"/>
      <c r="Q289" s="866">
        <f t="shared" si="65"/>
        <v>26</v>
      </c>
      <c r="R289" s="600">
        <v>1</v>
      </c>
      <c r="S289" s="600">
        <v>1</v>
      </c>
      <c r="T289" s="468">
        <f t="shared" si="66"/>
        <v>0</v>
      </c>
      <c r="U289" s="468">
        <f t="shared" si="67"/>
        <v>0</v>
      </c>
      <c r="V289" s="468">
        <f t="shared" si="68"/>
        <v>0</v>
      </c>
      <c r="W289" s="468">
        <f t="shared" si="69"/>
        <v>0</v>
      </c>
      <c r="X289" s="601">
        <f t="shared" ref="X289:X352" si="73">IF($M289=0,0,VLOOKUP($M289,Kengetal,6,FALSE))</f>
        <v>0</v>
      </c>
      <c r="Y289" s="601">
        <f t="shared" ref="Y289:Y352" si="74">IF($M289=0,0,VLOOKUP($M289,Kengetal,8,FALSE))</f>
        <v>0</v>
      </c>
      <c r="Z289" s="601">
        <f t="shared" ref="Z289:Z352" si="75">IF($N289=0,0,VLOOKUP($N289,Kengetal,6,FALSE))</f>
        <v>0</v>
      </c>
      <c r="AA289" s="601">
        <f t="shared" ref="AA289:AA352" si="76">IF($O289=0,0,VLOOKUP($O289,Kengetal,6,FALSE))</f>
        <v>0</v>
      </c>
      <c r="AB289" s="602">
        <f t="shared" ref="AB289:AB352" si="77">IF(M289="","",VLOOKUP(M289,Kengetal,15,FALSE))</f>
        <v>0</v>
      </c>
      <c r="AC289" s="847" t="s">
        <v>1233</v>
      </c>
      <c r="AD289" s="603">
        <f>(T289+U289+V289)*'1.0-Contractblad'!$K$69</f>
        <v>0</v>
      </c>
      <c r="AE289" s="603"/>
      <c r="AF289" s="58">
        <f t="shared" ref="AF289:AF352" si="78">IF(M289=8255,T289+U289,0)</f>
        <v>0</v>
      </c>
      <c r="AG289" s="58">
        <f t="shared" si="70"/>
        <v>398.84</v>
      </c>
      <c r="AH289" s="58" t="str">
        <f t="shared" si="71"/>
        <v>1026-26</v>
      </c>
    </row>
    <row r="290" spans="1:34" ht="13">
      <c r="A290" s="134"/>
      <c r="B290" s="470"/>
      <c r="C290" s="471"/>
      <c r="D290" s="859">
        <f>VLOOKUP(E290,'1.1a-Jaarprijzen'!B:G,6,FALSE)</f>
        <v>2</v>
      </c>
      <c r="E290" s="845" t="s">
        <v>586</v>
      </c>
      <c r="F290" s="798" t="s">
        <v>469</v>
      </c>
      <c r="G290" s="799" t="s">
        <v>581</v>
      </c>
      <c r="H290" s="845" t="s">
        <v>500</v>
      </c>
      <c r="I290" s="573" t="str">
        <f t="shared" si="72"/>
        <v>pantry, keuken, koffiecorner</v>
      </c>
      <c r="J290" s="694" t="s">
        <v>462</v>
      </c>
      <c r="K290" s="800">
        <v>4.16</v>
      </c>
      <c r="L290" s="800"/>
      <c r="M290" s="867">
        <v>5026</v>
      </c>
      <c r="N290" s="868"/>
      <c r="O290" s="869"/>
      <c r="P290" s="869"/>
      <c r="Q290" s="866">
        <f t="shared" ref="Q290:Q353" si="79">VLOOKUP(M290,Kengetal,3,FALSE)+VLOOKUP(N290,Kengetal,3,FALSE)+VLOOKUP(O290,Kengetal,3,FALSE)</f>
        <v>26</v>
      </c>
      <c r="R290" s="600">
        <v>1</v>
      </c>
      <c r="S290" s="600">
        <v>1</v>
      </c>
      <c r="T290" s="468">
        <f t="shared" ref="T290:T353" si="80">X290*K290*R290</f>
        <v>0</v>
      </c>
      <c r="U290" s="468">
        <f t="shared" ref="U290:U353" si="81">Y290*K290*S290</f>
        <v>0</v>
      </c>
      <c r="V290" s="468">
        <f t="shared" ref="V290:V353" si="82">Z290*K290*R290</f>
        <v>0</v>
      </c>
      <c r="W290" s="468">
        <f t="shared" ref="W290:W353" si="83">AA290*K290*U290</f>
        <v>0</v>
      </c>
      <c r="X290" s="601">
        <f t="shared" si="73"/>
        <v>0</v>
      </c>
      <c r="Y290" s="601">
        <f t="shared" si="74"/>
        <v>0</v>
      </c>
      <c r="Z290" s="601">
        <f t="shared" si="75"/>
        <v>0</v>
      </c>
      <c r="AA290" s="601">
        <f t="shared" si="76"/>
        <v>0</v>
      </c>
      <c r="AB290" s="602" t="str">
        <f t="shared" si="77"/>
        <v>V</v>
      </c>
      <c r="AC290" s="847" t="s">
        <v>1233</v>
      </c>
      <c r="AD290" s="603">
        <f>(T290+U290+V290)*'1.0-Contractblad'!$K$69</f>
        <v>0</v>
      </c>
      <c r="AE290" s="603"/>
      <c r="AF290" s="58">
        <f t="shared" si="78"/>
        <v>0</v>
      </c>
      <c r="AG290" s="58">
        <f t="shared" ref="AG290:AG353" si="84">K290*Q290</f>
        <v>108.16</v>
      </c>
      <c r="AH290" s="58" t="str">
        <f t="shared" ref="AH290:AH353" si="85">CONCATENATE(M290,"-",Q290)</f>
        <v>5026-26</v>
      </c>
    </row>
    <row r="291" spans="1:34" ht="13">
      <c r="A291" s="134"/>
      <c r="B291" s="470"/>
      <c r="C291" s="471"/>
      <c r="D291" s="859">
        <f>VLOOKUP(E291,'1.1a-Jaarprijzen'!B:G,6,FALSE)</f>
        <v>2</v>
      </c>
      <c r="E291" s="845" t="s">
        <v>586</v>
      </c>
      <c r="F291" s="798" t="s">
        <v>469</v>
      </c>
      <c r="G291" s="799" t="s">
        <v>581</v>
      </c>
      <c r="H291" s="573" t="s">
        <v>466</v>
      </c>
      <c r="I291" s="573" t="str">
        <f t="shared" si="72"/>
        <v>sanitaire ruimte (toilet-/doucheruimte)</v>
      </c>
      <c r="J291" s="694" t="s">
        <v>462</v>
      </c>
      <c r="K291" s="800">
        <v>3.74</v>
      </c>
      <c r="L291" s="800"/>
      <c r="M291" s="867">
        <v>4026</v>
      </c>
      <c r="N291" s="868"/>
      <c r="O291" s="869"/>
      <c r="P291" s="869"/>
      <c r="Q291" s="866">
        <f t="shared" si="79"/>
        <v>26</v>
      </c>
      <c r="R291" s="600">
        <v>1</v>
      </c>
      <c r="S291" s="600">
        <v>1</v>
      </c>
      <c r="T291" s="468">
        <f t="shared" si="80"/>
        <v>0</v>
      </c>
      <c r="U291" s="468">
        <f t="shared" si="81"/>
        <v>0</v>
      </c>
      <c r="V291" s="468">
        <f t="shared" si="82"/>
        <v>0</v>
      </c>
      <c r="W291" s="468">
        <f t="shared" si="83"/>
        <v>0</v>
      </c>
      <c r="X291" s="601">
        <f t="shared" si="73"/>
        <v>0</v>
      </c>
      <c r="Y291" s="601">
        <f t="shared" si="74"/>
        <v>0</v>
      </c>
      <c r="Z291" s="601">
        <f t="shared" si="75"/>
        <v>0</v>
      </c>
      <c r="AA291" s="601">
        <f t="shared" si="76"/>
        <v>0</v>
      </c>
      <c r="AB291" s="602" t="str">
        <f t="shared" si="77"/>
        <v>S</v>
      </c>
      <c r="AC291" s="847" t="s">
        <v>1233</v>
      </c>
      <c r="AD291" s="603">
        <f>(T291+U291+V291)*'1.0-Contractblad'!$K$69</f>
        <v>0</v>
      </c>
      <c r="AE291" s="603"/>
      <c r="AF291" s="58">
        <f t="shared" si="78"/>
        <v>0</v>
      </c>
      <c r="AG291" s="58">
        <f t="shared" si="84"/>
        <v>97.240000000000009</v>
      </c>
      <c r="AH291" s="58" t="str">
        <f t="shared" si="85"/>
        <v>4026-26</v>
      </c>
    </row>
    <row r="292" spans="1:34" ht="13">
      <c r="A292" s="134"/>
      <c r="B292" s="470"/>
      <c r="C292" s="471"/>
      <c r="D292" s="859">
        <f>VLOOKUP(E292,'1.1a-Jaarprijzen'!B:G,6,FALSE)</f>
        <v>2</v>
      </c>
      <c r="E292" s="845" t="s">
        <v>586</v>
      </c>
      <c r="F292" s="798">
        <v>-1</v>
      </c>
      <c r="G292" s="799" t="s">
        <v>582</v>
      </c>
      <c r="H292" s="845" t="s">
        <v>583</v>
      </c>
      <c r="I292" s="573" t="str">
        <f t="shared" si="72"/>
        <v>niet van toepassing</v>
      </c>
      <c r="J292" s="694" t="s">
        <v>462</v>
      </c>
      <c r="K292" s="800"/>
      <c r="L292" s="800">
        <v>35.17</v>
      </c>
      <c r="M292" s="867" t="s">
        <v>19</v>
      </c>
      <c r="N292" s="868"/>
      <c r="O292" s="869"/>
      <c r="P292" s="869"/>
      <c r="Q292" s="866">
        <f t="shared" si="79"/>
        <v>0</v>
      </c>
      <c r="R292" s="600">
        <v>1</v>
      </c>
      <c r="S292" s="600">
        <v>1</v>
      </c>
      <c r="T292" s="468">
        <f t="shared" si="80"/>
        <v>0</v>
      </c>
      <c r="U292" s="468">
        <f t="shared" si="81"/>
        <v>0</v>
      </c>
      <c r="V292" s="468">
        <f t="shared" si="82"/>
        <v>0</v>
      </c>
      <c r="W292" s="468">
        <f t="shared" si="83"/>
        <v>0</v>
      </c>
      <c r="X292" s="601">
        <f t="shared" si="73"/>
        <v>0</v>
      </c>
      <c r="Y292" s="601">
        <f t="shared" si="74"/>
        <v>0</v>
      </c>
      <c r="Z292" s="601">
        <f t="shared" si="75"/>
        <v>0</v>
      </c>
      <c r="AA292" s="601">
        <f t="shared" si="76"/>
        <v>0</v>
      </c>
      <c r="AB292" s="602">
        <f t="shared" si="77"/>
        <v>0</v>
      </c>
      <c r="AC292" s="847"/>
      <c r="AD292" s="603">
        <f>(T292+U292+V292)*'1.0-Contractblad'!$K$69</f>
        <v>0</v>
      </c>
      <c r="AE292" s="603"/>
      <c r="AF292" s="58">
        <f t="shared" si="78"/>
        <v>0</v>
      </c>
      <c r="AG292" s="58">
        <f t="shared" si="84"/>
        <v>0</v>
      </c>
      <c r="AH292" s="58" t="str">
        <f t="shared" si="85"/>
        <v>nvt-0</v>
      </c>
    </row>
    <row r="293" spans="1:34" ht="13">
      <c r="A293" s="134"/>
      <c r="B293" s="470"/>
      <c r="C293" s="471"/>
      <c r="D293" s="859">
        <f>VLOOKUP(E293,'1.1a-Jaarprijzen'!B:G,6,FALSE)</f>
        <v>2</v>
      </c>
      <c r="E293" s="845" t="s">
        <v>586</v>
      </c>
      <c r="F293" s="798">
        <v>-1</v>
      </c>
      <c r="G293" s="799" t="s">
        <v>584</v>
      </c>
      <c r="H293" s="573" t="s">
        <v>585</v>
      </c>
      <c r="I293" s="573" t="str">
        <f t="shared" si="72"/>
        <v>niet van toepassing</v>
      </c>
      <c r="J293" s="694" t="s">
        <v>577</v>
      </c>
      <c r="K293" s="800"/>
      <c r="L293" s="800">
        <v>12.5</v>
      </c>
      <c r="M293" s="867" t="s">
        <v>19</v>
      </c>
      <c r="N293" s="868"/>
      <c r="O293" s="869"/>
      <c r="P293" s="869"/>
      <c r="Q293" s="866">
        <f t="shared" si="79"/>
        <v>0</v>
      </c>
      <c r="R293" s="600">
        <v>1</v>
      </c>
      <c r="S293" s="600">
        <v>1</v>
      </c>
      <c r="T293" s="468">
        <f t="shared" si="80"/>
        <v>0</v>
      </c>
      <c r="U293" s="468">
        <f t="shared" si="81"/>
        <v>0</v>
      </c>
      <c r="V293" s="468">
        <f t="shared" si="82"/>
        <v>0</v>
      </c>
      <c r="W293" s="468">
        <f t="shared" si="83"/>
        <v>0</v>
      </c>
      <c r="X293" s="601">
        <f t="shared" si="73"/>
        <v>0</v>
      </c>
      <c r="Y293" s="601">
        <f t="shared" si="74"/>
        <v>0</v>
      </c>
      <c r="Z293" s="601">
        <f t="shared" si="75"/>
        <v>0</v>
      </c>
      <c r="AA293" s="601">
        <f t="shared" si="76"/>
        <v>0</v>
      </c>
      <c r="AB293" s="602">
        <f t="shared" si="77"/>
        <v>0</v>
      </c>
      <c r="AC293" s="847"/>
      <c r="AD293" s="603">
        <f>(T293+U293+V293)*'1.0-Contractblad'!$K$69</f>
        <v>0</v>
      </c>
      <c r="AE293" s="603"/>
      <c r="AF293" s="58">
        <f t="shared" si="78"/>
        <v>0</v>
      </c>
      <c r="AG293" s="58">
        <f t="shared" si="84"/>
        <v>0</v>
      </c>
      <c r="AH293" s="58" t="str">
        <f t="shared" si="85"/>
        <v>nvt-0</v>
      </c>
    </row>
    <row r="294" spans="1:34" ht="13">
      <c r="A294" s="134"/>
      <c r="B294" s="470"/>
      <c r="C294" s="471"/>
      <c r="D294" s="859">
        <f>VLOOKUP(E294,'1.1a-Jaarprijzen'!B:G,6,FALSE)</f>
        <v>2</v>
      </c>
      <c r="E294" s="845" t="s">
        <v>672</v>
      </c>
      <c r="F294" s="798" t="s">
        <v>469</v>
      </c>
      <c r="G294" s="799" t="s">
        <v>437</v>
      </c>
      <c r="H294" s="573" t="s">
        <v>504</v>
      </c>
      <c r="I294" s="573" t="str">
        <f t="shared" si="72"/>
        <v>entree, gang, hal, repro, kopieer</v>
      </c>
      <c r="J294" s="694" t="s">
        <v>638</v>
      </c>
      <c r="K294" s="800">
        <v>5.2</v>
      </c>
      <c r="L294" s="800"/>
      <c r="M294" s="867">
        <v>3253</v>
      </c>
      <c r="N294" s="868"/>
      <c r="O294" s="869"/>
      <c r="P294" s="869"/>
      <c r="Q294" s="866">
        <f t="shared" si="79"/>
        <v>253</v>
      </c>
      <c r="R294" s="600">
        <v>1</v>
      </c>
      <c r="S294" s="600">
        <v>1</v>
      </c>
      <c r="T294" s="468">
        <f t="shared" si="80"/>
        <v>0</v>
      </c>
      <c r="U294" s="468">
        <f t="shared" si="81"/>
        <v>0</v>
      </c>
      <c r="V294" s="468">
        <f t="shared" si="82"/>
        <v>0</v>
      </c>
      <c r="W294" s="468">
        <f t="shared" si="83"/>
        <v>0</v>
      </c>
      <c r="X294" s="601">
        <f t="shared" si="73"/>
        <v>0</v>
      </c>
      <c r="Y294" s="601">
        <f t="shared" si="74"/>
        <v>0</v>
      </c>
      <c r="Z294" s="601">
        <f t="shared" si="75"/>
        <v>0</v>
      </c>
      <c r="AA294" s="601">
        <f t="shared" si="76"/>
        <v>0</v>
      </c>
      <c r="AB294" s="602" t="str">
        <f t="shared" si="77"/>
        <v>V</v>
      </c>
      <c r="AC294" s="847"/>
      <c r="AD294" s="603">
        <f>(T294+U294+V294)*'1.0-Contractblad'!$K$69</f>
        <v>0</v>
      </c>
      <c r="AE294" s="603"/>
      <c r="AF294" s="58">
        <f t="shared" si="78"/>
        <v>0</v>
      </c>
      <c r="AG294" s="58">
        <f t="shared" si="84"/>
        <v>1315.6000000000001</v>
      </c>
      <c r="AH294" s="58" t="str">
        <f t="shared" si="85"/>
        <v>3253-253</v>
      </c>
    </row>
    <row r="295" spans="1:34" ht="13">
      <c r="A295" s="134"/>
      <c r="B295" s="470"/>
      <c r="C295" s="471"/>
      <c r="D295" s="859">
        <f>VLOOKUP(E295,'1.1a-Jaarprijzen'!B:G,6,FALSE)</f>
        <v>2</v>
      </c>
      <c r="E295" s="845" t="s">
        <v>672</v>
      </c>
      <c r="F295" s="798" t="s">
        <v>469</v>
      </c>
      <c r="G295" s="799" t="s">
        <v>438</v>
      </c>
      <c r="H295" s="573" t="s">
        <v>639</v>
      </c>
      <c r="I295" s="573" t="str">
        <f t="shared" si="72"/>
        <v>entree, gang, hal, repro, kopieer</v>
      </c>
      <c r="J295" s="694" t="s">
        <v>455</v>
      </c>
      <c r="K295" s="800">
        <v>33.1</v>
      </c>
      <c r="L295" s="800"/>
      <c r="M295" s="867">
        <v>3253</v>
      </c>
      <c r="N295" s="868"/>
      <c r="O295" s="869"/>
      <c r="P295" s="869"/>
      <c r="Q295" s="866">
        <f t="shared" si="79"/>
        <v>253</v>
      </c>
      <c r="R295" s="600">
        <v>1</v>
      </c>
      <c r="S295" s="600">
        <v>1</v>
      </c>
      <c r="T295" s="468">
        <f t="shared" si="80"/>
        <v>0</v>
      </c>
      <c r="U295" s="468">
        <f t="shared" si="81"/>
        <v>0</v>
      </c>
      <c r="V295" s="468">
        <f t="shared" si="82"/>
        <v>0</v>
      </c>
      <c r="W295" s="468">
        <f t="shared" si="83"/>
        <v>0</v>
      </c>
      <c r="X295" s="601">
        <f t="shared" si="73"/>
        <v>0</v>
      </c>
      <c r="Y295" s="601">
        <f t="shared" si="74"/>
        <v>0</v>
      </c>
      <c r="Z295" s="601">
        <f t="shared" si="75"/>
        <v>0</v>
      </c>
      <c r="AA295" s="601">
        <f t="shared" si="76"/>
        <v>0</v>
      </c>
      <c r="AB295" s="602" t="str">
        <f t="shared" si="77"/>
        <v>V</v>
      </c>
      <c r="AC295" s="847"/>
      <c r="AD295" s="603">
        <f>(T295+U295+V295)*'1.0-Contractblad'!$K$69</f>
        <v>0</v>
      </c>
      <c r="AE295" s="603"/>
      <c r="AF295" s="58">
        <f t="shared" si="78"/>
        <v>0</v>
      </c>
      <c r="AG295" s="58">
        <f t="shared" si="84"/>
        <v>8374.3000000000011</v>
      </c>
      <c r="AH295" s="58" t="str">
        <f t="shared" si="85"/>
        <v>3253-253</v>
      </c>
    </row>
    <row r="296" spans="1:34" ht="13">
      <c r="A296" s="134"/>
      <c r="B296" s="470"/>
      <c r="C296" s="471"/>
      <c r="D296" s="859">
        <f>VLOOKUP(E296,'1.1a-Jaarprijzen'!B:G,6,FALSE)</f>
        <v>2</v>
      </c>
      <c r="E296" s="845" t="s">
        <v>672</v>
      </c>
      <c r="F296" s="798" t="s">
        <v>469</v>
      </c>
      <c r="G296" s="799" t="s">
        <v>640</v>
      </c>
      <c r="H296" s="573" t="s">
        <v>641</v>
      </c>
      <c r="I296" s="573" t="str">
        <f t="shared" si="72"/>
        <v>trappenhuis</v>
      </c>
      <c r="J296" s="694" t="s">
        <v>330</v>
      </c>
      <c r="K296" s="800">
        <v>5</v>
      </c>
      <c r="L296" s="800"/>
      <c r="M296" s="867">
        <v>9253</v>
      </c>
      <c r="N296" s="868"/>
      <c r="O296" s="869"/>
      <c r="P296" s="869"/>
      <c r="Q296" s="866">
        <f t="shared" si="79"/>
        <v>253</v>
      </c>
      <c r="R296" s="600">
        <v>1</v>
      </c>
      <c r="S296" s="600">
        <v>1</v>
      </c>
      <c r="T296" s="468">
        <f t="shared" si="80"/>
        <v>0</v>
      </c>
      <c r="U296" s="468">
        <f t="shared" si="81"/>
        <v>0</v>
      </c>
      <c r="V296" s="468">
        <f t="shared" si="82"/>
        <v>0</v>
      </c>
      <c r="W296" s="468">
        <f t="shared" si="83"/>
        <v>0</v>
      </c>
      <c r="X296" s="601">
        <f t="shared" si="73"/>
        <v>0</v>
      </c>
      <c r="Y296" s="601">
        <f t="shared" si="74"/>
        <v>0</v>
      </c>
      <c r="Z296" s="601">
        <f t="shared" si="75"/>
        <v>0</v>
      </c>
      <c r="AA296" s="601">
        <f t="shared" si="76"/>
        <v>0</v>
      </c>
      <c r="AB296" s="602" t="str">
        <f t="shared" si="77"/>
        <v>V</v>
      </c>
      <c r="AC296" s="847"/>
      <c r="AD296" s="603">
        <f>(T296+U296+V296)*'1.0-Contractblad'!$K$69</f>
        <v>0</v>
      </c>
      <c r="AE296" s="603"/>
      <c r="AF296" s="58">
        <f t="shared" si="78"/>
        <v>0</v>
      </c>
      <c r="AG296" s="58">
        <f t="shared" si="84"/>
        <v>1265</v>
      </c>
      <c r="AH296" s="58" t="str">
        <f t="shared" si="85"/>
        <v>9253-253</v>
      </c>
    </row>
    <row r="297" spans="1:34" ht="13">
      <c r="A297" s="134"/>
      <c r="B297" s="470"/>
      <c r="C297" s="471"/>
      <c r="D297" s="859">
        <f>VLOOKUP(E297,'1.1a-Jaarprijzen'!B:G,6,FALSE)</f>
        <v>2</v>
      </c>
      <c r="E297" s="845" t="s">
        <v>672</v>
      </c>
      <c r="F297" s="798" t="s">
        <v>469</v>
      </c>
      <c r="G297" s="799" t="s">
        <v>642</v>
      </c>
      <c r="H297" s="573" t="s">
        <v>643</v>
      </c>
      <c r="I297" s="573" t="str">
        <f t="shared" si="72"/>
        <v>administratieve -, personeels- en vergaderruimte</v>
      </c>
      <c r="J297" s="694" t="s">
        <v>455</v>
      </c>
      <c r="K297" s="800">
        <v>38.700000000000003</v>
      </c>
      <c r="L297" s="800"/>
      <c r="M297" s="867">
        <v>1253</v>
      </c>
      <c r="N297" s="868"/>
      <c r="O297" s="869"/>
      <c r="P297" s="869"/>
      <c r="Q297" s="866">
        <f t="shared" si="79"/>
        <v>253</v>
      </c>
      <c r="R297" s="600">
        <v>1</v>
      </c>
      <c r="S297" s="600">
        <v>1</v>
      </c>
      <c r="T297" s="468">
        <f t="shared" si="80"/>
        <v>0</v>
      </c>
      <c r="U297" s="468">
        <f t="shared" si="81"/>
        <v>0</v>
      </c>
      <c r="V297" s="468">
        <f t="shared" si="82"/>
        <v>0</v>
      </c>
      <c r="W297" s="468">
        <f t="shared" si="83"/>
        <v>0</v>
      </c>
      <c r="X297" s="601">
        <f t="shared" si="73"/>
        <v>0</v>
      </c>
      <c r="Y297" s="601">
        <f t="shared" si="74"/>
        <v>0</v>
      </c>
      <c r="Z297" s="601">
        <f t="shared" si="75"/>
        <v>0</v>
      </c>
      <c r="AA297" s="601">
        <f t="shared" si="76"/>
        <v>0</v>
      </c>
      <c r="AB297" s="602" t="str">
        <f t="shared" si="77"/>
        <v>B</v>
      </c>
      <c r="AC297" s="847"/>
      <c r="AD297" s="603">
        <f>(T297+U297+V297)*'1.0-Contractblad'!$K$69</f>
        <v>0</v>
      </c>
      <c r="AE297" s="603"/>
      <c r="AF297" s="58">
        <f t="shared" si="78"/>
        <v>0</v>
      </c>
      <c r="AG297" s="58">
        <f t="shared" si="84"/>
        <v>9791.1</v>
      </c>
      <c r="AH297" s="58" t="str">
        <f t="shared" si="85"/>
        <v>1253-253</v>
      </c>
    </row>
    <row r="298" spans="1:34" ht="13">
      <c r="A298" s="134"/>
      <c r="B298" s="470"/>
      <c r="C298" s="471"/>
      <c r="D298" s="859">
        <f>VLOOKUP(E298,'1.1a-Jaarprijzen'!B:G,6,FALSE)</f>
        <v>2</v>
      </c>
      <c r="E298" s="845" t="s">
        <v>672</v>
      </c>
      <c r="F298" s="798" t="s">
        <v>469</v>
      </c>
      <c r="G298" s="799" t="s">
        <v>644</v>
      </c>
      <c r="H298" s="573" t="s">
        <v>643</v>
      </c>
      <c r="I298" s="573" t="str">
        <f t="shared" ref="I298:I364" si="86">IF($M298="",0,VLOOKUP($M298,Kengetal,4,FALSE))</f>
        <v>administratieve -, personeels- en vergaderruimte</v>
      </c>
      <c r="J298" s="694" t="s">
        <v>455</v>
      </c>
      <c r="K298" s="800">
        <v>38.700000000000003</v>
      </c>
      <c r="L298" s="800"/>
      <c r="M298" s="867">
        <v>1253</v>
      </c>
      <c r="N298" s="868"/>
      <c r="O298" s="869"/>
      <c r="P298" s="869"/>
      <c r="Q298" s="866">
        <f t="shared" si="79"/>
        <v>253</v>
      </c>
      <c r="R298" s="600">
        <v>1</v>
      </c>
      <c r="S298" s="600">
        <v>1</v>
      </c>
      <c r="T298" s="468">
        <f t="shared" si="80"/>
        <v>0</v>
      </c>
      <c r="U298" s="468">
        <f t="shared" si="81"/>
        <v>0</v>
      </c>
      <c r="V298" s="468">
        <f t="shared" si="82"/>
        <v>0</v>
      </c>
      <c r="W298" s="468">
        <f t="shared" si="83"/>
        <v>0</v>
      </c>
      <c r="X298" s="601">
        <f t="shared" si="73"/>
        <v>0</v>
      </c>
      <c r="Y298" s="601">
        <f t="shared" si="74"/>
        <v>0</v>
      </c>
      <c r="Z298" s="601">
        <f t="shared" si="75"/>
        <v>0</v>
      </c>
      <c r="AA298" s="601">
        <f t="shared" si="76"/>
        <v>0</v>
      </c>
      <c r="AB298" s="602" t="str">
        <f t="shared" si="77"/>
        <v>B</v>
      </c>
      <c r="AC298" s="847"/>
      <c r="AD298" s="603">
        <f>(T298+U298+V298)*'1.0-Contractblad'!$K$69</f>
        <v>0</v>
      </c>
      <c r="AE298" s="603"/>
      <c r="AF298" s="58">
        <f t="shared" si="78"/>
        <v>0</v>
      </c>
      <c r="AG298" s="58">
        <f t="shared" si="84"/>
        <v>9791.1</v>
      </c>
      <c r="AH298" s="58" t="str">
        <f t="shared" si="85"/>
        <v>1253-253</v>
      </c>
    </row>
    <row r="299" spans="1:34" ht="13">
      <c r="A299" s="134"/>
      <c r="B299" s="470"/>
      <c r="C299" s="471"/>
      <c r="D299" s="859">
        <f>VLOOKUP(E299,'1.1a-Jaarprijzen'!B:G,6,FALSE)</f>
        <v>2</v>
      </c>
      <c r="E299" s="845" t="s">
        <v>672</v>
      </c>
      <c r="F299" s="798" t="s">
        <v>469</v>
      </c>
      <c r="G299" s="799" t="s">
        <v>440</v>
      </c>
      <c r="H299" s="573" t="s">
        <v>645</v>
      </c>
      <c r="I299" s="573" t="str">
        <f t="shared" si="86"/>
        <v>niet van toepassing</v>
      </c>
      <c r="J299" s="694" t="s">
        <v>455</v>
      </c>
      <c r="K299" s="800"/>
      <c r="L299" s="800">
        <v>16</v>
      </c>
      <c r="M299" s="867" t="s">
        <v>19</v>
      </c>
      <c r="N299" s="868"/>
      <c r="O299" s="869"/>
      <c r="P299" s="869"/>
      <c r="Q299" s="866">
        <f t="shared" si="79"/>
        <v>0</v>
      </c>
      <c r="R299" s="600">
        <v>1</v>
      </c>
      <c r="S299" s="600">
        <v>1</v>
      </c>
      <c r="T299" s="468">
        <f t="shared" si="80"/>
        <v>0</v>
      </c>
      <c r="U299" s="468">
        <f t="shared" si="81"/>
        <v>0</v>
      </c>
      <c r="V299" s="468">
        <f t="shared" si="82"/>
        <v>0</v>
      </c>
      <c r="W299" s="468">
        <f t="shared" si="83"/>
        <v>0</v>
      </c>
      <c r="X299" s="601">
        <f t="shared" si="73"/>
        <v>0</v>
      </c>
      <c r="Y299" s="601">
        <f t="shared" si="74"/>
        <v>0</v>
      </c>
      <c r="Z299" s="601">
        <f t="shared" si="75"/>
        <v>0</v>
      </c>
      <c r="AA299" s="601">
        <f t="shared" si="76"/>
        <v>0</v>
      </c>
      <c r="AB299" s="602">
        <f t="shared" si="77"/>
        <v>0</v>
      </c>
      <c r="AC299" s="847"/>
      <c r="AD299" s="603">
        <f>(T299+U299+V299)*'1.0-Contractblad'!$K$69</f>
        <v>0</v>
      </c>
      <c r="AE299" s="603"/>
      <c r="AF299" s="58">
        <f t="shared" si="78"/>
        <v>0</v>
      </c>
      <c r="AG299" s="58">
        <f t="shared" si="84"/>
        <v>0</v>
      </c>
      <c r="AH299" s="58" t="str">
        <f t="shared" si="85"/>
        <v>nvt-0</v>
      </c>
    </row>
    <row r="300" spans="1:34" ht="13">
      <c r="A300" s="134"/>
      <c r="B300" s="470"/>
      <c r="C300" s="471"/>
      <c r="D300" s="859">
        <f>VLOOKUP(E300,'1.1a-Jaarprijzen'!B:G,6,FALSE)</f>
        <v>2</v>
      </c>
      <c r="E300" s="845" t="s">
        <v>672</v>
      </c>
      <c r="F300" s="798" t="s">
        <v>469</v>
      </c>
      <c r="G300" s="799" t="s">
        <v>441</v>
      </c>
      <c r="H300" s="845" t="s">
        <v>545</v>
      </c>
      <c r="I300" s="573" t="str">
        <f t="shared" si="86"/>
        <v>labruimte</v>
      </c>
      <c r="J300" s="694" t="s">
        <v>455</v>
      </c>
      <c r="K300" s="800">
        <v>18.899999999999999</v>
      </c>
      <c r="L300" s="800"/>
      <c r="M300" s="867">
        <v>8253</v>
      </c>
      <c r="N300" s="868"/>
      <c r="O300" s="869"/>
      <c r="P300" s="869"/>
      <c r="Q300" s="866">
        <f t="shared" si="79"/>
        <v>253</v>
      </c>
      <c r="R300" s="600">
        <v>1</v>
      </c>
      <c r="S300" s="600">
        <v>1</v>
      </c>
      <c r="T300" s="468">
        <f t="shared" si="80"/>
        <v>0</v>
      </c>
      <c r="U300" s="468">
        <f t="shared" si="81"/>
        <v>0</v>
      </c>
      <c r="V300" s="468">
        <f t="shared" si="82"/>
        <v>0</v>
      </c>
      <c r="W300" s="468">
        <f t="shared" si="83"/>
        <v>0</v>
      </c>
      <c r="X300" s="601">
        <f t="shared" si="73"/>
        <v>0</v>
      </c>
      <c r="Y300" s="601">
        <f t="shared" si="74"/>
        <v>0</v>
      </c>
      <c r="Z300" s="601">
        <f t="shared" si="75"/>
        <v>0</v>
      </c>
      <c r="AA300" s="601">
        <f t="shared" si="76"/>
        <v>0</v>
      </c>
      <c r="AB300" s="602" t="str">
        <f t="shared" si="77"/>
        <v>V</v>
      </c>
      <c r="AC300" s="847"/>
      <c r="AD300" s="603">
        <f>(T300+U300+V300)*'1.0-Contractblad'!$K$69</f>
        <v>0</v>
      </c>
      <c r="AE300" s="603"/>
      <c r="AF300" s="58">
        <f t="shared" si="78"/>
        <v>0</v>
      </c>
      <c r="AG300" s="58">
        <f t="shared" si="84"/>
        <v>4781.7</v>
      </c>
      <c r="AH300" s="58" t="str">
        <f t="shared" si="85"/>
        <v>8253-253</v>
      </c>
    </row>
    <row r="301" spans="1:34" ht="13">
      <c r="A301" s="134"/>
      <c r="B301" s="470"/>
      <c r="C301" s="471"/>
      <c r="D301" s="859">
        <f>VLOOKUP(E301,'1.1a-Jaarprijzen'!B:G,6,FALSE)</f>
        <v>2</v>
      </c>
      <c r="E301" s="845" t="s">
        <v>672</v>
      </c>
      <c r="F301" s="798" t="s">
        <v>469</v>
      </c>
      <c r="G301" s="799" t="s">
        <v>442</v>
      </c>
      <c r="H301" s="845" t="s">
        <v>646</v>
      </c>
      <c r="I301" s="573" t="str">
        <f t="shared" si="86"/>
        <v>entree, gang, hal, repro, kopieer</v>
      </c>
      <c r="J301" s="694" t="s">
        <v>455</v>
      </c>
      <c r="K301" s="800">
        <v>3.9</v>
      </c>
      <c r="L301" s="800"/>
      <c r="M301" s="867">
        <v>3253</v>
      </c>
      <c r="N301" s="868"/>
      <c r="O301" s="869"/>
      <c r="P301" s="869"/>
      <c r="Q301" s="866">
        <f t="shared" si="79"/>
        <v>253</v>
      </c>
      <c r="R301" s="600">
        <v>1</v>
      </c>
      <c r="S301" s="600">
        <v>1</v>
      </c>
      <c r="T301" s="468">
        <f t="shared" si="80"/>
        <v>0</v>
      </c>
      <c r="U301" s="468">
        <f t="shared" si="81"/>
        <v>0</v>
      </c>
      <c r="V301" s="468">
        <f t="shared" si="82"/>
        <v>0</v>
      </c>
      <c r="W301" s="468">
        <f t="shared" si="83"/>
        <v>0</v>
      </c>
      <c r="X301" s="601">
        <f t="shared" si="73"/>
        <v>0</v>
      </c>
      <c r="Y301" s="601">
        <f t="shared" si="74"/>
        <v>0</v>
      </c>
      <c r="Z301" s="601">
        <f t="shared" si="75"/>
        <v>0</v>
      </c>
      <c r="AA301" s="601">
        <f t="shared" si="76"/>
        <v>0</v>
      </c>
      <c r="AB301" s="602" t="str">
        <f t="shared" si="77"/>
        <v>V</v>
      </c>
      <c r="AC301" s="847"/>
      <c r="AD301" s="603">
        <f>(T301+U301+V301)*'1.0-Contractblad'!$K$69</f>
        <v>0</v>
      </c>
      <c r="AE301" s="603"/>
      <c r="AF301" s="58">
        <f t="shared" si="78"/>
        <v>0</v>
      </c>
      <c r="AG301" s="58">
        <f t="shared" si="84"/>
        <v>986.69999999999993</v>
      </c>
      <c r="AH301" s="58" t="str">
        <f t="shared" si="85"/>
        <v>3253-253</v>
      </c>
    </row>
    <row r="302" spans="1:34" ht="13">
      <c r="A302" s="134"/>
      <c r="B302" s="470"/>
      <c r="C302" s="471"/>
      <c r="D302" s="859">
        <f>VLOOKUP(E302,'1.1a-Jaarprijzen'!B:G,6,FALSE)</f>
        <v>2</v>
      </c>
      <c r="E302" s="845" t="s">
        <v>672</v>
      </c>
      <c r="F302" s="798" t="s">
        <v>469</v>
      </c>
      <c r="G302" s="799" t="s">
        <v>443</v>
      </c>
      <c r="H302" s="573" t="s">
        <v>647</v>
      </c>
      <c r="I302" s="573" t="str">
        <f t="shared" si="86"/>
        <v>kleedruimten</v>
      </c>
      <c r="J302" s="694" t="s">
        <v>340</v>
      </c>
      <c r="K302" s="800">
        <v>10.199999999999999</v>
      </c>
      <c r="L302" s="800"/>
      <c r="M302" s="867">
        <v>10253</v>
      </c>
      <c r="N302" s="868"/>
      <c r="O302" s="869"/>
      <c r="P302" s="869"/>
      <c r="Q302" s="866">
        <f t="shared" si="79"/>
        <v>253</v>
      </c>
      <c r="R302" s="600">
        <v>1</v>
      </c>
      <c r="S302" s="600">
        <v>1</v>
      </c>
      <c r="T302" s="468">
        <f t="shared" si="80"/>
        <v>0</v>
      </c>
      <c r="U302" s="468">
        <f t="shared" si="81"/>
        <v>0</v>
      </c>
      <c r="V302" s="468">
        <f t="shared" si="82"/>
        <v>0</v>
      </c>
      <c r="W302" s="468">
        <f t="shared" si="83"/>
        <v>0</v>
      </c>
      <c r="X302" s="601">
        <f t="shared" si="73"/>
        <v>0</v>
      </c>
      <c r="Y302" s="601">
        <f t="shared" si="74"/>
        <v>0</v>
      </c>
      <c r="Z302" s="601">
        <f t="shared" si="75"/>
        <v>0</v>
      </c>
      <c r="AA302" s="601">
        <f t="shared" si="76"/>
        <v>0</v>
      </c>
      <c r="AB302" s="602" t="str">
        <f t="shared" si="77"/>
        <v>V</v>
      </c>
      <c r="AC302" s="847"/>
      <c r="AD302" s="603">
        <f>(T302+U302+V302)*'1.0-Contractblad'!$K$69</f>
        <v>0</v>
      </c>
      <c r="AE302" s="603"/>
      <c r="AF302" s="58">
        <f t="shared" si="78"/>
        <v>0</v>
      </c>
      <c r="AG302" s="58">
        <f t="shared" si="84"/>
        <v>2580.6</v>
      </c>
      <c r="AH302" s="58" t="str">
        <f t="shared" si="85"/>
        <v>10253-253</v>
      </c>
    </row>
    <row r="303" spans="1:34" ht="13">
      <c r="A303" s="134"/>
      <c r="B303" s="470"/>
      <c r="C303" s="471"/>
      <c r="D303" s="859">
        <f>VLOOKUP(E303,'1.1a-Jaarprijzen'!B:G,6,FALSE)</f>
        <v>2</v>
      </c>
      <c r="E303" s="845" t="s">
        <v>672</v>
      </c>
      <c r="F303" s="798" t="s">
        <v>469</v>
      </c>
      <c r="G303" s="799" t="s">
        <v>648</v>
      </c>
      <c r="H303" s="845" t="s">
        <v>649</v>
      </c>
      <c r="I303" s="573" t="str">
        <f t="shared" si="86"/>
        <v>sanitaire ruimte (toilet-/doucheruimte)</v>
      </c>
      <c r="J303" s="694" t="s">
        <v>340</v>
      </c>
      <c r="K303" s="800">
        <v>1.3</v>
      </c>
      <c r="L303" s="800"/>
      <c r="M303" s="867">
        <v>4253</v>
      </c>
      <c r="N303" s="868"/>
      <c r="O303" s="869"/>
      <c r="P303" s="869"/>
      <c r="Q303" s="866">
        <f t="shared" si="79"/>
        <v>253</v>
      </c>
      <c r="R303" s="600">
        <v>1</v>
      </c>
      <c r="S303" s="600">
        <v>1</v>
      </c>
      <c r="T303" s="468">
        <f t="shared" si="80"/>
        <v>0</v>
      </c>
      <c r="U303" s="468">
        <f t="shared" si="81"/>
        <v>0</v>
      </c>
      <c r="V303" s="468">
        <f t="shared" si="82"/>
        <v>0</v>
      </c>
      <c r="W303" s="468">
        <f t="shared" si="83"/>
        <v>0</v>
      </c>
      <c r="X303" s="601">
        <f t="shared" si="73"/>
        <v>0</v>
      </c>
      <c r="Y303" s="601">
        <f t="shared" si="74"/>
        <v>0</v>
      </c>
      <c r="Z303" s="601">
        <f t="shared" si="75"/>
        <v>0</v>
      </c>
      <c r="AA303" s="601">
        <f t="shared" si="76"/>
        <v>0</v>
      </c>
      <c r="AB303" s="602" t="str">
        <f t="shared" si="77"/>
        <v>S</v>
      </c>
      <c r="AC303" s="847"/>
      <c r="AD303" s="603">
        <f>(T303+U303+V303)*'1.0-Contractblad'!$K$69</f>
        <v>0</v>
      </c>
      <c r="AE303" s="603"/>
      <c r="AF303" s="58">
        <f t="shared" si="78"/>
        <v>0</v>
      </c>
      <c r="AG303" s="58">
        <f t="shared" si="84"/>
        <v>328.90000000000003</v>
      </c>
      <c r="AH303" s="58" t="str">
        <f t="shared" si="85"/>
        <v>4253-253</v>
      </c>
    </row>
    <row r="304" spans="1:34" ht="13">
      <c r="A304" s="134"/>
      <c r="B304" s="470"/>
      <c r="C304" s="471"/>
      <c r="D304" s="859">
        <f>VLOOKUP(E304,'1.1a-Jaarprijzen'!B:G,6,FALSE)</f>
        <v>2</v>
      </c>
      <c r="E304" s="845" t="s">
        <v>672</v>
      </c>
      <c r="F304" s="798" t="s">
        <v>469</v>
      </c>
      <c r="G304" s="799" t="s">
        <v>650</v>
      </c>
      <c r="H304" s="845" t="s">
        <v>651</v>
      </c>
      <c r="I304" s="573" t="str">
        <f t="shared" si="86"/>
        <v>sanitaire ruimte (toilet-/doucheruimte)</v>
      </c>
      <c r="J304" s="694" t="s">
        <v>340</v>
      </c>
      <c r="K304" s="800">
        <v>2.9</v>
      </c>
      <c r="L304" s="800"/>
      <c r="M304" s="867">
        <v>4253</v>
      </c>
      <c r="N304" s="868"/>
      <c r="O304" s="869"/>
      <c r="P304" s="869"/>
      <c r="Q304" s="866">
        <f t="shared" si="79"/>
        <v>253</v>
      </c>
      <c r="R304" s="600">
        <v>1</v>
      </c>
      <c r="S304" s="600">
        <v>1</v>
      </c>
      <c r="T304" s="468">
        <f t="shared" si="80"/>
        <v>0</v>
      </c>
      <c r="U304" s="468">
        <f t="shared" si="81"/>
        <v>0</v>
      </c>
      <c r="V304" s="468">
        <f t="shared" si="82"/>
        <v>0</v>
      </c>
      <c r="W304" s="468">
        <f t="shared" si="83"/>
        <v>0</v>
      </c>
      <c r="X304" s="601">
        <f t="shared" si="73"/>
        <v>0</v>
      </c>
      <c r="Y304" s="601">
        <f t="shared" si="74"/>
        <v>0</v>
      </c>
      <c r="Z304" s="601">
        <f t="shared" si="75"/>
        <v>0</v>
      </c>
      <c r="AA304" s="601">
        <f t="shared" si="76"/>
        <v>0</v>
      </c>
      <c r="AB304" s="602" t="str">
        <f t="shared" si="77"/>
        <v>S</v>
      </c>
      <c r="AC304" s="847"/>
      <c r="AD304" s="603">
        <f>(T304+U304+V304)*'1.0-Contractblad'!$K$69</f>
        <v>0</v>
      </c>
      <c r="AE304" s="603"/>
      <c r="AF304" s="58">
        <f t="shared" si="78"/>
        <v>0</v>
      </c>
      <c r="AG304" s="58">
        <f t="shared" si="84"/>
        <v>733.69999999999993</v>
      </c>
      <c r="AH304" s="58" t="str">
        <f t="shared" si="85"/>
        <v>4253-253</v>
      </c>
    </row>
    <row r="305" spans="1:34" ht="13">
      <c r="A305" s="134"/>
      <c r="B305" s="470"/>
      <c r="C305" s="471"/>
      <c r="D305" s="859">
        <f>VLOOKUP(E305,'1.1a-Jaarprijzen'!B:G,6,FALSE)</f>
        <v>2</v>
      </c>
      <c r="E305" s="845" t="s">
        <v>672</v>
      </c>
      <c r="F305" s="798" t="s">
        <v>469</v>
      </c>
      <c r="G305" s="799" t="s">
        <v>444</v>
      </c>
      <c r="H305" s="845" t="s">
        <v>649</v>
      </c>
      <c r="I305" s="573" t="str">
        <f t="shared" si="86"/>
        <v>sanitaire ruimte (toilet-/doucheruimte)</v>
      </c>
      <c r="J305" s="694" t="s">
        <v>340</v>
      </c>
      <c r="K305" s="800">
        <v>1.3</v>
      </c>
      <c r="L305" s="800"/>
      <c r="M305" s="867">
        <v>4253</v>
      </c>
      <c r="N305" s="868"/>
      <c r="O305" s="869"/>
      <c r="P305" s="869"/>
      <c r="Q305" s="866">
        <f t="shared" si="79"/>
        <v>253</v>
      </c>
      <c r="R305" s="600">
        <v>1</v>
      </c>
      <c r="S305" s="600">
        <v>1</v>
      </c>
      <c r="T305" s="468">
        <f t="shared" si="80"/>
        <v>0</v>
      </c>
      <c r="U305" s="468">
        <f t="shared" si="81"/>
        <v>0</v>
      </c>
      <c r="V305" s="468">
        <f t="shared" si="82"/>
        <v>0</v>
      </c>
      <c r="W305" s="468">
        <f t="shared" si="83"/>
        <v>0</v>
      </c>
      <c r="X305" s="601">
        <f t="shared" si="73"/>
        <v>0</v>
      </c>
      <c r="Y305" s="601">
        <f t="shared" si="74"/>
        <v>0</v>
      </c>
      <c r="Z305" s="601">
        <f t="shared" si="75"/>
        <v>0</v>
      </c>
      <c r="AA305" s="601">
        <f t="shared" si="76"/>
        <v>0</v>
      </c>
      <c r="AB305" s="602" t="str">
        <f t="shared" si="77"/>
        <v>S</v>
      </c>
      <c r="AC305" s="847"/>
      <c r="AD305" s="603">
        <f>(T305+U305+V305)*'1.0-Contractblad'!$K$69</f>
        <v>0</v>
      </c>
      <c r="AE305" s="603"/>
      <c r="AF305" s="58">
        <f t="shared" si="78"/>
        <v>0</v>
      </c>
      <c r="AG305" s="58">
        <f t="shared" si="84"/>
        <v>328.90000000000003</v>
      </c>
      <c r="AH305" s="58" t="str">
        <f t="shared" si="85"/>
        <v>4253-253</v>
      </c>
    </row>
    <row r="306" spans="1:34" ht="13">
      <c r="A306" s="134"/>
      <c r="B306" s="470"/>
      <c r="C306" s="471"/>
      <c r="D306" s="859">
        <f>VLOOKUP(E306,'1.1a-Jaarprijzen'!B:G,6,FALSE)</f>
        <v>2</v>
      </c>
      <c r="E306" s="845" t="s">
        <v>672</v>
      </c>
      <c r="F306" s="798" t="s">
        <v>469</v>
      </c>
      <c r="G306" s="799" t="s">
        <v>445</v>
      </c>
      <c r="H306" s="573" t="s">
        <v>652</v>
      </c>
      <c r="I306" s="573" t="str">
        <f t="shared" si="86"/>
        <v>sanitaire ruimte (toilet-/doucheruimte)</v>
      </c>
      <c r="J306" s="694" t="s">
        <v>340</v>
      </c>
      <c r="K306" s="800">
        <v>2.8</v>
      </c>
      <c r="L306" s="800"/>
      <c r="M306" s="867">
        <v>4253</v>
      </c>
      <c r="N306" s="868"/>
      <c r="O306" s="869"/>
      <c r="P306" s="869"/>
      <c r="Q306" s="866">
        <f t="shared" si="79"/>
        <v>253</v>
      </c>
      <c r="R306" s="600">
        <v>1</v>
      </c>
      <c r="S306" s="600">
        <v>1</v>
      </c>
      <c r="T306" s="468">
        <f t="shared" si="80"/>
        <v>0</v>
      </c>
      <c r="U306" s="468">
        <f t="shared" si="81"/>
        <v>0</v>
      </c>
      <c r="V306" s="468">
        <f t="shared" si="82"/>
        <v>0</v>
      </c>
      <c r="W306" s="468">
        <f t="shared" si="83"/>
        <v>0</v>
      </c>
      <c r="X306" s="601">
        <f t="shared" si="73"/>
        <v>0</v>
      </c>
      <c r="Y306" s="601">
        <f t="shared" si="74"/>
        <v>0</v>
      </c>
      <c r="Z306" s="601">
        <f t="shared" si="75"/>
        <v>0</v>
      </c>
      <c r="AA306" s="601">
        <f t="shared" si="76"/>
        <v>0</v>
      </c>
      <c r="AB306" s="602" t="str">
        <f t="shared" si="77"/>
        <v>S</v>
      </c>
      <c r="AC306" s="847"/>
      <c r="AD306" s="603">
        <f>(T306+U306+V306)*'1.0-Contractblad'!$K$69</f>
        <v>0</v>
      </c>
      <c r="AE306" s="603"/>
      <c r="AF306" s="58">
        <f t="shared" si="78"/>
        <v>0</v>
      </c>
      <c r="AG306" s="58">
        <f t="shared" si="84"/>
        <v>708.4</v>
      </c>
      <c r="AH306" s="58" t="str">
        <f t="shared" si="85"/>
        <v>4253-253</v>
      </c>
    </row>
    <row r="307" spans="1:34" ht="13">
      <c r="A307" s="134"/>
      <c r="B307" s="470"/>
      <c r="C307" s="471"/>
      <c r="D307" s="859">
        <f>VLOOKUP(E307,'1.1a-Jaarprijzen'!B:G,6,FALSE)</f>
        <v>2</v>
      </c>
      <c r="E307" s="845" t="s">
        <v>672</v>
      </c>
      <c r="F307" s="798" t="s">
        <v>469</v>
      </c>
      <c r="G307" s="799" t="s">
        <v>446</v>
      </c>
      <c r="H307" s="573" t="s">
        <v>653</v>
      </c>
      <c r="I307" s="573" t="str">
        <f t="shared" si="86"/>
        <v>niet van toepassing</v>
      </c>
      <c r="J307" s="694" t="s">
        <v>340</v>
      </c>
      <c r="K307" s="800"/>
      <c r="L307" s="800">
        <v>22.7</v>
      </c>
      <c r="M307" s="867" t="s">
        <v>19</v>
      </c>
      <c r="N307" s="868"/>
      <c r="O307" s="869"/>
      <c r="P307" s="869"/>
      <c r="Q307" s="866">
        <f t="shared" si="79"/>
        <v>0</v>
      </c>
      <c r="R307" s="600">
        <v>1</v>
      </c>
      <c r="S307" s="600">
        <v>1</v>
      </c>
      <c r="T307" s="468">
        <f t="shared" si="80"/>
        <v>0</v>
      </c>
      <c r="U307" s="468">
        <f t="shared" si="81"/>
        <v>0</v>
      </c>
      <c r="V307" s="468">
        <f t="shared" si="82"/>
        <v>0</v>
      </c>
      <c r="W307" s="468">
        <f t="shared" si="83"/>
        <v>0</v>
      </c>
      <c r="X307" s="601">
        <f t="shared" si="73"/>
        <v>0</v>
      </c>
      <c r="Y307" s="601">
        <f t="shared" si="74"/>
        <v>0</v>
      </c>
      <c r="Z307" s="601">
        <f t="shared" si="75"/>
        <v>0</v>
      </c>
      <c r="AA307" s="601">
        <f t="shared" si="76"/>
        <v>0</v>
      </c>
      <c r="AB307" s="602">
        <f t="shared" si="77"/>
        <v>0</v>
      </c>
      <c r="AC307" s="847"/>
      <c r="AD307" s="603">
        <f>(T307+U307+V307)*'1.0-Contractblad'!$K$69</f>
        <v>0</v>
      </c>
      <c r="AE307" s="603"/>
      <c r="AF307" s="58">
        <f t="shared" si="78"/>
        <v>0</v>
      </c>
      <c r="AG307" s="58">
        <f t="shared" si="84"/>
        <v>0</v>
      </c>
      <c r="AH307" s="58" t="str">
        <f t="shared" si="85"/>
        <v>nvt-0</v>
      </c>
    </row>
    <row r="308" spans="1:34" ht="13">
      <c r="A308" s="134"/>
      <c r="B308" s="470"/>
      <c r="C308" s="471"/>
      <c r="D308" s="859">
        <f>VLOOKUP(E308,'1.1a-Jaarprijzen'!B:G,6,FALSE)</f>
        <v>2</v>
      </c>
      <c r="E308" s="845" t="s">
        <v>672</v>
      </c>
      <c r="F308" s="798" t="s">
        <v>469</v>
      </c>
      <c r="G308" s="799" t="s">
        <v>447</v>
      </c>
      <c r="H308" s="845" t="s">
        <v>610</v>
      </c>
      <c r="I308" s="573" t="str">
        <f t="shared" si="86"/>
        <v>entree, gang, hal, repro, kopieer</v>
      </c>
      <c r="J308" s="694" t="s">
        <v>340</v>
      </c>
      <c r="K308" s="800">
        <v>5</v>
      </c>
      <c r="L308" s="800"/>
      <c r="M308" s="867">
        <v>3253</v>
      </c>
      <c r="N308" s="868"/>
      <c r="O308" s="869"/>
      <c r="P308" s="869"/>
      <c r="Q308" s="866">
        <f t="shared" si="79"/>
        <v>253</v>
      </c>
      <c r="R308" s="600">
        <v>1</v>
      </c>
      <c r="S308" s="600">
        <v>1</v>
      </c>
      <c r="T308" s="468">
        <f t="shared" si="80"/>
        <v>0</v>
      </c>
      <c r="U308" s="468">
        <f t="shared" si="81"/>
        <v>0</v>
      </c>
      <c r="V308" s="468">
        <f t="shared" si="82"/>
        <v>0</v>
      </c>
      <c r="W308" s="468">
        <f t="shared" si="83"/>
        <v>0</v>
      </c>
      <c r="X308" s="601">
        <f t="shared" si="73"/>
        <v>0</v>
      </c>
      <c r="Y308" s="601">
        <f t="shared" si="74"/>
        <v>0</v>
      </c>
      <c r="Z308" s="601">
        <f t="shared" si="75"/>
        <v>0</v>
      </c>
      <c r="AA308" s="601">
        <f t="shared" si="76"/>
        <v>0</v>
      </c>
      <c r="AB308" s="602" t="str">
        <f t="shared" si="77"/>
        <v>V</v>
      </c>
      <c r="AC308" s="847"/>
      <c r="AD308" s="603">
        <f>(T308+U308+V308)*'1.0-Contractblad'!$K$69</f>
        <v>0</v>
      </c>
      <c r="AE308" s="603"/>
      <c r="AF308" s="58">
        <f t="shared" si="78"/>
        <v>0</v>
      </c>
      <c r="AG308" s="58">
        <f t="shared" si="84"/>
        <v>1265</v>
      </c>
      <c r="AH308" s="58" t="str">
        <f t="shared" si="85"/>
        <v>3253-253</v>
      </c>
    </row>
    <row r="309" spans="1:34" ht="13">
      <c r="A309" s="134"/>
      <c r="B309" s="470"/>
      <c r="C309" s="471"/>
      <c r="D309" s="859">
        <f>VLOOKUP(E309,'1.1a-Jaarprijzen'!B:G,6,FALSE)</f>
        <v>2</v>
      </c>
      <c r="E309" s="845" t="s">
        <v>672</v>
      </c>
      <c r="F309" s="798" t="s">
        <v>469</v>
      </c>
      <c r="G309" s="799" t="s">
        <v>448</v>
      </c>
      <c r="H309" s="573" t="s">
        <v>536</v>
      </c>
      <c r="I309" s="573" t="str">
        <f t="shared" si="86"/>
        <v>niet van toepassing</v>
      </c>
      <c r="J309" s="694"/>
      <c r="K309" s="800"/>
      <c r="L309" s="800">
        <v>30.7</v>
      </c>
      <c r="M309" s="867" t="s">
        <v>19</v>
      </c>
      <c r="N309" s="868"/>
      <c r="O309" s="869"/>
      <c r="P309" s="869"/>
      <c r="Q309" s="866">
        <f t="shared" si="79"/>
        <v>0</v>
      </c>
      <c r="R309" s="600">
        <v>1</v>
      </c>
      <c r="S309" s="600">
        <v>1</v>
      </c>
      <c r="T309" s="468">
        <f t="shared" si="80"/>
        <v>0</v>
      </c>
      <c r="U309" s="468">
        <f t="shared" si="81"/>
        <v>0</v>
      </c>
      <c r="V309" s="468">
        <f t="shared" si="82"/>
        <v>0</v>
      </c>
      <c r="W309" s="468">
        <f t="shared" si="83"/>
        <v>0</v>
      </c>
      <c r="X309" s="601">
        <f t="shared" si="73"/>
        <v>0</v>
      </c>
      <c r="Y309" s="601">
        <f t="shared" si="74"/>
        <v>0</v>
      </c>
      <c r="Z309" s="601">
        <f t="shared" si="75"/>
        <v>0</v>
      </c>
      <c r="AA309" s="601">
        <f t="shared" si="76"/>
        <v>0</v>
      </c>
      <c r="AB309" s="602">
        <f t="shared" si="77"/>
        <v>0</v>
      </c>
      <c r="AC309" s="847"/>
      <c r="AD309" s="603">
        <f>(T309+U309+V309)*'1.0-Contractblad'!$K$69</f>
        <v>0</v>
      </c>
      <c r="AE309" s="603"/>
      <c r="AF309" s="58">
        <f t="shared" si="78"/>
        <v>0</v>
      </c>
      <c r="AG309" s="58">
        <f t="shared" si="84"/>
        <v>0</v>
      </c>
      <c r="AH309" s="58" t="str">
        <f t="shared" si="85"/>
        <v>nvt-0</v>
      </c>
    </row>
    <row r="310" spans="1:34" ht="13">
      <c r="A310" s="134"/>
      <c r="B310" s="470"/>
      <c r="C310" s="471"/>
      <c r="D310" s="859">
        <f>VLOOKUP(E310,'1.1a-Jaarprijzen'!B:G,6,FALSE)</f>
        <v>2</v>
      </c>
      <c r="E310" s="845" t="s">
        <v>672</v>
      </c>
      <c r="F310" s="798" t="s">
        <v>469</v>
      </c>
      <c r="G310" s="799" t="s">
        <v>449</v>
      </c>
      <c r="H310" s="573" t="s">
        <v>654</v>
      </c>
      <c r="I310" s="573" t="str">
        <f t="shared" si="86"/>
        <v>niet van toepassing</v>
      </c>
      <c r="J310" s="694" t="s">
        <v>340</v>
      </c>
      <c r="K310" s="800"/>
      <c r="L310" s="800">
        <v>10.199999999999999</v>
      </c>
      <c r="M310" s="867" t="s">
        <v>19</v>
      </c>
      <c r="N310" s="868"/>
      <c r="O310" s="869"/>
      <c r="P310" s="869"/>
      <c r="Q310" s="866">
        <f t="shared" si="79"/>
        <v>0</v>
      </c>
      <c r="R310" s="600">
        <v>1</v>
      </c>
      <c r="S310" s="600">
        <v>1</v>
      </c>
      <c r="T310" s="468">
        <f t="shared" si="80"/>
        <v>0</v>
      </c>
      <c r="U310" s="468">
        <f t="shared" si="81"/>
        <v>0</v>
      </c>
      <c r="V310" s="468">
        <f t="shared" si="82"/>
        <v>0</v>
      </c>
      <c r="W310" s="468">
        <f t="shared" si="83"/>
        <v>0</v>
      </c>
      <c r="X310" s="601">
        <f t="shared" si="73"/>
        <v>0</v>
      </c>
      <c r="Y310" s="601">
        <f t="shared" si="74"/>
        <v>0</v>
      </c>
      <c r="Z310" s="601">
        <f t="shared" si="75"/>
        <v>0</v>
      </c>
      <c r="AA310" s="601">
        <f t="shared" si="76"/>
        <v>0</v>
      </c>
      <c r="AB310" s="602">
        <f t="shared" si="77"/>
        <v>0</v>
      </c>
      <c r="AC310" s="847"/>
      <c r="AD310" s="603">
        <f>(T310+U310+V310)*'1.0-Contractblad'!$K$69</f>
        <v>0</v>
      </c>
      <c r="AE310" s="603"/>
      <c r="AF310" s="58">
        <f t="shared" si="78"/>
        <v>0</v>
      </c>
      <c r="AG310" s="58">
        <f t="shared" si="84"/>
        <v>0</v>
      </c>
      <c r="AH310" s="58" t="str">
        <f t="shared" si="85"/>
        <v>nvt-0</v>
      </c>
    </row>
    <row r="311" spans="1:34" ht="13">
      <c r="A311" s="134"/>
      <c r="B311" s="470"/>
      <c r="C311" s="471"/>
      <c r="D311" s="859">
        <f>VLOOKUP(E311,'1.1a-Jaarprijzen'!B:G,6,FALSE)</f>
        <v>2</v>
      </c>
      <c r="E311" s="845" t="s">
        <v>672</v>
      </c>
      <c r="F311" s="798" t="s">
        <v>469</v>
      </c>
      <c r="G311" s="799" t="s">
        <v>655</v>
      </c>
      <c r="H311" s="573" t="s">
        <v>656</v>
      </c>
      <c r="I311" s="573" t="str">
        <f t="shared" si="86"/>
        <v>kleedruimten</v>
      </c>
      <c r="J311" s="694" t="s">
        <v>340</v>
      </c>
      <c r="K311" s="800">
        <v>20</v>
      </c>
      <c r="L311" s="800"/>
      <c r="M311" s="867">
        <v>10253</v>
      </c>
      <c r="N311" s="868"/>
      <c r="O311" s="869"/>
      <c r="P311" s="869"/>
      <c r="Q311" s="866">
        <f t="shared" si="79"/>
        <v>253</v>
      </c>
      <c r="R311" s="600">
        <v>1</v>
      </c>
      <c r="S311" s="600">
        <v>1</v>
      </c>
      <c r="T311" s="468">
        <f t="shared" si="80"/>
        <v>0</v>
      </c>
      <c r="U311" s="468">
        <f t="shared" si="81"/>
        <v>0</v>
      </c>
      <c r="V311" s="468">
        <f t="shared" si="82"/>
        <v>0</v>
      </c>
      <c r="W311" s="468">
        <f t="shared" si="83"/>
        <v>0</v>
      </c>
      <c r="X311" s="601">
        <f t="shared" si="73"/>
        <v>0</v>
      </c>
      <c r="Y311" s="601">
        <f t="shared" si="74"/>
        <v>0</v>
      </c>
      <c r="Z311" s="601">
        <f t="shared" si="75"/>
        <v>0</v>
      </c>
      <c r="AA311" s="601">
        <f t="shared" si="76"/>
        <v>0</v>
      </c>
      <c r="AB311" s="602" t="str">
        <f t="shared" si="77"/>
        <v>V</v>
      </c>
      <c r="AC311" s="847"/>
      <c r="AD311" s="603">
        <f>(T311+U311+V311)*'1.0-Contractblad'!$K$69</f>
        <v>0</v>
      </c>
      <c r="AE311" s="603"/>
      <c r="AF311" s="58">
        <f t="shared" si="78"/>
        <v>0</v>
      </c>
      <c r="AG311" s="58">
        <f t="shared" si="84"/>
        <v>5060</v>
      </c>
      <c r="AH311" s="58" t="str">
        <f t="shared" si="85"/>
        <v>10253-253</v>
      </c>
    </row>
    <row r="312" spans="1:34" ht="13">
      <c r="A312" s="134"/>
      <c r="B312" s="470"/>
      <c r="C312" s="471"/>
      <c r="D312" s="859">
        <f>VLOOKUP(E312,'1.1a-Jaarprijzen'!B:G,6,FALSE)</f>
        <v>2</v>
      </c>
      <c r="E312" s="845" t="s">
        <v>672</v>
      </c>
      <c r="F312" s="798" t="s">
        <v>469</v>
      </c>
      <c r="G312" s="799" t="s">
        <v>657</v>
      </c>
      <c r="H312" s="845" t="s">
        <v>658</v>
      </c>
      <c r="I312" s="573" t="str">
        <f t="shared" si="86"/>
        <v>sanitaire ruimte (toilet-/doucheruimte)</v>
      </c>
      <c r="J312" s="694" t="s">
        <v>340</v>
      </c>
      <c r="K312" s="800">
        <v>2.2000000000000002</v>
      </c>
      <c r="L312" s="800"/>
      <c r="M312" s="867">
        <v>4253</v>
      </c>
      <c r="N312" s="868"/>
      <c r="O312" s="869"/>
      <c r="P312" s="869"/>
      <c r="Q312" s="866">
        <f t="shared" si="79"/>
        <v>253</v>
      </c>
      <c r="R312" s="600">
        <v>1</v>
      </c>
      <c r="S312" s="600">
        <v>1</v>
      </c>
      <c r="T312" s="468">
        <f t="shared" si="80"/>
        <v>0</v>
      </c>
      <c r="U312" s="468">
        <f t="shared" si="81"/>
        <v>0</v>
      </c>
      <c r="V312" s="468">
        <f t="shared" si="82"/>
        <v>0</v>
      </c>
      <c r="W312" s="468">
        <f t="shared" si="83"/>
        <v>0</v>
      </c>
      <c r="X312" s="601">
        <f t="shared" si="73"/>
        <v>0</v>
      </c>
      <c r="Y312" s="601">
        <f t="shared" si="74"/>
        <v>0</v>
      </c>
      <c r="Z312" s="601">
        <f t="shared" si="75"/>
        <v>0</v>
      </c>
      <c r="AA312" s="601">
        <f t="shared" si="76"/>
        <v>0</v>
      </c>
      <c r="AB312" s="602" t="str">
        <f t="shared" si="77"/>
        <v>S</v>
      </c>
      <c r="AC312" s="847"/>
      <c r="AD312" s="603">
        <f>(T312+U312+V312)*'1.0-Contractblad'!$K$69</f>
        <v>0</v>
      </c>
      <c r="AE312" s="603"/>
      <c r="AF312" s="58">
        <f t="shared" si="78"/>
        <v>0</v>
      </c>
      <c r="AG312" s="58">
        <f t="shared" si="84"/>
        <v>556.6</v>
      </c>
      <c r="AH312" s="58" t="str">
        <f t="shared" si="85"/>
        <v>4253-253</v>
      </c>
    </row>
    <row r="313" spans="1:34" ht="13">
      <c r="A313" s="134"/>
      <c r="B313" s="470"/>
      <c r="C313" s="471"/>
      <c r="D313" s="859">
        <f>VLOOKUP(E313,'1.1a-Jaarprijzen'!B:G,6,FALSE)</f>
        <v>2</v>
      </c>
      <c r="E313" s="845" t="s">
        <v>672</v>
      </c>
      <c r="F313" s="798" t="s">
        <v>469</v>
      </c>
      <c r="G313" s="799" t="s">
        <v>659</v>
      </c>
      <c r="H313" s="573" t="s">
        <v>660</v>
      </c>
      <c r="I313" s="573" t="str">
        <f t="shared" si="86"/>
        <v>sanitaire ruimte (toilet-/doucheruimte)</v>
      </c>
      <c r="J313" s="694" t="s">
        <v>340</v>
      </c>
      <c r="K313" s="800">
        <v>2.5</v>
      </c>
      <c r="L313" s="800"/>
      <c r="M313" s="867">
        <v>4253</v>
      </c>
      <c r="N313" s="868"/>
      <c r="O313" s="869"/>
      <c r="P313" s="869"/>
      <c r="Q313" s="866">
        <f t="shared" si="79"/>
        <v>253</v>
      </c>
      <c r="R313" s="600">
        <v>1</v>
      </c>
      <c r="S313" s="600">
        <v>1</v>
      </c>
      <c r="T313" s="468">
        <f t="shared" si="80"/>
        <v>0</v>
      </c>
      <c r="U313" s="468">
        <f t="shared" si="81"/>
        <v>0</v>
      </c>
      <c r="V313" s="468">
        <f t="shared" si="82"/>
        <v>0</v>
      </c>
      <c r="W313" s="468">
        <f t="shared" si="83"/>
        <v>0</v>
      </c>
      <c r="X313" s="601">
        <f t="shared" si="73"/>
        <v>0</v>
      </c>
      <c r="Y313" s="601">
        <f t="shared" si="74"/>
        <v>0</v>
      </c>
      <c r="Z313" s="601">
        <f t="shared" si="75"/>
        <v>0</v>
      </c>
      <c r="AA313" s="601">
        <f t="shared" si="76"/>
        <v>0</v>
      </c>
      <c r="AB313" s="602" t="str">
        <f t="shared" si="77"/>
        <v>S</v>
      </c>
      <c r="AC313" s="847"/>
      <c r="AD313" s="603">
        <f>(T313+U313+V313)*'1.0-Contractblad'!$K$69</f>
        <v>0</v>
      </c>
      <c r="AE313" s="603"/>
      <c r="AF313" s="58">
        <f t="shared" si="78"/>
        <v>0</v>
      </c>
      <c r="AG313" s="58">
        <f t="shared" si="84"/>
        <v>632.5</v>
      </c>
      <c r="AH313" s="58" t="str">
        <f t="shared" si="85"/>
        <v>4253-253</v>
      </c>
    </row>
    <row r="314" spans="1:34" ht="13">
      <c r="A314" s="134"/>
      <c r="B314" s="470"/>
      <c r="C314" s="471"/>
      <c r="D314" s="859">
        <f>VLOOKUP(E314,'1.1a-Jaarprijzen'!B:G,6,FALSE)</f>
        <v>2</v>
      </c>
      <c r="E314" s="845" t="s">
        <v>672</v>
      </c>
      <c r="F314" s="798" t="s">
        <v>469</v>
      </c>
      <c r="G314" s="799" t="s">
        <v>611</v>
      </c>
      <c r="H314" s="845" t="s">
        <v>661</v>
      </c>
      <c r="I314" s="573" t="str">
        <f t="shared" si="86"/>
        <v>kleedruimten</v>
      </c>
      <c r="J314" s="694" t="s">
        <v>340</v>
      </c>
      <c r="K314" s="800">
        <v>19.5</v>
      </c>
      <c r="L314" s="800"/>
      <c r="M314" s="867">
        <v>10253</v>
      </c>
      <c r="N314" s="868"/>
      <c r="O314" s="869"/>
      <c r="P314" s="869"/>
      <c r="Q314" s="866">
        <f t="shared" si="79"/>
        <v>253</v>
      </c>
      <c r="R314" s="600">
        <v>1</v>
      </c>
      <c r="S314" s="600">
        <v>1</v>
      </c>
      <c r="T314" s="468">
        <f t="shared" si="80"/>
        <v>0</v>
      </c>
      <c r="U314" s="468">
        <f t="shared" si="81"/>
        <v>0</v>
      </c>
      <c r="V314" s="468">
        <f t="shared" si="82"/>
        <v>0</v>
      </c>
      <c r="W314" s="468">
        <f t="shared" si="83"/>
        <v>0</v>
      </c>
      <c r="X314" s="601">
        <f t="shared" si="73"/>
        <v>0</v>
      </c>
      <c r="Y314" s="601">
        <f t="shared" si="74"/>
        <v>0</v>
      </c>
      <c r="Z314" s="601">
        <f t="shared" si="75"/>
        <v>0</v>
      </c>
      <c r="AA314" s="601">
        <f t="shared" si="76"/>
        <v>0</v>
      </c>
      <c r="AB314" s="602" t="str">
        <f t="shared" si="77"/>
        <v>V</v>
      </c>
      <c r="AC314" s="847"/>
      <c r="AD314" s="603">
        <f>(T314+U314+V314)*'1.0-Contractblad'!$K$69</f>
        <v>0</v>
      </c>
      <c r="AE314" s="603"/>
      <c r="AF314" s="58">
        <f t="shared" si="78"/>
        <v>0</v>
      </c>
      <c r="AG314" s="58">
        <f t="shared" si="84"/>
        <v>4933.5</v>
      </c>
      <c r="AH314" s="58" t="str">
        <f t="shared" si="85"/>
        <v>10253-253</v>
      </c>
    </row>
    <row r="315" spans="1:34" ht="13">
      <c r="A315" s="134"/>
      <c r="B315" s="470"/>
      <c r="C315" s="471"/>
      <c r="D315" s="859">
        <f>VLOOKUP(E315,'1.1a-Jaarprijzen'!B:G,6,FALSE)</f>
        <v>2</v>
      </c>
      <c r="E315" s="845" t="s">
        <v>672</v>
      </c>
      <c r="F315" s="798" t="s">
        <v>469</v>
      </c>
      <c r="G315" s="799" t="s">
        <v>662</v>
      </c>
      <c r="H315" s="845" t="s">
        <v>652</v>
      </c>
      <c r="I315" s="573" t="str">
        <f t="shared" si="86"/>
        <v>sanitaire ruimte (toilet-/doucheruimte)</v>
      </c>
      <c r="J315" s="694" t="s">
        <v>340</v>
      </c>
      <c r="K315" s="800">
        <v>1.2</v>
      </c>
      <c r="L315" s="800"/>
      <c r="M315" s="867">
        <v>4253</v>
      </c>
      <c r="N315" s="868"/>
      <c r="O315" s="869"/>
      <c r="P315" s="869"/>
      <c r="Q315" s="866">
        <f t="shared" si="79"/>
        <v>253</v>
      </c>
      <c r="R315" s="600">
        <v>1</v>
      </c>
      <c r="S315" s="600">
        <v>1</v>
      </c>
      <c r="T315" s="468">
        <f t="shared" si="80"/>
        <v>0</v>
      </c>
      <c r="U315" s="468">
        <f t="shared" si="81"/>
        <v>0</v>
      </c>
      <c r="V315" s="468">
        <f t="shared" si="82"/>
        <v>0</v>
      </c>
      <c r="W315" s="468">
        <f t="shared" si="83"/>
        <v>0</v>
      </c>
      <c r="X315" s="601">
        <f t="shared" si="73"/>
        <v>0</v>
      </c>
      <c r="Y315" s="601">
        <f t="shared" si="74"/>
        <v>0</v>
      </c>
      <c r="Z315" s="601">
        <f t="shared" si="75"/>
        <v>0</v>
      </c>
      <c r="AA315" s="601">
        <f t="shared" si="76"/>
        <v>0</v>
      </c>
      <c r="AB315" s="602" t="str">
        <f t="shared" si="77"/>
        <v>S</v>
      </c>
      <c r="AC315" s="847"/>
      <c r="AD315" s="603">
        <f>(T315+U315+V315)*'1.0-Contractblad'!$K$69</f>
        <v>0</v>
      </c>
      <c r="AE315" s="603"/>
      <c r="AF315" s="58">
        <f t="shared" si="78"/>
        <v>0</v>
      </c>
      <c r="AG315" s="58">
        <f t="shared" si="84"/>
        <v>303.59999999999997</v>
      </c>
      <c r="AH315" s="58" t="str">
        <f t="shared" si="85"/>
        <v>4253-253</v>
      </c>
    </row>
    <row r="316" spans="1:34" ht="13">
      <c r="A316" s="134"/>
      <c r="B316" s="470"/>
      <c r="C316" s="471"/>
      <c r="D316" s="859">
        <f>VLOOKUP(E316,'1.1a-Jaarprijzen'!B:G,6,FALSE)</f>
        <v>2</v>
      </c>
      <c r="E316" s="845" t="s">
        <v>672</v>
      </c>
      <c r="F316" s="798" t="s">
        <v>469</v>
      </c>
      <c r="G316" s="799" t="s">
        <v>619</v>
      </c>
      <c r="H316" s="573" t="s">
        <v>504</v>
      </c>
      <c r="I316" s="573" t="str">
        <f t="shared" si="86"/>
        <v>entree, gang, hal, repro, kopieer</v>
      </c>
      <c r="J316" s="694" t="s">
        <v>455</v>
      </c>
      <c r="K316" s="800">
        <v>3.2</v>
      </c>
      <c r="L316" s="800"/>
      <c r="M316" s="867">
        <v>3253</v>
      </c>
      <c r="N316" s="868"/>
      <c r="O316" s="869"/>
      <c r="P316" s="869"/>
      <c r="Q316" s="866">
        <f t="shared" si="79"/>
        <v>253</v>
      </c>
      <c r="R316" s="600">
        <v>1</v>
      </c>
      <c r="S316" s="600">
        <v>1</v>
      </c>
      <c r="T316" s="468">
        <f t="shared" si="80"/>
        <v>0</v>
      </c>
      <c r="U316" s="468">
        <f t="shared" si="81"/>
        <v>0</v>
      </c>
      <c r="V316" s="468">
        <f t="shared" si="82"/>
        <v>0</v>
      </c>
      <c r="W316" s="468">
        <f t="shared" si="83"/>
        <v>0</v>
      </c>
      <c r="X316" s="601">
        <f t="shared" si="73"/>
        <v>0</v>
      </c>
      <c r="Y316" s="601">
        <f t="shared" si="74"/>
        <v>0</v>
      </c>
      <c r="Z316" s="601">
        <f t="shared" si="75"/>
        <v>0</v>
      </c>
      <c r="AA316" s="601">
        <f t="shared" si="76"/>
        <v>0</v>
      </c>
      <c r="AB316" s="602" t="str">
        <f t="shared" si="77"/>
        <v>V</v>
      </c>
      <c r="AC316" s="847"/>
      <c r="AD316" s="603">
        <f>(T316+U316+V316)*'1.0-Contractblad'!$K$69</f>
        <v>0</v>
      </c>
      <c r="AE316" s="603"/>
      <c r="AF316" s="58">
        <f t="shared" si="78"/>
        <v>0</v>
      </c>
      <c r="AG316" s="58">
        <f t="shared" si="84"/>
        <v>809.6</v>
      </c>
      <c r="AH316" s="58" t="str">
        <f t="shared" si="85"/>
        <v>3253-253</v>
      </c>
    </row>
    <row r="317" spans="1:34" ht="13">
      <c r="A317" s="134"/>
      <c r="B317" s="470"/>
      <c r="C317" s="471"/>
      <c r="D317" s="859">
        <f>VLOOKUP(E317,'1.1a-Jaarprijzen'!B:G,6,FALSE)</f>
        <v>2</v>
      </c>
      <c r="E317" s="845" t="s">
        <v>672</v>
      </c>
      <c r="F317" s="798" t="s">
        <v>469</v>
      </c>
      <c r="G317" s="799" t="s">
        <v>621</v>
      </c>
      <c r="H317" s="573" t="s">
        <v>663</v>
      </c>
      <c r="I317" s="573" t="str">
        <f t="shared" si="86"/>
        <v>administratieve -, personeels- en vergaderruimte</v>
      </c>
      <c r="J317" s="694" t="s">
        <v>455</v>
      </c>
      <c r="K317" s="800">
        <v>28.8</v>
      </c>
      <c r="L317" s="800"/>
      <c r="M317" s="867">
        <v>1253</v>
      </c>
      <c r="N317" s="868"/>
      <c r="O317" s="869"/>
      <c r="P317" s="869"/>
      <c r="Q317" s="866">
        <f t="shared" si="79"/>
        <v>253</v>
      </c>
      <c r="R317" s="600">
        <v>1</v>
      </c>
      <c r="S317" s="600">
        <v>1</v>
      </c>
      <c r="T317" s="468">
        <f t="shared" si="80"/>
        <v>0</v>
      </c>
      <c r="U317" s="468">
        <f t="shared" si="81"/>
        <v>0</v>
      </c>
      <c r="V317" s="468">
        <f t="shared" si="82"/>
        <v>0</v>
      </c>
      <c r="W317" s="468">
        <f t="shared" si="83"/>
        <v>0</v>
      </c>
      <c r="X317" s="601">
        <f t="shared" si="73"/>
        <v>0</v>
      </c>
      <c r="Y317" s="601">
        <f t="shared" si="74"/>
        <v>0</v>
      </c>
      <c r="Z317" s="601">
        <f t="shared" si="75"/>
        <v>0</v>
      </c>
      <c r="AA317" s="601">
        <f t="shared" si="76"/>
        <v>0</v>
      </c>
      <c r="AB317" s="602" t="str">
        <f t="shared" si="77"/>
        <v>B</v>
      </c>
      <c r="AC317" s="847"/>
      <c r="AD317" s="603">
        <f>(T317+U317+V317)*'1.0-Contractblad'!$K$69</f>
        <v>0</v>
      </c>
      <c r="AE317" s="603"/>
      <c r="AF317" s="58">
        <f t="shared" si="78"/>
        <v>0</v>
      </c>
      <c r="AG317" s="58">
        <f t="shared" si="84"/>
        <v>7286.4000000000005</v>
      </c>
      <c r="AH317" s="58" t="str">
        <f t="shared" si="85"/>
        <v>1253-253</v>
      </c>
    </row>
    <row r="318" spans="1:34" ht="13">
      <c r="A318" s="134"/>
      <c r="B318" s="470"/>
      <c r="C318" s="471"/>
      <c r="D318" s="859">
        <f>VLOOKUP(E318,'1.1a-Jaarprijzen'!B:G,6,FALSE)</f>
        <v>2</v>
      </c>
      <c r="E318" s="845" t="s">
        <v>672</v>
      </c>
      <c r="F318" s="798" t="s">
        <v>736</v>
      </c>
      <c r="G318" s="799" t="s">
        <v>456</v>
      </c>
      <c r="H318" s="573" t="s">
        <v>664</v>
      </c>
      <c r="I318" s="573" t="str">
        <f t="shared" si="86"/>
        <v>entree, gang, hal, repro, kopieer</v>
      </c>
      <c r="J318" s="694" t="s">
        <v>455</v>
      </c>
      <c r="K318" s="800">
        <v>11.5</v>
      </c>
      <c r="L318" s="800"/>
      <c r="M318" s="867">
        <v>3253</v>
      </c>
      <c r="N318" s="868"/>
      <c r="O318" s="869"/>
      <c r="P318" s="869"/>
      <c r="Q318" s="866">
        <f t="shared" si="79"/>
        <v>253</v>
      </c>
      <c r="R318" s="600">
        <v>1</v>
      </c>
      <c r="S318" s="600">
        <v>1</v>
      </c>
      <c r="T318" s="468">
        <f t="shared" si="80"/>
        <v>0</v>
      </c>
      <c r="U318" s="468">
        <f t="shared" si="81"/>
        <v>0</v>
      </c>
      <c r="V318" s="468">
        <f t="shared" si="82"/>
        <v>0</v>
      </c>
      <c r="W318" s="468">
        <f t="shared" si="83"/>
        <v>0</v>
      </c>
      <c r="X318" s="601">
        <f t="shared" si="73"/>
        <v>0</v>
      </c>
      <c r="Y318" s="601">
        <f t="shared" si="74"/>
        <v>0</v>
      </c>
      <c r="Z318" s="601">
        <f t="shared" si="75"/>
        <v>0</v>
      </c>
      <c r="AA318" s="601">
        <f t="shared" si="76"/>
        <v>0</v>
      </c>
      <c r="AB318" s="602" t="str">
        <f t="shared" si="77"/>
        <v>V</v>
      </c>
      <c r="AC318" s="847"/>
      <c r="AD318" s="603">
        <f>(T318+U318+V318)*'1.0-Contractblad'!$K$69</f>
        <v>0</v>
      </c>
      <c r="AE318" s="603"/>
      <c r="AF318" s="58">
        <f t="shared" si="78"/>
        <v>0</v>
      </c>
      <c r="AG318" s="58">
        <f t="shared" si="84"/>
        <v>2909.5</v>
      </c>
      <c r="AH318" s="58" t="str">
        <f t="shared" si="85"/>
        <v>3253-253</v>
      </c>
    </row>
    <row r="319" spans="1:34" ht="13">
      <c r="A319" s="134"/>
      <c r="B319" s="470"/>
      <c r="C319" s="471"/>
      <c r="D319" s="859">
        <f>VLOOKUP(E319,'1.1a-Jaarprijzen'!B:G,6,FALSE)</f>
        <v>2</v>
      </c>
      <c r="E319" s="845" t="s">
        <v>672</v>
      </c>
      <c r="F319" s="798" t="s">
        <v>736</v>
      </c>
      <c r="G319" s="799">
        <v>1.02</v>
      </c>
      <c r="H319" s="573" t="s">
        <v>665</v>
      </c>
      <c r="I319" s="573" t="str">
        <f t="shared" si="86"/>
        <v>sanitaire ruimte (toilet-/doucheruimte)</v>
      </c>
      <c r="J319" s="694" t="s">
        <v>340</v>
      </c>
      <c r="K319" s="800">
        <v>2.7</v>
      </c>
      <c r="L319" s="800"/>
      <c r="M319" s="867">
        <v>4253</v>
      </c>
      <c r="N319" s="868"/>
      <c r="O319" s="869"/>
      <c r="P319" s="869"/>
      <c r="Q319" s="866">
        <f t="shared" si="79"/>
        <v>253</v>
      </c>
      <c r="R319" s="600">
        <v>1</v>
      </c>
      <c r="S319" s="600">
        <v>1</v>
      </c>
      <c r="T319" s="468">
        <f t="shared" si="80"/>
        <v>0</v>
      </c>
      <c r="U319" s="468">
        <f t="shared" si="81"/>
        <v>0</v>
      </c>
      <c r="V319" s="468">
        <f t="shared" si="82"/>
        <v>0</v>
      </c>
      <c r="W319" s="468">
        <f t="shared" si="83"/>
        <v>0</v>
      </c>
      <c r="X319" s="601">
        <f t="shared" si="73"/>
        <v>0</v>
      </c>
      <c r="Y319" s="601">
        <f t="shared" si="74"/>
        <v>0</v>
      </c>
      <c r="Z319" s="601">
        <f t="shared" si="75"/>
        <v>0</v>
      </c>
      <c r="AA319" s="601">
        <f t="shared" si="76"/>
        <v>0</v>
      </c>
      <c r="AB319" s="602" t="str">
        <f t="shared" si="77"/>
        <v>S</v>
      </c>
      <c r="AC319" s="847"/>
      <c r="AD319" s="603">
        <f>(T319+U319+V319)*'1.0-Contractblad'!$K$69</f>
        <v>0</v>
      </c>
      <c r="AE319" s="603"/>
      <c r="AF319" s="58">
        <f t="shared" si="78"/>
        <v>0</v>
      </c>
      <c r="AG319" s="58">
        <f t="shared" si="84"/>
        <v>683.1</v>
      </c>
      <c r="AH319" s="58" t="str">
        <f t="shared" si="85"/>
        <v>4253-253</v>
      </c>
    </row>
    <row r="320" spans="1:34" ht="13">
      <c r="A320" s="134"/>
      <c r="B320" s="470"/>
      <c r="C320" s="471"/>
      <c r="D320" s="859">
        <f>VLOOKUP(E320,'1.1a-Jaarprijzen'!B:G,6,FALSE)</f>
        <v>2</v>
      </c>
      <c r="E320" s="845" t="s">
        <v>672</v>
      </c>
      <c r="F320" s="798" t="s">
        <v>736</v>
      </c>
      <c r="G320" s="799">
        <v>1.03</v>
      </c>
      <c r="H320" s="573" t="s">
        <v>452</v>
      </c>
      <c r="I320" s="573" t="str">
        <f t="shared" si="86"/>
        <v>administratieve -, personeels- en vergaderruimte</v>
      </c>
      <c r="J320" s="694" t="s">
        <v>455</v>
      </c>
      <c r="K320" s="800">
        <v>25.5</v>
      </c>
      <c r="L320" s="800"/>
      <c r="M320" s="867">
        <v>1253</v>
      </c>
      <c r="N320" s="868"/>
      <c r="O320" s="869"/>
      <c r="P320" s="869"/>
      <c r="Q320" s="866">
        <f t="shared" si="79"/>
        <v>253</v>
      </c>
      <c r="R320" s="600">
        <v>1</v>
      </c>
      <c r="S320" s="600">
        <v>1</v>
      </c>
      <c r="T320" s="468">
        <f t="shared" si="80"/>
        <v>0</v>
      </c>
      <c r="U320" s="468">
        <f t="shared" si="81"/>
        <v>0</v>
      </c>
      <c r="V320" s="468">
        <f t="shared" si="82"/>
        <v>0</v>
      </c>
      <c r="W320" s="468">
        <f t="shared" si="83"/>
        <v>0</v>
      </c>
      <c r="X320" s="601">
        <f t="shared" si="73"/>
        <v>0</v>
      </c>
      <c r="Y320" s="601">
        <f t="shared" si="74"/>
        <v>0</v>
      </c>
      <c r="Z320" s="601">
        <f t="shared" si="75"/>
        <v>0</v>
      </c>
      <c r="AA320" s="601">
        <f t="shared" si="76"/>
        <v>0</v>
      </c>
      <c r="AB320" s="602" t="str">
        <f t="shared" si="77"/>
        <v>B</v>
      </c>
      <c r="AC320" s="847"/>
      <c r="AD320" s="603">
        <f>(T320+U320+V320)*'1.0-Contractblad'!$K$69</f>
        <v>0</v>
      </c>
      <c r="AE320" s="603"/>
      <c r="AF320" s="58">
        <f t="shared" si="78"/>
        <v>0</v>
      </c>
      <c r="AG320" s="58">
        <f t="shared" si="84"/>
        <v>6451.5</v>
      </c>
      <c r="AH320" s="58" t="str">
        <f t="shared" si="85"/>
        <v>1253-253</v>
      </c>
    </row>
    <row r="321" spans="1:34" ht="13">
      <c r="A321" s="134"/>
      <c r="B321" s="470"/>
      <c r="C321" s="471"/>
      <c r="D321" s="859">
        <f>VLOOKUP(E321,'1.1a-Jaarprijzen'!B:G,6,FALSE)</f>
        <v>2</v>
      </c>
      <c r="E321" s="845" t="s">
        <v>672</v>
      </c>
      <c r="F321" s="798" t="s">
        <v>736</v>
      </c>
      <c r="G321" s="799" t="s">
        <v>459</v>
      </c>
      <c r="H321" s="573" t="s">
        <v>452</v>
      </c>
      <c r="I321" s="573" t="str">
        <f t="shared" si="86"/>
        <v>administratieve -, personeels- en vergaderruimte</v>
      </c>
      <c r="J321" s="694" t="s">
        <v>455</v>
      </c>
      <c r="K321" s="800">
        <v>21.6</v>
      </c>
      <c r="L321" s="800"/>
      <c r="M321" s="867">
        <v>1253</v>
      </c>
      <c r="N321" s="868"/>
      <c r="O321" s="869"/>
      <c r="P321" s="869"/>
      <c r="Q321" s="866">
        <f t="shared" si="79"/>
        <v>253</v>
      </c>
      <c r="R321" s="600">
        <v>1</v>
      </c>
      <c r="S321" s="600">
        <v>1</v>
      </c>
      <c r="T321" s="468">
        <f t="shared" si="80"/>
        <v>0</v>
      </c>
      <c r="U321" s="468">
        <f t="shared" si="81"/>
        <v>0</v>
      </c>
      <c r="V321" s="468">
        <f t="shared" si="82"/>
        <v>0</v>
      </c>
      <c r="W321" s="468">
        <f t="shared" si="83"/>
        <v>0</v>
      </c>
      <c r="X321" s="601">
        <f t="shared" si="73"/>
        <v>0</v>
      </c>
      <c r="Y321" s="601">
        <f t="shared" si="74"/>
        <v>0</v>
      </c>
      <c r="Z321" s="601">
        <f t="shared" si="75"/>
        <v>0</v>
      </c>
      <c r="AA321" s="601">
        <f t="shared" si="76"/>
        <v>0</v>
      </c>
      <c r="AB321" s="602" t="str">
        <f t="shared" si="77"/>
        <v>B</v>
      </c>
      <c r="AC321" s="847"/>
      <c r="AD321" s="603">
        <f>(T321+U321+V321)*'1.0-Contractblad'!$K$69</f>
        <v>0</v>
      </c>
      <c r="AE321" s="603"/>
      <c r="AF321" s="58">
        <f t="shared" si="78"/>
        <v>0</v>
      </c>
      <c r="AG321" s="58">
        <f t="shared" si="84"/>
        <v>5464.8</v>
      </c>
      <c r="AH321" s="58" t="str">
        <f t="shared" si="85"/>
        <v>1253-253</v>
      </c>
    </row>
    <row r="322" spans="1:34" ht="13">
      <c r="A322" s="134"/>
      <c r="B322" s="470"/>
      <c r="C322" s="471"/>
      <c r="D322" s="859">
        <f>VLOOKUP(E322,'1.1a-Jaarprijzen'!B:G,6,FALSE)</f>
        <v>2</v>
      </c>
      <c r="E322" s="845" t="s">
        <v>672</v>
      </c>
      <c r="F322" s="798" t="s">
        <v>736</v>
      </c>
      <c r="G322" s="799" t="s">
        <v>460</v>
      </c>
      <c r="H322" s="845" t="s">
        <v>666</v>
      </c>
      <c r="I322" s="573" t="str">
        <f t="shared" si="86"/>
        <v>pantry, keuken, koffiecorner</v>
      </c>
      <c r="J322" s="694" t="s">
        <v>455</v>
      </c>
      <c r="K322" s="800">
        <v>50.5</v>
      </c>
      <c r="L322" s="800"/>
      <c r="M322" s="867">
        <v>5253</v>
      </c>
      <c r="N322" s="868"/>
      <c r="O322" s="869"/>
      <c r="P322" s="869"/>
      <c r="Q322" s="866">
        <f t="shared" si="79"/>
        <v>253</v>
      </c>
      <c r="R322" s="600">
        <v>1</v>
      </c>
      <c r="S322" s="600">
        <v>1</v>
      </c>
      <c r="T322" s="468">
        <f t="shared" si="80"/>
        <v>0</v>
      </c>
      <c r="U322" s="468">
        <f t="shared" si="81"/>
        <v>0</v>
      </c>
      <c r="V322" s="468">
        <f t="shared" si="82"/>
        <v>0</v>
      </c>
      <c r="W322" s="468">
        <f t="shared" si="83"/>
        <v>0</v>
      </c>
      <c r="X322" s="601">
        <f t="shared" si="73"/>
        <v>0</v>
      </c>
      <c r="Y322" s="601">
        <f t="shared" si="74"/>
        <v>0</v>
      </c>
      <c r="Z322" s="601">
        <f t="shared" si="75"/>
        <v>0</v>
      </c>
      <c r="AA322" s="601">
        <f t="shared" si="76"/>
        <v>0</v>
      </c>
      <c r="AB322" s="602" t="str">
        <f t="shared" si="77"/>
        <v>V</v>
      </c>
      <c r="AC322" s="847"/>
      <c r="AD322" s="603">
        <f>(T322+U322+V322)*'1.0-Contractblad'!$K$69</f>
        <v>0</v>
      </c>
      <c r="AE322" s="603"/>
      <c r="AF322" s="58">
        <f t="shared" si="78"/>
        <v>0</v>
      </c>
      <c r="AG322" s="58">
        <f t="shared" si="84"/>
        <v>12776.5</v>
      </c>
      <c r="AH322" s="58" t="str">
        <f t="shared" si="85"/>
        <v>5253-253</v>
      </c>
    </row>
    <row r="323" spans="1:34" ht="13">
      <c r="A323" s="134"/>
      <c r="B323" s="470"/>
      <c r="C323" s="471"/>
      <c r="D323" s="859">
        <f>VLOOKUP(E323,'1.1a-Jaarprijzen'!B:G,6,FALSE)</f>
        <v>2</v>
      </c>
      <c r="E323" s="845" t="s">
        <v>672</v>
      </c>
      <c r="F323" s="798" t="s">
        <v>736</v>
      </c>
      <c r="G323" s="799" t="s">
        <v>461</v>
      </c>
      <c r="H323" s="573" t="s">
        <v>452</v>
      </c>
      <c r="I323" s="573" t="str">
        <f t="shared" si="86"/>
        <v>administratieve -, personeels- en vergaderruimte</v>
      </c>
      <c r="J323" s="694" t="s">
        <v>455</v>
      </c>
      <c r="K323" s="800">
        <v>21.6</v>
      </c>
      <c r="L323" s="800"/>
      <c r="M323" s="867">
        <v>1253</v>
      </c>
      <c r="N323" s="868"/>
      <c r="O323" s="869"/>
      <c r="P323" s="869"/>
      <c r="Q323" s="866">
        <f t="shared" si="79"/>
        <v>253</v>
      </c>
      <c r="R323" s="600">
        <v>1</v>
      </c>
      <c r="S323" s="600">
        <v>1</v>
      </c>
      <c r="T323" s="468">
        <f t="shared" si="80"/>
        <v>0</v>
      </c>
      <c r="U323" s="468">
        <f t="shared" si="81"/>
        <v>0</v>
      </c>
      <c r="V323" s="468">
        <f t="shared" si="82"/>
        <v>0</v>
      </c>
      <c r="W323" s="468">
        <f t="shared" si="83"/>
        <v>0</v>
      </c>
      <c r="X323" s="601">
        <f t="shared" si="73"/>
        <v>0</v>
      </c>
      <c r="Y323" s="601">
        <f t="shared" si="74"/>
        <v>0</v>
      </c>
      <c r="Z323" s="601">
        <f t="shared" si="75"/>
        <v>0</v>
      </c>
      <c r="AA323" s="601">
        <f t="shared" si="76"/>
        <v>0</v>
      </c>
      <c r="AB323" s="602" t="str">
        <f t="shared" si="77"/>
        <v>B</v>
      </c>
      <c r="AC323" s="847"/>
      <c r="AD323" s="603">
        <f>(T323+U323+V323)*'1.0-Contractblad'!$K$69</f>
        <v>0</v>
      </c>
      <c r="AE323" s="603"/>
      <c r="AF323" s="58">
        <f t="shared" si="78"/>
        <v>0</v>
      </c>
      <c r="AG323" s="58">
        <f t="shared" si="84"/>
        <v>5464.8</v>
      </c>
      <c r="AH323" s="58" t="str">
        <f t="shared" si="85"/>
        <v>1253-253</v>
      </c>
    </row>
    <row r="324" spans="1:34" ht="13">
      <c r="A324" s="134"/>
      <c r="B324" s="470"/>
      <c r="C324" s="471"/>
      <c r="D324" s="859">
        <f>VLOOKUP(E324,'1.1a-Jaarprijzen'!B:G,6,FALSE)</f>
        <v>2</v>
      </c>
      <c r="E324" s="845" t="s">
        <v>672</v>
      </c>
      <c r="F324" s="798" t="s">
        <v>469</v>
      </c>
      <c r="G324" s="799" t="s">
        <v>438</v>
      </c>
      <c r="H324" s="573" t="s">
        <v>667</v>
      </c>
      <c r="I324" s="573" t="str">
        <f t="shared" si="86"/>
        <v>sanitaire ruimte (toilet-/doucheruimte)</v>
      </c>
      <c r="J324" s="694" t="s">
        <v>600</v>
      </c>
      <c r="K324" s="800">
        <v>2.7</v>
      </c>
      <c r="L324" s="800"/>
      <c r="M324" s="867">
        <v>4253</v>
      </c>
      <c r="N324" s="868"/>
      <c r="O324" s="869"/>
      <c r="P324" s="869"/>
      <c r="Q324" s="866">
        <f t="shared" si="79"/>
        <v>253</v>
      </c>
      <c r="R324" s="600">
        <v>1</v>
      </c>
      <c r="S324" s="600">
        <v>1</v>
      </c>
      <c r="T324" s="468">
        <f t="shared" si="80"/>
        <v>0</v>
      </c>
      <c r="U324" s="468">
        <f t="shared" si="81"/>
        <v>0</v>
      </c>
      <c r="V324" s="468">
        <f t="shared" si="82"/>
        <v>0</v>
      </c>
      <c r="W324" s="468">
        <f t="shared" si="83"/>
        <v>0</v>
      </c>
      <c r="X324" s="601">
        <f t="shared" si="73"/>
        <v>0</v>
      </c>
      <c r="Y324" s="601">
        <f t="shared" si="74"/>
        <v>0</v>
      </c>
      <c r="Z324" s="601">
        <f t="shared" si="75"/>
        <v>0</v>
      </c>
      <c r="AA324" s="601">
        <f t="shared" si="76"/>
        <v>0</v>
      </c>
      <c r="AB324" s="602" t="str">
        <f t="shared" si="77"/>
        <v>S</v>
      </c>
      <c r="AC324" s="847"/>
      <c r="AD324" s="603">
        <f>(T324+U324+V324)*'1.0-Contractblad'!$K$69</f>
        <v>0</v>
      </c>
      <c r="AE324" s="603"/>
      <c r="AF324" s="58">
        <f t="shared" si="78"/>
        <v>0</v>
      </c>
      <c r="AG324" s="58">
        <f t="shared" si="84"/>
        <v>683.1</v>
      </c>
      <c r="AH324" s="58" t="str">
        <f t="shared" si="85"/>
        <v>4253-253</v>
      </c>
    </row>
    <row r="325" spans="1:34" ht="13">
      <c r="A325" s="134"/>
      <c r="B325" s="470"/>
      <c r="C325" s="471"/>
      <c r="D325" s="859">
        <f>VLOOKUP(E325,'1.1a-Jaarprijzen'!B:G,6,FALSE)</f>
        <v>2</v>
      </c>
      <c r="E325" s="845" t="s">
        <v>672</v>
      </c>
      <c r="F325" s="798" t="s">
        <v>469</v>
      </c>
      <c r="G325" s="799" t="s">
        <v>437</v>
      </c>
      <c r="H325" s="573" t="s">
        <v>668</v>
      </c>
      <c r="I325" s="573" t="str">
        <f t="shared" si="86"/>
        <v>sanitaire ruimte (toilet-/doucheruimte)</v>
      </c>
      <c r="J325" s="694" t="s">
        <v>669</v>
      </c>
      <c r="K325" s="800">
        <v>2</v>
      </c>
      <c r="L325" s="800"/>
      <c r="M325" s="867">
        <v>4253</v>
      </c>
      <c r="N325" s="868"/>
      <c r="O325" s="869"/>
      <c r="P325" s="869"/>
      <c r="Q325" s="866">
        <f t="shared" si="79"/>
        <v>253</v>
      </c>
      <c r="R325" s="600">
        <v>1</v>
      </c>
      <c r="S325" s="600">
        <v>1</v>
      </c>
      <c r="T325" s="468">
        <f t="shared" si="80"/>
        <v>0</v>
      </c>
      <c r="U325" s="468">
        <f t="shared" si="81"/>
        <v>0</v>
      </c>
      <c r="V325" s="468">
        <f t="shared" si="82"/>
        <v>0</v>
      </c>
      <c r="W325" s="468">
        <f t="shared" si="83"/>
        <v>0</v>
      </c>
      <c r="X325" s="601">
        <f t="shared" si="73"/>
        <v>0</v>
      </c>
      <c r="Y325" s="601">
        <f t="shared" si="74"/>
        <v>0</v>
      </c>
      <c r="Z325" s="601">
        <f t="shared" si="75"/>
        <v>0</v>
      </c>
      <c r="AA325" s="601">
        <f t="shared" si="76"/>
        <v>0</v>
      </c>
      <c r="AB325" s="602" t="str">
        <f t="shared" si="77"/>
        <v>S</v>
      </c>
      <c r="AC325" s="847"/>
      <c r="AD325" s="603">
        <f>(T325+U325+V325)*'1.0-Contractblad'!$K$69</f>
        <v>0</v>
      </c>
      <c r="AE325" s="603"/>
      <c r="AF325" s="58">
        <f t="shared" si="78"/>
        <v>0</v>
      </c>
      <c r="AG325" s="58">
        <f t="shared" si="84"/>
        <v>506</v>
      </c>
      <c r="AH325" s="58" t="str">
        <f t="shared" si="85"/>
        <v>4253-253</v>
      </c>
    </row>
    <row r="326" spans="1:34" ht="13">
      <c r="A326" s="134"/>
      <c r="B326" s="470"/>
      <c r="C326" s="471"/>
      <c r="D326" s="859">
        <f>VLOOKUP(E326,'1.1a-Jaarprijzen'!B:G,6,FALSE)</f>
        <v>2</v>
      </c>
      <c r="E326" s="845" t="s">
        <v>672</v>
      </c>
      <c r="F326" s="798" t="s">
        <v>469</v>
      </c>
      <c r="G326" s="799" t="s">
        <v>437</v>
      </c>
      <c r="H326" s="845" t="s">
        <v>670</v>
      </c>
      <c r="I326" s="573" t="str">
        <f t="shared" si="86"/>
        <v>entree, gang, hal, repro, kopieer</v>
      </c>
      <c r="J326" s="694" t="s">
        <v>455</v>
      </c>
      <c r="K326" s="800">
        <v>5</v>
      </c>
      <c r="L326" s="800"/>
      <c r="M326" s="867">
        <v>3253</v>
      </c>
      <c r="N326" s="868"/>
      <c r="O326" s="869"/>
      <c r="P326" s="869"/>
      <c r="Q326" s="866">
        <f t="shared" si="79"/>
        <v>253</v>
      </c>
      <c r="R326" s="600">
        <v>1</v>
      </c>
      <c r="S326" s="600">
        <v>1</v>
      </c>
      <c r="T326" s="468">
        <f t="shared" si="80"/>
        <v>0</v>
      </c>
      <c r="U326" s="468">
        <f t="shared" si="81"/>
        <v>0</v>
      </c>
      <c r="V326" s="468">
        <f t="shared" si="82"/>
        <v>0</v>
      </c>
      <c r="W326" s="468">
        <f t="shared" si="83"/>
        <v>0</v>
      </c>
      <c r="X326" s="601">
        <f t="shared" si="73"/>
        <v>0</v>
      </c>
      <c r="Y326" s="601">
        <f t="shared" si="74"/>
        <v>0</v>
      </c>
      <c r="Z326" s="601">
        <f t="shared" si="75"/>
        <v>0</v>
      </c>
      <c r="AA326" s="601">
        <f t="shared" si="76"/>
        <v>0</v>
      </c>
      <c r="AB326" s="602" t="str">
        <f t="shared" si="77"/>
        <v>V</v>
      </c>
      <c r="AC326" s="847"/>
      <c r="AD326" s="603">
        <f>(T326+U326+V326)*'1.0-Contractblad'!$K$69</f>
        <v>0</v>
      </c>
      <c r="AE326" s="603"/>
      <c r="AF326" s="58">
        <f t="shared" si="78"/>
        <v>0</v>
      </c>
      <c r="AG326" s="58">
        <f t="shared" si="84"/>
        <v>1265</v>
      </c>
      <c r="AH326" s="58" t="str">
        <f t="shared" si="85"/>
        <v>3253-253</v>
      </c>
    </row>
    <row r="327" spans="1:34" ht="13">
      <c r="A327" s="134"/>
      <c r="B327" s="470"/>
      <c r="C327" s="471"/>
      <c r="D327" s="859">
        <f>VLOOKUP(E327,'1.1a-Jaarprijzen'!B:G,6,FALSE)</f>
        <v>2</v>
      </c>
      <c r="E327" s="845" t="s">
        <v>672</v>
      </c>
      <c r="F327" s="798" t="s">
        <v>469</v>
      </c>
      <c r="G327" s="799" t="s">
        <v>438</v>
      </c>
      <c r="H327" s="573" t="s">
        <v>671</v>
      </c>
      <c r="I327" s="573" t="str">
        <f t="shared" si="86"/>
        <v>administratieve -, personeels- en vergaderruimte</v>
      </c>
      <c r="J327" s="694" t="s">
        <v>455</v>
      </c>
      <c r="K327" s="800">
        <v>18</v>
      </c>
      <c r="L327" s="800"/>
      <c r="M327" s="867">
        <v>1253</v>
      </c>
      <c r="N327" s="868"/>
      <c r="O327" s="869"/>
      <c r="P327" s="869"/>
      <c r="Q327" s="866">
        <f t="shared" si="79"/>
        <v>253</v>
      </c>
      <c r="R327" s="600">
        <v>1</v>
      </c>
      <c r="S327" s="600">
        <v>1</v>
      </c>
      <c r="T327" s="468">
        <f t="shared" si="80"/>
        <v>0</v>
      </c>
      <c r="U327" s="468">
        <f t="shared" si="81"/>
        <v>0</v>
      </c>
      <c r="V327" s="468">
        <f t="shared" si="82"/>
        <v>0</v>
      </c>
      <c r="W327" s="468">
        <f t="shared" si="83"/>
        <v>0</v>
      </c>
      <c r="X327" s="601">
        <f t="shared" si="73"/>
        <v>0</v>
      </c>
      <c r="Y327" s="601">
        <f t="shared" si="74"/>
        <v>0</v>
      </c>
      <c r="Z327" s="601">
        <f t="shared" si="75"/>
        <v>0</v>
      </c>
      <c r="AA327" s="601">
        <f t="shared" si="76"/>
        <v>0</v>
      </c>
      <c r="AB327" s="602" t="str">
        <f t="shared" si="77"/>
        <v>B</v>
      </c>
      <c r="AC327" s="847"/>
      <c r="AD327" s="603">
        <f>(T327+U327+V327)*'1.0-Contractblad'!$K$69</f>
        <v>0</v>
      </c>
      <c r="AE327" s="603"/>
      <c r="AF327" s="58">
        <f t="shared" si="78"/>
        <v>0</v>
      </c>
      <c r="AG327" s="58">
        <f t="shared" si="84"/>
        <v>4554</v>
      </c>
      <c r="AH327" s="58" t="str">
        <f t="shared" si="85"/>
        <v>1253-253</v>
      </c>
    </row>
    <row r="328" spans="1:34" ht="13">
      <c r="A328" s="134"/>
      <c r="B328" s="470"/>
      <c r="C328" s="471"/>
      <c r="D328" s="859">
        <f>VLOOKUP(E328,'1.1a-Jaarprijzen'!B:G,6,FALSE)</f>
        <v>2</v>
      </c>
      <c r="E328" s="845" t="s">
        <v>992</v>
      </c>
      <c r="F328" s="798" t="s">
        <v>469</v>
      </c>
      <c r="G328" s="799" t="s">
        <v>437</v>
      </c>
      <c r="H328" s="845" t="s">
        <v>526</v>
      </c>
      <c r="I328" s="573" t="str">
        <f t="shared" si="86"/>
        <v>buitenbordes</v>
      </c>
      <c r="J328" s="852" t="s">
        <v>340</v>
      </c>
      <c r="K328" s="800">
        <v>8.2100000000000009</v>
      </c>
      <c r="L328" s="800"/>
      <c r="M328" s="867">
        <v>16104</v>
      </c>
      <c r="N328" s="868"/>
      <c r="O328" s="869"/>
      <c r="P328" s="869"/>
      <c r="Q328" s="866">
        <f t="shared" si="79"/>
        <v>104</v>
      </c>
      <c r="R328" s="600">
        <v>1</v>
      </c>
      <c r="S328" s="600">
        <v>1</v>
      </c>
      <c r="T328" s="468">
        <f t="shared" si="80"/>
        <v>0</v>
      </c>
      <c r="U328" s="468">
        <f t="shared" si="81"/>
        <v>0</v>
      </c>
      <c r="V328" s="468">
        <f t="shared" si="82"/>
        <v>0</v>
      </c>
      <c r="W328" s="468">
        <f t="shared" si="83"/>
        <v>0</v>
      </c>
      <c r="X328" s="601">
        <f t="shared" si="73"/>
        <v>0</v>
      </c>
      <c r="Y328" s="601">
        <f t="shared" si="74"/>
        <v>0</v>
      </c>
      <c r="Z328" s="601">
        <f t="shared" si="75"/>
        <v>0</v>
      </c>
      <c r="AA328" s="601">
        <f t="shared" si="76"/>
        <v>0</v>
      </c>
      <c r="AB328" s="602" t="str">
        <f t="shared" si="77"/>
        <v>V</v>
      </c>
      <c r="AC328" s="847" t="s">
        <v>1229</v>
      </c>
      <c r="AD328" s="603">
        <f>(T328+U328+V328)*'1.0-Contractblad'!$K$69</f>
        <v>0</v>
      </c>
      <c r="AE328" s="603"/>
      <c r="AF328" s="58">
        <f t="shared" si="78"/>
        <v>0</v>
      </c>
      <c r="AG328" s="58">
        <f t="shared" si="84"/>
        <v>853.84000000000015</v>
      </c>
      <c r="AH328" s="58" t="str">
        <f t="shared" si="85"/>
        <v>16104-104</v>
      </c>
    </row>
    <row r="329" spans="1:34" ht="13">
      <c r="A329" s="134"/>
      <c r="B329" s="470"/>
      <c r="C329" s="471"/>
      <c r="D329" s="859">
        <f>VLOOKUP(E329,'1.1a-Jaarprijzen'!B:G,6,FALSE)</f>
        <v>2</v>
      </c>
      <c r="E329" s="845" t="s">
        <v>992</v>
      </c>
      <c r="F329" s="798" t="s">
        <v>469</v>
      </c>
      <c r="G329" s="799" t="s">
        <v>438</v>
      </c>
      <c r="H329" s="845" t="s">
        <v>556</v>
      </c>
      <c r="I329" s="573" t="str">
        <f t="shared" si="86"/>
        <v>entree, gang, hal, repro, kopieer</v>
      </c>
      <c r="J329" s="852" t="s">
        <v>566</v>
      </c>
      <c r="K329" s="800">
        <v>27.28</v>
      </c>
      <c r="L329" s="800"/>
      <c r="M329" s="867">
        <v>3104</v>
      </c>
      <c r="N329" s="868"/>
      <c r="O329" s="869"/>
      <c r="P329" s="869"/>
      <c r="Q329" s="866">
        <f t="shared" si="79"/>
        <v>104</v>
      </c>
      <c r="R329" s="600">
        <v>1</v>
      </c>
      <c r="S329" s="600">
        <v>1</v>
      </c>
      <c r="T329" s="468">
        <f t="shared" si="80"/>
        <v>0</v>
      </c>
      <c r="U329" s="468">
        <f t="shared" si="81"/>
        <v>0</v>
      </c>
      <c r="V329" s="468">
        <f t="shared" si="82"/>
        <v>0</v>
      </c>
      <c r="W329" s="468">
        <f t="shared" si="83"/>
        <v>0</v>
      </c>
      <c r="X329" s="601">
        <f t="shared" si="73"/>
        <v>0</v>
      </c>
      <c r="Y329" s="601">
        <f t="shared" si="74"/>
        <v>0</v>
      </c>
      <c r="Z329" s="601">
        <f t="shared" si="75"/>
        <v>0</v>
      </c>
      <c r="AA329" s="601">
        <f t="shared" si="76"/>
        <v>0</v>
      </c>
      <c r="AB329" s="602" t="str">
        <f t="shared" si="77"/>
        <v>V</v>
      </c>
      <c r="AC329" s="847" t="s">
        <v>1229</v>
      </c>
      <c r="AD329" s="603">
        <f>(T329+U329+V329)*'1.0-Contractblad'!$K$69</f>
        <v>0</v>
      </c>
      <c r="AE329" s="603"/>
      <c r="AF329" s="58">
        <f t="shared" si="78"/>
        <v>0</v>
      </c>
      <c r="AG329" s="58">
        <f t="shared" si="84"/>
        <v>2837.12</v>
      </c>
      <c r="AH329" s="58" t="str">
        <f t="shared" si="85"/>
        <v>3104-104</v>
      </c>
    </row>
    <row r="330" spans="1:34" ht="13">
      <c r="A330" s="134"/>
      <c r="B330" s="470"/>
      <c r="C330" s="471"/>
      <c r="D330" s="859">
        <f>VLOOKUP(E330,'1.1a-Jaarprijzen'!B:G,6,FALSE)</f>
        <v>2</v>
      </c>
      <c r="E330" s="845" t="s">
        <v>992</v>
      </c>
      <c r="F330" s="798" t="s">
        <v>469</v>
      </c>
      <c r="G330" s="799" t="s">
        <v>439</v>
      </c>
      <c r="H330" s="573" t="s">
        <v>557</v>
      </c>
      <c r="I330" s="573" t="str">
        <f t="shared" si="86"/>
        <v>verblijfsruimte</v>
      </c>
      <c r="J330" s="852" t="s">
        <v>455</v>
      </c>
      <c r="K330" s="800">
        <v>31</v>
      </c>
      <c r="L330" s="800"/>
      <c r="M330" s="867">
        <v>15104</v>
      </c>
      <c r="N330" s="868"/>
      <c r="O330" s="869"/>
      <c r="P330" s="869"/>
      <c r="Q330" s="866">
        <f t="shared" si="79"/>
        <v>104</v>
      </c>
      <c r="R330" s="600">
        <v>1</v>
      </c>
      <c r="S330" s="600">
        <v>1</v>
      </c>
      <c r="T330" s="468">
        <f t="shared" si="80"/>
        <v>0</v>
      </c>
      <c r="U330" s="468">
        <f t="shared" si="81"/>
        <v>0</v>
      </c>
      <c r="V330" s="468">
        <f t="shared" si="82"/>
        <v>0</v>
      </c>
      <c r="W330" s="468">
        <f t="shared" si="83"/>
        <v>0</v>
      </c>
      <c r="X330" s="601">
        <f t="shared" si="73"/>
        <v>0</v>
      </c>
      <c r="Y330" s="601">
        <f t="shared" si="74"/>
        <v>0</v>
      </c>
      <c r="Z330" s="601">
        <f t="shared" si="75"/>
        <v>0</v>
      </c>
      <c r="AA330" s="601">
        <f t="shared" si="76"/>
        <v>0</v>
      </c>
      <c r="AB330" s="602" t="str">
        <f t="shared" si="77"/>
        <v>V</v>
      </c>
      <c r="AC330" s="847" t="s">
        <v>1229</v>
      </c>
      <c r="AD330" s="603">
        <f>(T330+U330+V330)*'1.0-Contractblad'!$K$69</f>
        <v>0</v>
      </c>
      <c r="AE330" s="603"/>
      <c r="AF330" s="58">
        <f t="shared" si="78"/>
        <v>0</v>
      </c>
      <c r="AG330" s="58">
        <f t="shared" si="84"/>
        <v>3224</v>
      </c>
      <c r="AH330" s="58" t="str">
        <f t="shared" si="85"/>
        <v>15104-104</v>
      </c>
    </row>
    <row r="331" spans="1:34" ht="13">
      <c r="A331" s="134"/>
      <c r="B331" s="470"/>
      <c r="C331" s="471"/>
      <c r="D331" s="859">
        <f>VLOOKUP(E331,'1.1a-Jaarprijzen'!B:G,6,FALSE)</f>
        <v>2</v>
      </c>
      <c r="E331" s="845" t="s">
        <v>992</v>
      </c>
      <c r="F331" s="798" t="s">
        <v>469</v>
      </c>
      <c r="G331" s="799" t="s">
        <v>440</v>
      </c>
      <c r="H331" s="845" t="s">
        <v>558</v>
      </c>
      <c r="I331" s="573" t="str">
        <f t="shared" si="86"/>
        <v>kleedruimten</v>
      </c>
      <c r="J331" s="852" t="s">
        <v>462</v>
      </c>
      <c r="K331" s="800">
        <v>14.59</v>
      </c>
      <c r="L331" s="800"/>
      <c r="M331" s="867">
        <v>10104</v>
      </c>
      <c r="N331" s="868"/>
      <c r="O331" s="869"/>
      <c r="P331" s="869"/>
      <c r="Q331" s="866">
        <f t="shared" si="79"/>
        <v>104</v>
      </c>
      <c r="R331" s="600">
        <v>1</v>
      </c>
      <c r="S331" s="600">
        <v>1</v>
      </c>
      <c r="T331" s="468">
        <f t="shared" si="80"/>
        <v>0</v>
      </c>
      <c r="U331" s="468">
        <f t="shared" si="81"/>
        <v>0</v>
      </c>
      <c r="V331" s="468">
        <f t="shared" si="82"/>
        <v>0</v>
      </c>
      <c r="W331" s="468">
        <f t="shared" si="83"/>
        <v>0</v>
      </c>
      <c r="X331" s="601">
        <f t="shared" si="73"/>
        <v>0</v>
      </c>
      <c r="Y331" s="601">
        <f t="shared" si="74"/>
        <v>0</v>
      </c>
      <c r="Z331" s="601">
        <f t="shared" si="75"/>
        <v>0</v>
      </c>
      <c r="AA331" s="601">
        <f t="shared" si="76"/>
        <v>0</v>
      </c>
      <c r="AB331" s="602" t="str">
        <f t="shared" si="77"/>
        <v>V</v>
      </c>
      <c r="AC331" s="847" t="s">
        <v>1229</v>
      </c>
      <c r="AD331" s="603">
        <f>(T331+U331+V331)*'1.0-Contractblad'!$K$69</f>
        <v>0</v>
      </c>
      <c r="AE331" s="603"/>
      <c r="AF331" s="58">
        <f t="shared" si="78"/>
        <v>0</v>
      </c>
      <c r="AG331" s="58">
        <f t="shared" si="84"/>
        <v>1517.36</v>
      </c>
      <c r="AH331" s="58" t="str">
        <f t="shared" si="85"/>
        <v>10104-104</v>
      </c>
    </row>
    <row r="332" spans="1:34" ht="13">
      <c r="A332" s="134"/>
      <c r="B332" s="470"/>
      <c r="C332" s="471"/>
      <c r="D332" s="859">
        <f>VLOOKUP(E332,'1.1a-Jaarprijzen'!B:G,6,FALSE)</f>
        <v>2</v>
      </c>
      <c r="E332" s="845" t="s">
        <v>992</v>
      </c>
      <c r="F332" s="798" t="s">
        <v>469</v>
      </c>
      <c r="G332" s="799" t="s">
        <v>559</v>
      </c>
      <c r="H332" s="573" t="s">
        <v>493</v>
      </c>
      <c r="I332" s="573" t="str">
        <f t="shared" si="86"/>
        <v>sanitaire ruimte (toilet-/doucheruimte)</v>
      </c>
      <c r="J332" s="852" t="s">
        <v>462</v>
      </c>
      <c r="K332" s="800">
        <v>1.69</v>
      </c>
      <c r="L332" s="800"/>
      <c r="M332" s="867">
        <v>4104</v>
      </c>
      <c r="N332" s="868"/>
      <c r="O332" s="869"/>
      <c r="P332" s="869"/>
      <c r="Q332" s="866">
        <f t="shared" si="79"/>
        <v>104</v>
      </c>
      <c r="R332" s="600">
        <v>1</v>
      </c>
      <c r="S332" s="600">
        <v>1</v>
      </c>
      <c r="T332" s="468">
        <f t="shared" si="80"/>
        <v>0</v>
      </c>
      <c r="U332" s="468">
        <f t="shared" si="81"/>
        <v>0</v>
      </c>
      <c r="V332" s="468">
        <f t="shared" si="82"/>
        <v>0</v>
      </c>
      <c r="W332" s="468">
        <f t="shared" si="83"/>
        <v>0</v>
      </c>
      <c r="X332" s="601">
        <f t="shared" si="73"/>
        <v>0</v>
      </c>
      <c r="Y332" s="601">
        <f t="shared" si="74"/>
        <v>0</v>
      </c>
      <c r="Z332" s="601">
        <f t="shared" si="75"/>
        <v>0</v>
      </c>
      <c r="AA332" s="601">
        <f t="shared" si="76"/>
        <v>0</v>
      </c>
      <c r="AB332" s="602" t="str">
        <f t="shared" si="77"/>
        <v>S</v>
      </c>
      <c r="AC332" s="847" t="s">
        <v>1229</v>
      </c>
      <c r="AD332" s="603">
        <f>(T332+U332+V332)*'1.0-Contractblad'!$K$69</f>
        <v>0</v>
      </c>
      <c r="AE332" s="603"/>
      <c r="AF332" s="58">
        <f t="shared" si="78"/>
        <v>0</v>
      </c>
      <c r="AG332" s="58">
        <f t="shared" si="84"/>
        <v>175.76</v>
      </c>
      <c r="AH332" s="58" t="str">
        <f t="shared" si="85"/>
        <v>4104-104</v>
      </c>
    </row>
    <row r="333" spans="1:34" ht="13">
      <c r="A333" s="134"/>
      <c r="B333" s="470"/>
      <c r="C333" s="471"/>
      <c r="D333" s="859">
        <f>VLOOKUP(E333,'1.1a-Jaarprijzen'!B:G,6,FALSE)</f>
        <v>2</v>
      </c>
      <c r="E333" s="845" t="s">
        <v>992</v>
      </c>
      <c r="F333" s="798" t="s">
        <v>469</v>
      </c>
      <c r="G333" s="799" t="s">
        <v>560</v>
      </c>
      <c r="H333" s="573" t="s">
        <v>493</v>
      </c>
      <c r="I333" s="573" t="str">
        <f t="shared" si="86"/>
        <v>sanitaire ruimte (toilet-/doucheruimte)</v>
      </c>
      <c r="J333" s="852" t="s">
        <v>462</v>
      </c>
      <c r="K333" s="800">
        <v>1.69</v>
      </c>
      <c r="L333" s="800"/>
      <c r="M333" s="867">
        <v>4104</v>
      </c>
      <c r="N333" s="868"/>
      <c r="O333" s="869"/>
      <c r="P333" s="869"/>
      <c r="Q333" s="866">
        <f t="shared" si="79"/>
        <v>104</v>
      </c>
      <c r="R333" s="600">
        <v>1</v>
      </c>
      <c r="S333" s="600">
        <v>1</v>
      </c>
      <c r="T333" s="468">
        <f t="shared" si="80"/>
        <v>0</v>
      </c>
      <c r="U333" s="468">
        <f t="shared" si="81"/>
        <v>0</v>
      </c>
      <c r="V333" s="468">
        <f t="shared" si="82"/>
        <v>0</v>
      </c>
      <c r="W333" s="468">
        <f t="shared" si="83"/>
        <v>0</v>
      </c>
      <c r="X333" s="601">
        <f t="shared" si="73"/>
        <v>0</v>
      </c>
      <c r="Y333" s="601">
        <f t="shared" si="74"/>
        <v>0</v>
      </c>
      <c r="Z333" s="601">
        <f t="shared" si="75"/>
        <v>0</v>
      </c>
      <c r="AA333" s="601">
        <f t="shared" si="76"/>
        <v>0</v>
      </c>
      <c r="AB333" s="602" t="str">
        <f t="shared" si="77"/>
        <v>S</v>
      </c>
      <c r="AC333" s="847" t="s">
        <v>1229</v>
      </c>
      <c r="AD333" s="603">
        <f>(T333+U333+V333)*'1.0-Contractblad'!$K$69</f>
        <v>0</v>
      </c>
      <c r="AE333" s="603"/>
      <c r="AF333" s="58">
        <f t="shared" si="78"/>
        <v>0</v>
      </c>
      <c r="AG333" s="58">
        <f t="shared" si="84"/>
        <v>175.76</v>
      </c>
      <c r="AH333" s="58" t="str">
        <f t="shared" si="85"/>
        <v>4104-104</v>
      </c>
    </row>
    <row r="334" spans="1:34" ht="13">
      <c r="A334" s="134"/>
      <c r="B334" s="470"/>
      <c r="C334" s="471"/>
      <c r="D334" s="859">
        <f>VLOOKUP(E334,'1.1a-Jaarprijzen'!B:G,6,FALSE)</f>
        <v>2</v>
      </c>
      <c r="E334" s="845" t="s">
        <v>992</v>
      </c>
      <c r="F334" s="798" t="s">
        <v>469</v>
      </c>
      <c r="G334" s="799" t="s">
        <v>561</v>
      </c>
      <c r="H334" s="845" t="s">
        <v>466</v>
      </c>
      <c r="I334" s="573" t="str">
        <f t="shared" si="86"/>
        <v>sanitaire ruimte (toilet-/doucheruimte)</v>
      </c>
      <c r="J334" s="852" t="s">
        <v>462</v>
      </c>
      <c r="K334" s="800">
        <v>1.4</v>
      </c>
      <c r="L334" s="800"/>
      <c r="M334" s="867">
        <v>4104</v>
      </c>
      <c r="N334" s="868"/>
      <c r="O334" s="869"/>
      <c r="P334" s="869"/>
      <c r="Q334" s="866">
        <f t="shared" si="79"/>
        <v>104</v>
      </c>
      <c r="R334" s="600">
        <v>1</v>
      </c>
      <c r="S334" s="600">
        <v>1</v>
      </c>
      <c r="T334" s="468">
        <f t="shared" si="80"/>
        <v>0</v>
      </c>
      <c r="U334" s="468">
        <f t="shared" si="81"/>
        <v>0</v>
      </c>
      <c r="V334" s="468">
        <f t="shared" si="82"/>
        <v>0</v>
      </c>
      <c r="W334" s="468">
        <f t="shared" si="83"/>
        <v>0</v>
      </c>
      <c r="X334" s="601">
        <f t="shared" si="73"/>
        <v>0</v>
      </c>
      <c r="Y334" s="601">
        <f t="shared" si="74"/>
        <v>0</v>
      </c>
      <c r="Z334" s="601">
        <f t="shared" si="75"/>
        <v>0</v>
      </c>
      <c r="AA334" s="601">
        <f t="shared" si="76"/>
        <v>0</v>
      </c>
      <c r="AB334" s="602" t="str">
        <f t="shared" si="77"/>
        <v>S</v>
      </c>
      <c r="AC334" s="847" t="s">
        <v>1229</v>
      </c>
      <c r="AD334" s="603">
        <f>(T334+U334+V334)*'1.0-Contractblad'!$K$69</f>
        <v>0</v>
      </c>
      <c r="AE334" s="603"/>
      <c r="AF334" s="58">
        <f t="shared" si="78"/>
        <v>0</v>
      </c>
      <c r="AG334" s="58">
        <f t="shared" si="84"/>
        <v>145.6</v>
      </c>
      <c r="AH334" s="58" t="str">
        <f t="shared" si="85"/>
        <v>4104-104</v>
      </c>
    </row>
    <row r="335" spans="1:34" ht="13">
      <c r="A335" s="134"/>
      <c r="B335" s="470"/>
      <c r="C335" s="471"/>
      <c r="D335" s="859">
        <f>VLOOKUP(E335,'1.1a-Jaarprijzen'!B:G,6,FALSE)</f>
        <v>2</v>
      </c>
      <c r="E335" s="845" t="s">
        <v>992</v>
      </c>
      <c r="F335" s="798" t="s">
        <v>469</v>
      </c>
      <c r="G335" s="799" t="s">
        <v>441</v>
      </c>
      <c r="H335" s="845" t="s">
        <v>452</v>
      </c>
      <c r="I335" s="573" t="str">
        <f t="shared" si="86"/>
        <v>administratieve -, personeels- en vergaderruimte</v>
      </c>
      <c r="J335" s="852" t="s">
        <v>455</v>
      </c>
      <c r="K335" s="800">
        <v>48.5</v>
      </c>
      <c r="L335" s="800"/>
      <c r="M335" s="867">
        <v>1104</v>
      </c>
      <c r="N335" s="868"/>
      <c r="O335" s="869"/>
      <c r="P335" s="869"/>
      <c r="Q335" s="866">
        <f t="shared" si="79"/>
        <v>104</v>
      </c>
      <c r="R335" s="600">
        <v>1</v>
      </c>
      <c r="S335" s="600">
        <v>1</v>
      </c>
      <c r="T335" s="468">
        <f t="shared" si="80"/>
        <v>0</v>
      </c>
      <c r="U335" s="468">
        <f t="shared" si="81"/>
        <v>0</v>
      </c>
      <c r="V335" s="468">
        <f t="shared" si="82"/>
        <v>0</v>
      </c>
      <c r="W335" s="468">
        <f t="shared" si="83"/>
        <v>0</v>
      </c>
      <c r="X335" s="601">
        <f t="shared" si="73"/>
        <v>0</v>
      </c>
      <c r="Y335" s="601">
        <f t="shared" si="74"/>
        <v>0</v>
      </c>
      <c r="Z335" s="601">
        <f t="shared" si="75"/>
        <v>0</v>
      </c>
      <c r="AA335" s="601">
        <f t="shared" si="76"/>
        <v>0</v>
      </c>
      <c r="AB335" s="602" t="str">
        <f t="shared" si="77"/>
        <v>B</v>
      </c>
      <c r="AC335" s="847" t="s">
        <v>1229</v>
      </c>
      <c r="AD335" s="603">
        <f>(T335+U335+V335)*'1.0-Contractblad'!$K$69</f>
        <v>0</v>
      </c>
      <c r="AE335" s="603"/>
      <c r="AF335" s="58">
        <f t="shared" si="78"/>
        <v>0</v>
      </c>
      <c r="AG335" s="58">
        <f t="shared" si="84"/>
        <v>5044</v>
      </c>
      <c r="AH335" s="58" t="str">
        <f t="shared" si="85"/>
        <v>1104-104</v>
      </c>
    </row>
    <row r="336" spans="1:34" ht="13">
      <c r="A336" s="134"/>
      <c r="B336" s="470"/>
      <c r="C336" s="471"/>
      <c r="D336" s="859">
        <f>VLOOKUP(E336,'1.1a-Jaarprijzen'!B:G,6,FALSE)</f>
        <v>2</v>
      </c>
      <c r="E336" s="845" t="s">
        <v>992</v>
      </c>
      <c r="F336" s="798" t="s">
        <v>469</v>
      </c>
      <c r="G336" s="799" t="s">
        <v>442</v>
      </c>
      <c r="H336" s="845" t="s">
        <v>562</v>
      </c>
      <c r="I336" s="573" t="str">
        <f t="shared" si="86"/>
        <v>niet van toepassing</v>
      </c>
      <c r="J336" s="852" t="s">
        <v>326</v>
      </c>
      <c r="K336" s="800"/>
      <c r="L336" s="800">
        <v>21.68</v>
      </c>
      <c r="M336" s="867" t="s">
        <v>19</v>
      </c>
      <c r="N336" s="868"/>
      <c r="O336" s="869"/>
      <c r="P336" s="869"/>
      <c r="Q336" s="866">
        <f t="shared" si="79"/>
        <v>0</v>
      </c>
      <c r="R336" s="600">
        <v>1</v>
      </c>
      <c r="S336" s="600">
        <v>1</v>
      </c>
      <c r="T336" s="468">
        <f t="shared" si="80"/>
        <v>0</v>
      </c>
      <c r="U336" s="468">
        <f t="shared" si="81"/>
        <v>0</v>
      </c>
      <c r="V336" s="468">
        <f t="shared" si="82"/>
        <v>0</v>
      </c>
      <c r="W336" s="468">
        <f t="shared" si="83"/>
        <v>0</v>
      </c>
      <c r="X336" s="601">
        <f t="shared" si="73"/>
        <v>0</v>
      </c>
      <c r="Y336" s="601">
        <f t="shared" si="74"/>
        <v>0</v>
      </c>
      <c r="Z336" s="601">
        <f t="shared" si="75"/>
        <v>0</v>
      </c>
      <c r="AA336" s="601">
        <f t="shared" si="76"/>
        <v>0</v>
      </c>
      <c r="AB336" s="602">
        <f t="shared" si="77"/>
        <v>0</v>
      </c>
      <c r="AC336" s="847"/>
      <c r="AD336" s="603">
        <f>(T336+U336+V336)*'1.0-Contractblad'!$K$69</f>
        <v>0</v>
      </c>
      <c r="AE336" s="603"/>
      <c r="AF336" s="58">
        <f t="shared" si="78"/>
        <v>0</v>
      </c>
      <c r="AG336" s="58">
        <f t="shared" si="84"/>
        <v>0</v>
      </c>
      <c r="AH336" s="58" t="str">
        <f t="shared" si="85"/>
        <v>nvt-0</v>
      </c>
    </row>
    <row r="337" spans="1:34" ht="13">
      <c r="A337" s="134"/>
      <c r="B337" s="470"/>
      <c r="C337" s="471"/>
      <c r="D337" s="859">
        <f>VLOOKUP(E337,'1.1a-Jaarprijzen'!B:G,6,FALSE)</f>
        <v>2</v>
      </c>
      <c r="E337" s="845" t="s">
        <v>992</v>
      </c>
      <c r="F337" s="798" t="s">
        <v>469</v>
      </c>
      <c r="G337" s="799" t="s">
        <v>443</v>
      </c>
      <c r="H337" s="845" t="s">
        <v>563</v>
      </c>
      <c r="I337" s="573" t="str">
        <f t="shared" si="86"/>
        <v>entree, gang, hal, repro, kopieer</v>
      </c>
      <c r="J337" s="852" t="s">
        <v>567</v>
      </c>
      <c r="K337" s="800">
        <v>4.76</v>
      </c>
      <c r="L337" s="800"/>
      <c r="M337" s="867">
        <v>3104</v>
      </c>
      <c r="N337" s="868"/>
      <c r="O337" s="869"/>
      <c r="P337" s="869"/>
      <c r="Q337" s="866">
        <f t="shared" si="79"/>
        <v>104</v>
      </c>
      <c r="R337" s="600">
        <v>1</v>
      </c>
      <c r="S337" s="600">
        <v>1</v>
      </c>
      <c r="T337" s="468">
        <f t="shared" si="80"/>
        <v>0</v>
      </c>
      <c r="U337" s="468">
        <f t="shared" si="81"/>
        <v>0</v>
      </c>
      <c r="V337" s="468">
        <f t="shared" si="82"/>
        <v>0</v>
      </c>
      <c r="W337" s="468">
        <f t="shared" si="83"/>
        <v>0</v>
      </c>
      <c r="X337" s="601">
        <f t="shared" si="73"/>
        <v>0</v>
      </c>
      <c r="Y337" s="601">
        <f t="shared" si="74"/>
        <v>0</v>
      </c>
      <c r="Z337" s="601">
        <f t="shared" si="75"/>
        <v>0</v>
      </c>
      <c r="AA337" s="601">
        <f t="shared" si="76"/>
        <v>0</v>
      </c>
      <c r="AB337" s="602" t="str">
        <f t="shared" si="77"/>
        <v>V</v>
      </c>
      <c r="AC337" s="847" t="s">
        <v>1229</v>
      </c>
      <c r="AD337" s="603">
        <f>(T337+U337+V337)*'1.0-Contractblad'!$K$69</f>
        <v>0</v>
      </c>
      <c r="AE337" s="603"/>
      <c r="AF337" s="58">
        <f t="shared" si="78"/>
        <v>0</v>
      </c>
      <c r="AG337" s="58">
        <f t="shared" si="84"/>
        <v>495.03999999999996</v>
      </c>
      <c r="AH337" s="58" t="str">
        <f t="shared" si="85"/>
        <v>3104-104</v>
      </c>
    </row>
    <row r="338" spans="1:34" ht="13">
      <c r="A338" s="134"/>
      <c r="B338" s="470"/>
      <c r="C338" s="471"/>
      <c r="D338" s="859">
        <f>VLOOKUP(E338,'1.1a-Jaarprijzen'!B:G,6,FALSE)</f>
        <v>2</v>
      </c>
      <c r="E338" s="845" t="s">
        <v>992</v>
      </c>
      <c r="F338" s="798" t="s">
        <v>469</v>
      </c>
      <c r="G338" s="799" t="s">
        <v>444</v>
      </c>
      <c r="H338" s="845" t="s">
        <v>466</v>
      </c>
      <c r="I338" s="573" t="str">
        <f t="shared" si="86"/>
        <v>sanitaire ruimte (toilet-/doucheruimte)</v>
      </c>
      <c r="J338" s="852" t="s">
        <v>462</v>
      </c>
      <c r="K338" s="800">
        <v>1.1399999999999999</v>
      </c>
      <c r="L338" s="800"/>
      <c r="M338" s="867">
        <v>4104</v>
      </c>
      <c r="N338" s="868"/>
      <c r="O338" s="869"/>
      <c r="P338" s="869"/>
      <c r="Q338" s="866">
        <f t="shared" si="79"/>
        <v>104</v>
      </c>
      <c r="R338" s="600">
        <v>1</v>
      </c>
      <c r="S338" s="600">
        <v>1</v>
      </c>
      <c r="T338" s="468">
        <f t="shared" si="80"/>
        <v>0</v>
      </c>
      <c r="U338" s="468">
        <f t="shared" si="81"/>
        <v>0</v>
      </c>
      <c r="V338" s="468">
        <f t="shared" si="82"/>
        <v>0</v>
      </c>
      <c r="W338" s="468">
        <f t="shared" si="83"/>
        <v>0</v>
      </c>
      <c r="X338" s="601">
        <f t="shared" si="73"/>
        <v>0</v>
      </c>
      <c r="Y338" s="601">
        <f t="shared" si="74"/>
        <v>0</v>
      </c>
      <c r="Z338" s="601">
        <f t="shared" si="75"/>
        <v>0</v>
      </c>
      <c r="AA338" s="601">
        <f t="shared" si="76"/>
        <v>0</v>
      </c>
      <c r="AB338" s="602" t="str">
        <f t="shared" si="77"/>
        <v>S</v>
      </c>
      <c r="AC338" s="847" t="s">
        <v>1229</v>
      </c>
      <c r="AD338" s="603">
        <f>(T338+U338+V338)*'1.0-Contractblad'!$K$69</f>
        <v>0</v>
      </c>
      <c r="AE338" s="603"/>
      <c r="AF338" s="58">
        <f t="shared" si="78"/>
        <v>0</v>
      </c>
      <c r="AG338" s="58">
        <f t="shared" si="84"/>
        <v>118.55999999999999</v>
      </c>
      <c r="AH338" s="58" t="str">
        <f t="shared" si="85"/>
        <v>4104-104</v>
      </c>
    </row>
    <row r="339" spans="1:34" ht="13">
      <c r="A339" s="134"/>
      <c r="B339" s="470"/>
      <c r="C339" s="471"/>
      <c r="D339" s="859">
        <f>VLOOKUP(E339,'1.1a-Jaarprijzen'!B:G,6,FALSE)</f>
        <v>2</v>
      </c>
      <c r="E339" s="845" t="s">
        <v>992</v>
      </c>
      <c r="F339" s="798" t="s">
        <v>469</v>
      </c>
      <c r="G339" s="799" t="s">
        <v>445</v>
      </c>
      <c r="H339" s="845" t="s">
        <v>466</v>
      </c>
      <c r="I339" s="573" t="str">
        <f t="shared" si="86"/>
        <v>sanitaire ruimte (toilet-/doucheruimte)</v>
      </c>
      <c r="J339" s="852" t="s">
        <v>462</v>
      </c>
      <c r="K339" s="800">
        <v>1.82</v>
      </c>
      <c r="L339" s="800"/>
      <c r="M339" s="867">
        <v>4104</v>
      </c>
      <c r="N339" s="868"/>
      <c r="O339" s="869"/>
      <c r="P339" s="869"/>
      <c r="Q339" s="866">
        <f t="shared" si="79"/>
        <v>104</v>
      </c>
      <c r="R339" s="600">
        <v>1</v>
      </c>
      <c r="S339" s="600">
        <v>1</v>
      </c>
      <c r="T339" s="468">
        <f t="shared" si="80"/>
        <v>0</v>
      </c>
      <c r="U339" s="468">
        <f t="shared" si="81"/>
        <v>0</v>
      </c>
      <c r="V339" s="468">
        <f t="shared" si="82"/>
        <v>0</v>
      </c>
      <c r="W339" s="468">
        <f t="shared" si="83"/>
        <v>0</v>
      </c>
      <c r="X339" s="601">
        <f t="shared" si="73"/>
        <v>0</v>
      </c>
      <c r="Y339" s="601">
        <f t="shared" si="74"/>
        <v>0</v>
      </c>
      <c r="Z339" s="601">
        <f t="shared" si="75"/>
        <v>0</v>
      </c>
      <c r="AA339" s="601">
        <f t="shared" si="76"/>
        <v>0</v>
      </c>
      <c r="AB339" s="602" t="str">
        <f t="shared" si="77"/>
        <v>S</v>
      </c>
      <c r="AC339" s="847" t="s">
        <v>1229</v>
      </c>
      <c r="AD339" s="603">
        <f>(T339+U339+V339)*'1.0-Contractblad'!$K$69</f>
        <v>0</v>
      </c>
      <c r="AE339" s="603"/>
      <c r="AF339" s="58">
        <f t="shared" si="78"/>
        <v>0</v>
      </c>
      <c r="AG339" s="58">
        <f t="shared" si="84"/>
        <v>189.28</v>
      </c>
      <c r="AH339" s="58" t="str">
        <f t="shared" si="85"/>
        <v>4104-104</v>
      </c>
    </row>
    <row r="340" spans="1:34" ht="13">
      <c r="A340" s="134"/>
      <c r="B340" s="470"/>
      <c r="C340" s="471"/>
      <c r="D340" s="859">
        <f>VLOOKUP(E340,'1.1a-Jaarprijzen'!B:G,6,FALSE)</f>
        <v>2</v>
      </c>
      <c r="E340" s="845" t="s">
        <v>992</v>
      </c>
      <c r="F340" s="798" t="s">
        <v>469</v>
      </c>
      <c r="G340" s="799" t="s">
        <v>446</v>
      </c>
      <c r="H340" s="845" t="s">
        <v>452</v>
      </c>
      <c r="I340" s="573" t="str">
        <f t="shared" si="86"/>
        <v>administratieve -, personeels- en vergaderruimte</v>
      </c>
      <c r="J340" s="852" t="s">
        <v>455</v>
      </c>
      <c r="K340" s="800">
        <v>12.89</v>
      </c>
      <c r="L340" s="800"/>
      <c r="M340" s="867">
        <v>1104</v>
      </c>
      <c r="N340" s="868"/>
      <c r="O340" s="869"/>
      <c r="P340" s="869"/>
      <c r="Q340" s="866">
        <f t="shared" si="79"/>
        <v>104</v>
      </c>
      <c r="R340" s="600">
        <v>1</v>
      </c>
      <c r="S340" s="600">
        <v>1</v>
      </c>
      <c r="T340" s="468">
        <f t="shared" si="80"/>
        <v>0</v>
      </c>
      <c r="U340" s="468">
        <f t="shared" si="81"/>
        <v>0</v>
      </c>
      <c r="V340" s="468">
        <f t="shared" si="82"/>
        <v>0</v>
      </c>
      <c r="W340" s="468">
        <f t="shared" si="83"/>
        <v>0</v>
      </c>
      <c r="X340" s="601">
        <f t="shared" si="73"/>
        <v>0</v>
      </c>
      <c r="Y340" s="601">
        <f t="shared" si="74"/>
        <v>0</v>
      </c>
      <c r="Z340" s="601">
        <f t="shared" si="75"/>
        <v>0</v>
      </c>
      <c r="AA340" s="601">
        <f t="shared" si="76"/>
        <v>0</v>
      </c>
      <c r="AB340" s="602" t="str">
        <f t="shared" si="77"/>
        <v>B</v>
      </c>
      <c r="AC340" s="847" t="s">
        <v>1229</v>
      </c>
      <c r="AD340" s="603">
        <f>(T340+U340+V340)*'1.0-Contractblad'!$K$69</f>
        <v>0</v>
      </c>
      <c r="AE340" s="603"/>
      <c r="AF340" s="58">
        <f t="shared" si="78"/>
        <v>0</v>
      </c>
      <c r="AG340" s="58">
        <f t="shared" si="84"/>
        <v>1340.56</v>
      </c>
      <c r="AH340" s="58" t="str">
        <f t="shared" si="85"/>
        <v>1104-104</v>
      </c>
    </row>
    <row r="341" spans="1:34" ht="13">
      <c r="A341" s="134"/>
      <c r="B341" s="470"/>
      <c r="C341" s="471"/>
      <c r="D341" s="859">
        <f>VLOOKUP(E341,'1.1a-Jaarprijzen'!B:G,6,FALSE)</f>
        <v>2</v>
      </c>
      <c r="E341" s="845" t="s">
        <v>992</v>
      </c>
      <c r="F341" s="798" t="s">
        <v>736</v>
      </c>
      <c r="G341" s="799" t="s">
        <v>456</v>
      </c>
      <c r="H341" s="845" t="s">
        <v>564</v>
      </c>
      <c r="I341" s="573" t="str">
        <f t="shared" si="86"/>
        <v>buitenbordes</v>
      </c>
      <c r="J341" s="852" t="s">
        <v>462</v>
      </c>
      <c r="K341" s="800">
        <v>12.2</v>
      </c>
      <c r="L341" s="800"/>
      <c r="M341" s="867">
        <v>16104</v>
      </c>
      <c r="N341" s="868"/>
      <c r="O341" s="869"/>
      <c r="P341" s="869"/>
      <c r="Q341" s="866">
        <f t="shared" si="79"/>
        <v>104</v>
      </c>
      <c r="R341" s="600">
        <v>1</v>
      </c>
      <c r="S341" s="600">
        <v>1</v>
      </c>
      <c r="T341" s="468">
        <f t="shared" si="80"/>
        <v>0</v>
      </c>
      <c r="U341" s="468">
        <f t="shared" si="81"/>
        <v>0</v>
      </c>
      <c r="V341" s="468">
        <f t="shared" si="82"/>
        <v>0</v>
      </c>
      <c r="W341" s="468">
        <f t="shared" si="83"/>
        <v>0</v>
      </c>
      <c r="X341" s="601">
        <f t="shared" si="73"/>
        <v>0</v>
      </c>
      <c r="Y341" s="601">
        <f t="shared" si="74"/>
        <v>0</v>
      </c>
      <c r="Z341" s="601">
        <f t="shared" si="75"/>
        <v>0</v>
      </c>
      <c r="AA341" s="601">
        <f t="shared" si="76"/>
        <v>0</v>
      </c>
      <c r="AB341" s="602" t="str">
        <f t="shared" si="77"/>
        <v>V</v>
      </c>
      <c r="AC341" s="847" t="s">
        <v>1229</v>
      </c>
      <c r="AD341" s="603">
        <f>(T341+U341+V341)*'1.0-Contractblad'!$K$69</f>
        <v>0</v>
      </c>
      <c r="AE341" s="603"/>
      <c r="AF341" s="58">
        <f t="shared" si="78"/>
        <v>0</v>
      </c>
      <c r="AG341" s="58">
        <f t="shared" si="84"/>
        <v>1268.8</v>
      </c>
      <c r="AH341" s="58" t="str">
        <f t="shared" si="85"/>
        <v>16104-104</v>
      </c>
    </row>
    <row r="342" spans="1:34" ht="13">
      <c r="A342" s="134"/>
      <c r="B342" s="470"/>
      <c r="C342" s="471"/>
      <c r="D342" s="859">
        <f>VLOOKUP(E342,'1.1a-Jaarprijzen'!B:G,6,FALSE)</f>
        <v>2</v>
      </c>
      <c r="E342" s="845" t="s">
        <v>992</v>
      </c>
      <c r="F342" s="798" t="s">
        <v>736</v>
      </c>
      <c r="G342" s="799" t="s">
        <v>457</v>
      </c>
      <c r="H342" s="845" t="s">
        <v>466</v>
      </c>
      <c r="I342" s="573" t="str">
        <f t="shared" si="86"/>
        <v>sanitaire ruimte (toilet-/doucheruimte)</v>
      </c>
      <c r="J342" s="852" t="s">
        <v>462</v>
      </c>
      <c r="K342" s="800">
        <v>1.33</v>
      </c>
      <c r="L342" s="800"/>
      <c r="M342" s="867">
        <v>4104</v>
      </c>
      <c r="N342" s="868"/>
      <c r="O342" s="869"/>
      <c r="P342" s="869"/>
      <c r="Q342" s="866">
        <f t="shared" si="79"/>
        <v>104</v>
      </c>
      <c r="R342" s="600">
        <v>1</v>
      </c>
      <c r="S342" s="600">
        <v>1</v>
      </c>
      <c r="T342" s="468">
        <f t="shared" si="80"/>
        <v>0</v>
      </c>
      <c r="U342" s="468">
        <f t="shared" si="81"/>
        <v>0</v>
      </c>
      <c r="V342" s="468">
        <f t="shared" si="82"/>
        <v>0</v>
      </c>
      <c r="W342" s="468">
        <f t="shared" si="83"/>
        <v>0</v>
      </c>
      <c r="X342" s="601">
        <f t="shared" si="73"/>
        <v>0</v>
      </c>
      <c r="Y342" s="601">
        <f t="shared" si="74"/>
        <v>0</v>
      </c>
      <c r="Z342" s="601">
        <f t="shared" si="75"/>
        <v>0</v>
      </c>
      <c r="AA342" s="601">
        <f t="shared" si="76"/>
        <v>0</v>
      </c>
      <c r="AB342" s="602" t="str">
        <f t="shared" si="77"/>
        <v>S</v>
      </c>
      <c r="AC342" s="847" t="s">
        <v>1229</v>
      </c>
      <c r="AD342" s="603">
        <f>(T342+U342+V342)*'1.0-Contractblad'!$K$69</f>
        <v>0</v>
      </c>
      <c r="AE342" s="603"/>
      <c r="AF342" s="58">
        <f t="shared" si="78"/>
        <v>0</v>
      </c>
      <c r="AG342" s="58">
        <f t="shared" si="84"/>
        <v>138.32</v>
      </c>
      <c r="AH342" s="58" t="str">
        <f t="shared" si="85"/>
        <v>4104-104</v>
      </c>
    </row>
    <row r="343" spans="1:34" ht="13">
      <c r="A343" s="134"/>
      <c r="B343" s="470"/>
      <c r="C343" s="471"/>
      <c r="D343" s="859">
        <f>VLOOKUP(E343,'1.1a-Jaarprijzen'!B:G,6,FALSE)</f>
        <v>2</v>
      </c>
      <c r="E343" s="845" t="s">
        <v>992</v>
      </c>
      <c r="F343" s="798" t="s">
        <v>736</v>
      </c>
      <c r="G343" s="799" t="s">
        <v>458</v>
      </c>
      <c r="H343" s="845" t="s">
        <v>545</v>
      </c>
      <c r="I343" s="573" t="str">
        <f t="shared" si="86"/>
        <v>labruimte</v>
      </c>
      <c r="J343" s="852" t="s">
        <v>477</v>
      </c>
      <c r="K343" s="800">
        <v>48.44</v>
      </c>
      <c r="L343" s="800"/>
      <c r="M343" s="867">
        <v>8104</v>
      </c>
      <c r="N343" s="868"/>
      <c r="O343" s="869"/>
      <c r="P343" s="869"/>
      <c r="Q343" s="866">
        <f t="shared" si="79"/>
        <v>104</v>
      </c>
      <c r="R343" s="600">
        <v>1</v>
      </c>
      <c r="S343" s="600">
        <v>1</v>
      </c>
      <c r="T343" s="468">
        <f t="shared" si="80"/>
        <v>0</v>
      </c>
      <c r="U343" s="468">
        <f t="shared" si="81"/>
        <v>0</v>
      </c>
      <c r="V343" s="468">
        <f t="shared" si="82"/>
        <v>0</v>
      </c>
      <c r="W343" s="468">
        <f t="shared" si="83"/>
        <v>0</v>
      </c>
      <c r="X343" s="601">
        <f t="shared" si="73"/>
        <v>0</v>
      </c>
      <c r="Y343" s="601">
        <f t="shared" si="74"/>
        <v>0</v>
      </c>
      <c r="Z343" s="601">
        <f t="shared" si="75"/>
        <v>0</v>
      </c>
      <c r="AA343" s="601">
        <f t="shared" si="76"/>
        <v>0</v>
      </c>
      <c r="AB343" s="602" t="str">
        <f t="shared" si="77"/>
        <v>V</v>
      </c>
      <c r="AC343" s="847" t="s">
        <v>1229</v>
      </c>
      <c r="AD343" s="603">
        <f>(T343+U343+V343)*'1.0-Contractblad'!$K$69</f>
        <v>0</v>
      </c>
      <c r="AE343" s="603"/>
      <c r="AF343" s="58">
        <f t="shared" si="78"/>
        <v>0</v>
      </c>
      <c r="AG343" s="58">
        <f t="shared" si="84"/>
        <v>5037.76</v>
      </c>
      <c r="AH343" s="58" t="str">
        <f t="shared" si="85"/>
        <v>8104-104</v>
      </c>
    </row>
    <row r="344" spans="1:34" ht="13">
      <c r="A344" s="134"/>
      <c r="B344" s="470"/>
      <c r="C344" s="471"/>
      <c r="D344" s="859">
        <f>VLOOKUP(E344,'1.1a-Jaarprijzen'!B:G,6,FALSE)</f>
        <v>2</v>
      </c>
      <c r="E344" s="845" t="s">
        <v>992</v>
      </c>
      <c r="F344" s="798" t="s">
        <v>736</v>
      </c>
      <c r="G344" s="799" t="s">
        <v>459</v>
      </c>
      <c r="H344" s="845" t="s">
        <v>545</v>
      </c>
      <c r="I344" s="573" t="str">
        <f t="shared" si="86"/>
        <v>labruimte</v>
      </c>
      <c r="J344" s="852" t="s">
        <v>477</v>
      </c>
      <c r="K344" s="800">
        <v>11.34</v>
      </c>
      <c r="L344" s="800"/>
      <c r="M344" s="867">
        <v>8104</v>
      </c>
      <c r="N344" s="868"/>
      <c r="O344" s="869"/>
      <c r="P344" s="869"/>
      <c r="Q344" s="866">
        <f t="shared" si="79"/>
        <v>104</v>
      </c>
      <c r="R344" s="600">
        <v>1</v>
      </c>
      <c r="S344" s="600">
        <v>1</v>
      </c>
      <c r="T344" s="468">
        <f t="shared" si="80"/>
        <v>0</v>
      </c>
      <c r="U344" s="468">
        <f t="shared" si="81"/>
        <v>0</v>
      </c>
      <c r="V344" s="468">
        <f t="shared" si="82"/>
        <v>0</v>
      </c>
      <c r="W344" s="468">
        <f t="shared" si="83"/>
        <v>0</v>
      </c>
      <c r="X344" s="601">
        <f t="shared" si="73"/>
        <v>0</v>
      </c>
      <c r="Y344" s="601">
        <f t="shared" si="74"/>
        <v>0</v>
      </c>
      <c r="Z344" s="601">
        <f t="shared" si="75"/>
        <v>0</v>
      </c>
      <c r="AA344" s="601">
        <f t="shared" si="76"/>
        <v>0</v>
      </c>
      <c r="AB344" s="602" t="str">
        <f t="shared" si="77"/>
        <v>V</v>
      </c>
      <c r="AC344" s="847" t="s">
        <v>1229</v>
      </c>
      <c r="AD344" s="603">
        <f>(T344+U344+V344)*'1.0-Contractblad'!$K$69</f>
        <v>0</v>
      </c>
      <c r="AE344" s="603"/>
      <c r="AF344" s="58">
        <f t="shared" si="78"/>
        <v>0</v>
      </c>
      <c r="AG344" s="58">
        <f t="shared" si="84"/>
        <v>1179.3599999999999</v>
      </c>
      <c r="AH344" s="58" t="str">
        <f t="shared" si="85"/>
        <v>8104-104</v>
      </c>
    </row>
    <row r="345" spans="1:34" ht="13">
      <c r="A345" s="134"/>
      <c r="B345" s="470"/>
      <c r="C345" s="471"/>
      <c r="D345" s="859">
        <f>VLOOKUP(E345,'1.1a-Jaarprijzen'!B:G,6,FALSE)</f>
        <v>2</v>
      </c>
      <c r="E345" s="845" t="s">
        <v>992</v>
      </c>
      <c r="F345" s="798" t="s">
        <v>736</v>
      </c>
      <c r="G345" s="799" t="s">
        <v>460</v>
      </c>
      <c r="H345" s="845" t="s">
        <v>565</v>
      </c>
      <c r="I345" s="573" t="str">
        <f t="shared" si="86"/>
        <v>administratieve -, personeels- en vergaderruimte</v>
      </c>
      <c r="J345" s="852" t="s">
        <v>455</v>
      </c>
      <c r="K345" s="800">
        <v>33.47</v>
      </c>
      <c r="L345" s="800"/>
      <c r="M345" s="867">
        <v>1104</v>
      </c>
      <c r="N345" s="868"/>
      <c r="O345" s="869"/>
      <c r="P345" s="869"/>
      <c r="Q345" s="866">
        <f t="shared" si="79"/>
        <v>104</v>
      </c>
      <c r="R345" s="600">
        <v>1</v>
      </c>
      <c r="S345" s="600">
        <v>1</v>
      </c>
      <c r="T345" s="468">
        <f t="shared" si="80"/>
        <v>0</v>
      </c>
      <c r="U345" s="468">
        <f t="shared" si="81"/>
        <v>0</v>
      </c>
      <c r="V345" s="468">
        <f t="shared" si="82"/>
        <v>0</v>
      </c>
      <c r="W345" s="468">
        <f t="shared" si="83"/>
        <v>0</v>
      </c>
      <c r="X345" s="601">
        <f t="shared" si="73"/>
        <v>0</v>
      </c>
      <c r="Y345" s="601">
        <f t="shared" si="74"/>
        <v>0</v>
      </c>
      <c r="Z345" s="601">
        <f t="shared" si="75"/>
        <v>0</v>
      </c>
      <c r="AA345" s="601">
        <f t="shared" si="76"/>
        <v>0</v>
      </c>
      <c r="AB345" s="602" t="str">
        <f t="shared" si="77"/>
        <v>B</v>
      </c>
      <c r="AC345" s="847" t="s">
        <v>1229</v>
      </c>
      <c r="AD345" s="603">
        <f>(T345+U345+V345)*'1.0-Contractblad'!$K$69</f>
        <v>0</v>
      </c>
      <c r="AE345" s="603"/>
      <c r="AF345" s="58">
        <f t="shared" si="78"/>
        <v>0</v>
      </c>
      <c r="AG345" s="58">
        <f t="shared" si="84"/>
        <v>3480.88</v>
      </c>
      <c r="AH345" s="58" t="str">
        <f t="shared" si="85"/>
        <v>1104-104</v>
      </c>
    </row>
    <row r="346" spans="1:34" ht="13">
      <c r="A346" s="134"/>
      <c r="B346" s="470"/>
      <c r="C346" s="471"/>
      <c r="D346" s="859">
        <f>VLOOKUP(E346,'1.1a-Jaarprijzen'!B:G,6,FALSE)</f>
        <v>2</v>
      </c>
      <c r="E346" s="845" t="s">
        <v>992</v>
      </c>
      <c r="F346" s="798" t="s">
        <v>469</v>
      </c>
      <c r="G346" s="799" t="s">
        <v>1096</v>
      </c>
      <c r="H346" s="845" t="s">
        <v>562</v>
      </c>
      <c r="I346" s="573" t="str">
        <f t="shared" si="86"/>
        <v>niet van toepassing</v>
      </c>
      <c r="J346" s="852" t="s">
        <v>455</v>
      </c>
      <c r="K346" s="800"/>
      <c r="L346" s="800">
        <v>8.56</v>
      </c>
      <c r="M346" s="867" t="s">
        <v>19</v>
      </c>
      <c r="N346" s="868"/>
      <c r="O346" s="869"/>
      <c r="P346" s="869"/>
      <c r="Q346" s="866">
        <f t="shared" si="79"/>
        <v>0</v>
      </c>
      <c r="R346" s="600">
        <v>1</v>
      </c>
      <c r="S346" s="600">
        <v>1</v>
      </c>
      <c r="T346" s="468">
        <f t="shared" si="80"/>
        <v>0</v>
      </c>
      <c r="U346" s="468">
        <f t="shared" si="81"/>
        <v>0</v>
      </c>
      <c r="V346" s="468">
        <f t="shared" si="82"/>
        <v>0</v>
      </c>
      <c r="W346" s="468">
        <f t="shared" si="83"/>
        <v>0</v>
      </c>
      <c r="X346" s="601">
        <f t="shared" si="73"/>
        <v>0</v>
      </c>
      <c r="Y346" s="601">
        <f t="shared" si="74"/>
        <v>0</v>
      </c>
      <c r="Z346" s="601">
        <f t="shared" si="75"/>
        <v>0</v>
      </c>
      <c r="AA346" s="601">
        <f t="shared" si="76"/>
        <v>0</v>
      </c>
      <c r="AB346" s="602">
        <f t="shared" si="77"/>
        <v>0</v>
      </c>
      <c r="AC346" s="847"/>
      <c r="AD346" s="603">
        <f>(T346+U346+V346)*'1.0-Contractblad'!$K$69</f>
        <v>0</v>
      </c>
      <c r="AE346" s="603"/>
      <c r="AF346" s="58">
        <f t="shared" si="78"/>
        <v>0</v>
      </c>
      <c r="AG346" s="58">
        <f t="shared" si="84"/>
        <v>0</v>
      </c>
      <c r="AH346" s="58" t="str">
        <f t="shared" si="85"/>
        <v>nvt-0</v>
      </c>
    </row>
    <row r="347" spans="1:34" ht="13">
      <c r="A347" s="134"/>
      <c r="B347" s="470"/>
      <c r="C347" s="471"/>
      <c r="D347" s="859">
        <f>VLOOKUP(E347,'1.1a-Jaarprijzen'!B:G,6,FALSE)</f>
        <v>2</v>
      </c>
      <c r="E347" s="845" t="s">
        <v>992</v>
      </c>
      <c r="F347" s="798" t="s">
        <v>469</v>
      </c>
      <c r="G347" s="799" t="s">
        <v>1097</v>
      </c>
      <c r="H347" s="845" t="s">
        <v>562</v>
      </c>
      <c r="I347" s="573" t="str">
        <f t="shared" si="86"/>
        <v>niet van toepassing</v>
      </c>
      <c r="J347" s="852" t="s">
        <v>462</v>
      </c>
      <c r="K347" s="800"/>
      <c r="L347" s="800">
        <v>14.78</v>
      </c>
      <c r="M347" s="867" t="s">
        <v>19</v>
      </c>
      <c r="N347" s="868"/>
      <c r="O347" s="869"/>
      <c r="P347" s="869"/>
      <c r="Q347" s="866">
        <f t="shared" si="79"/>
        <v>0</v>
      </c>
      <c r="R347" s="600">
        <v>1</v>
      </c>
      <c r="S347" s="600">
        <v>1</v>
      </c>
      <c r="T347" s="468">
        <f t="shared" si="80"/>
        <v>0</v>
      </c>
      <c r="U347" s="468">
        <f t="shared" si="81"/>
        <v>0</v>
      </c>
      <c r="V347" s="468">
        <f t="shared" si="82"/>
        <v>0</v>
      </c>
      <c r="W347" s="468">
        <f t="shared" si="83"/>
        <v>0</v>
      </c>
      <c r="X347" s="601">
        <f t="shared" si="73"/>
        <v>0</v>
      </c>
      <c r="Y347" s="601">
        <f t="shared" si="74"/>
        <v>0</v>
      </c>
      <c r="Z347" s="601">
        <f t="shared" si="75"/>
        <v>0</v>
      </c>
      <c r="AA347" s="601">
        <f t="shared" si="76"/>
        <v>0</v>
      </c>
      <c r="AB347" s="602">
        <f t="shared" si="77"/>
        <v>0</v>
      </c>
      <c r="AC347" s="847"/>
      <c r="AD347" s="603">
        <f>(T347+U347+V347)*'1.0-Contractblad'!$K$69</f>
        <v>0</v>
      </c>
      <c r="AE347" s="603"/>
      <c r="AF347" s="58">
        <f t="shared" si="78"/>
        <v>0</v>
      </c>
      <c r="AG347" s="58">
        <f t="shared" si="84"/>
        <v>0</v>
      </c>
      <c r="AH347" s="58" t="str">
        <f t="shared" si="85"/>
        <v>nvt-0</v>
      </c>
    </row>
    <row r="348" spans="1:34" ht="13">
      <c r="A348" s="134"/>
      <c r="B348" s="470"/>
      <c r="C348" s="471"/>
      <c r="D348" s="859">
        <f>VLOOKUP(E348,'1.1a-Jaarprijzen'!B:G,6,FALSE)</f>
        <v>2</v>
      </c>
      <c r="E348" s="845" t="s">
        <v>992</v>
      </c>
      <c r="F348" s="798" t="s">
        <v>469</v>
      </c>
      <c r="G348" s="799" t="s">
        <v>1098</v>
      </c>
      <c r="H348" s="845" t="s">
        <v>1099</v>
      </c>
      <c r="I348" s="573" t="str">
        <f t="shared" si="86"/>
        <v>sanitaire ruimte (toilet-/doucheruimte)</v>
      </c>
      <c r="J348" s="852" t="s">
        <v>462</v>
      </c>
      <c r="K348" s="800">
        <v>1.48</v>
      </c>
      <c r="L348" s="800"/>
      <c r="M348" s="867">
        <v>4104</v>
      </c>
      <c r="N348" s="868"/>
      <c r="O348" s="869"/>
      <c r="P348" s="869"/>
      <c r="Q348" s="866">
        <f t="shared" si="79"/>
        <v>104</v>
      </c>
      <c r="R348" s="600">
        <v>1</v>
      </c>
      <c r="S348" s="600">
        <v>1</v>
      </c>
      <c r="T348" s="468">
        <f t="shared" si="80"/>
        <v>0</v>
      </c>
      <c r="U348" s="468">
        <f t="shared" si="81"/>
        <v>0</v>
      </c>
      <c r="V348" s="468">
        <f t="shared" si="82"/>
        <v>0</v>
      </c>
      <c r="W348" s="468">
        <f t="shared" si="83"/>
        <v>0</v>
      </c>
      <c r="X348" s="601">
        <f t="shared" si="73"/>
        <v>0</v>
      </c>
      <c r="Y348" s="601">
        <f t="shared" si="74"/>
        <v>0</v>
      </c>
      <c r="Z348" s="601">
        <f t="shared" si="75"/>
        <v>0</v>
      </c>
      <c r="AA348" s="601">
        <f t="shared" si="76"/>
        <v>0</v>
      </c>
      <c r="AB348" s="602" t="str">
        <f t="shared" si="77"/>
        <v>S</v>
      </c>
      <c r="AC348" s="847" t="s">
        <v>1229</v>
      </c>
      <c r="AD348" s="603">
        <f>(T348+U348+V348)*'1.0-Contractblad'!$K$69</f>
        <v>0</v>
      </c>
      <c r="AE348" s="603"/>
      <c r="AF348" s="58">
        <f t="shared" si="78"/>
        <v>0</v>
      </c>
      <c r="AG348" s="58">
        <f t="shared" si="84"/>
        <v>153.91999999999999</v>
      </c>
      <c r="AH348" s="58" t="str">
        <f t="shared" si="85"/>
        <v>4104-104</v>
      </c>
    </row>
    <row r="349" spans="1:34" ht="13">
      <c r="A349" s="134"/>
      <c r="B349" s="470"/>
      <c r="C349" s="471"/>
      <c r="D349" s="859">
        <f>VLOOKUP(E349,'1.1a-Jaarprijzen'!B:G,6,FALSE)</f>
        <v>2</v>
      </c>
      <c r="E349" s="845" t="s">
        <v>485</v>
      </c>
      <c r="F349" s="798">
        <v>-1</v>
      </c>
      <c r="G349" s="799" t="s">
        <v>437</v>
      </c>
      <c r="H349" s="573" t="s">
        <v>464</v>
      </c>
      <c r="I349" s="573" t="str">
        <f t="shared" si="86"/>
        <v>niet van toepassing</v>
      </c>
      <c r="J349" s="870" t="s">
        <v>462</v>
      </c>
      <c r="K349" s="800"/>
      <c r="L349" s="800"/>
      <c r="M349" s="867" t="s">
        <v>19</v>
      </c>
      <c r="N349" s="868"/>
      <c r="O349" s="869"/>
      <c r="P349" s="869"/>
      <c r="Q349" s="866">
        <f t="shared" si="79"/>
        <v>0</v>
      </c>
      <c r="R349" s="600">
        <v>1</v>
      </c>
      <c r="S349" s="600">
        <v>1</v>
      </c>
      <c r="T349" s="468">
        <f t="shared" si="80"/>
        <v>0</v>
      </c>
      <c r="U349" s="468">
        <f t="shared" si="81"/>
        <v>0</v>
      </c>
      <c r="V349" s="468">
        <f t="shared" si="82"/>
        <v>0</v>
      </c>
      <c r="W349" s="468">
        <f t="shared" si="83"/>
        <v>0</v>
      </c>
      <c r="X349" s="601">
        <f t="shared" si="73"/>
        <v>0</v>
      </c>
      <c r="Y349" s="601">
        <f t="shared" si="74"/>
        <v>0</v>
      </c>
      <c r="Z349" s="601">
        <f t="shared" si="75"/>
        <v>0</v>
      </c>
      <c r="AA349" s="601">
        <f t="shared" si="76"/>
        <v>0</v>
      </c>
      <c r="AB349" s="602">
        <f t="shared" si="77"/>
        <v>0</v>
      </c>
      <c r="AC349" s="847"/>
      <c r="AD349" s="603">
        <f>(T349+U349+V349)*'1.0-Contractblad'!$K$69</f>
        <v>0</v>
      </c>
      <c r="AE349" s="603"/>
      <c r="AF349" s="58">
        <f t="shared" si="78"/>
        <v>0</v>
      </c>
      <c r="AG349" s="58">
        <f t="shared" si="84"/>
        <v>0</v>
      </c>
      <c r="AH349" s="58" t="str">
        <f t="shared" si="85"/>
        <v>nvt-0</v>
      </c>
    </row>
    <row r="350" spans="1:34" ht="13">
      <c r="A350" s="134"/>
      <c r="B350" s="470"/>
      <c r="C350" s="471"/>
      <c r="D350" s="859">
        <f>VLOOKUP(E350,'1.1a-Jaarprijzen'!B:G,6,FALSE)</f>
        <v>2</v>
      </c>
      <c r="E350" s="845" t="s">
        <v>485</v>
      </c>
      <c r="F350" s="798" t="s">
        <v>469</v>
      </c>
      <c r="G350" s="799" t="s">
        <v>437</v>
      </c>
      <c r="H350" s="845" t="s">
        <v>516</v>
      </c>
      <c r="I350" s="573" t="str">
        <f t="shared" si="86"/>
        <v>entree, gang, hal, repro, kopieer</v>
      </c>
      <c r="J350" s="852" t="s">
        <v>327</v>
      </c>
      <c r="K350" s="800">
        <v>16.39</v>
      </c>
      <c r="L350" s="800"/>
      <c r="M350" s="867">
        <v>3051</v>
      </c>
      <c r="N350" s="868"/>
      <c r="O350" s="869"/>
      <c r="P350" s="869"/>
      <c r="Q350" s="866">
        <f t="shared" si="79"/>
        <v>51</v>
      </c>
      <c r="R350" s="600">
        <v>1</v>
      </c>
      <c r="S350" s="600">
        <v>1</v>
      </c>
      <c r="T350" s="468">
        <f t="shared" si="80"/>
        <v>0</v>
      </c>
      <c r="U350" s="468">
        <f t="shared" si="81"/>
        <v>0</v>
      </c>
      <c r="V350" s="468">
        <f t="shared" si="82"/>
        <v>0</v>
      </c>
      <c r="W350" s="468">
        <f t="shared" si="83"/>
        <v>0</v>
      </c>
      <c r="X350" s="601">
        <f t="shared" si="73"/>
        <v>0</v>
      </c>
      <c r="Y350" s="601">
        <f t="shared" si="74"/>
        <v>0</v>
      </c>
      <c r="Z350" s="601">
        <f t="shared" si="75"/>
        <v>0</v>
      </c>
      <c r="AA350" s="601">
        <f t="shared" si="76"/>
        <v>0</v>
      </c>
      <c r="AB350" s="602" t="str">
        <f t="shared" si="77"/>
        <v>V</v>
      </c>
      <c r="AC350" s="847" t="s">
        <v>1234</v>
      </c>
      <c r="AD350" s="603">
        <f>(T350+U350+V350)*'1.0-Contractblad'!$K$69</f>
        <v>0</v>
      </c>
      <c r="AE350" s="603"/>
      <c r="AF350" s="58">
        <f t="shared" si="78"/>
        <v>0</v>
      </c>
      <c r="AG350" s="58">
        <f t="shared" si="84"/>
        <v>835.89</v>
      </c>
      <c r="AH350" s="58" t="str">
        <f t="shared" si="85"/>
        <v>3051-51</v>
      </c>
    </row>
    <row r="351" spans="1:34" ht="13">
      <c r="A351" s="134"/>
      <c r="B351" s="470"/>
      <c r="C351" s="471"/>
      <c r="D351" s="859">
        <f>VLOOKUP(E351,'1.1a-Jaarprijzen'!B:G,6,FALSE)</f>
        <v>2</v>
      </c>
      <c r="E351" s="845" t="s">
        <v>485</v>
      </c>
      <c r="F351" s="798" t="s">
        <v>469</v>
      </c>
      <c r="G351" s="799" t="s">
        <v>438</v>
      </c>
      <c r="H351" s="845" t="s">
        <v>465</v>
      </c>
      <c r="I351" s="573" t="str">
        <f t="shared" si="86"/>
        <v>administratieve -, personeels- en vergaderruimte</v>
      </c>
      <c r="J351" s="852" t="s">
        <v>330</v>
      </c>
      <c r="K351" s="800">
        <v>39.33</v>
      </c>
      <c r="L351" s="800"/>
      <c r="M351" s="867">
        <v>1051</v>
      </c>
      <c r="N351" s="868"/>
      <c r="O351" s="869"/>
      <c r="P351" s="869"/>
      <c r="Q351" s="866">
        <f t="shared" si="79"/>
        <v>51</v>
      </c>
      <c r="R351" s="600">
        <v>1</v>
      </c>
      <c r="S351" s="600">
        <v>1</v>
      </c>
      <c r="T351" s="468">
        <f t="shared" si="80"/>
        <v>0</v>
      </c>
      <c r="U351" s="468">
        <f t="shared" si="81"/>
        <v>0</v>
      </c>
      <c r="V351" s="468">
        <f t="shared" si="82"/>
        <v>0</v>
      </c>
      <c r="W351" s="468">
        <f t="shared" si="83"/>
        <v>0</v>
      </c>
      <c r="X351" s="601">
        <f t="shared" si="73"/>
        <v>0</v>
      </c>
      <c r="Y351" s="601">
        <f t="shared" si="74"/>
        <v>0</v>
      </c>
      <c r="Z351" s="601">
        <f t="shared" si="75"/>
        <v>0</v>
      </c>
      <c r="AA351" s="601">
        <f t="shared" si="76"/>
        <v>0</v>
      </c>
      <c r="AB351" s="602" t="str">
        <f t="shared" si="77"/>
        <v>B</v>
      </c>
      <c r="AC351" s="847" t="s">
        <v>1234</v>
      </c>
      <c r="AD351" s="603">
        <f>(T351+U351+V351)*'1.0-Contractblad'!$K$69</f>
        <v>0</v>
      </c>
      <c r="AE351" s="603"/>
      <c r="AF351" s="58">
        <f t="shared" si="78"/>
        <v>0</v>
      </c>
      <c r="AG351" s="58">
        <f t="shared" si="84"/>
        <v>2005.83</v>
      </c>
      <c r="AH351" s="58" t="str">
        <f t="shared" si="85"/>
        <v>1051-51</v>
      </c>
    </row>
    <row r="352" spans="1:34" ht="13">
      <c r="A352" s="134"/>
      <c r="B352" s="470"/>
      <c r="C352" s="471"/>
      <c r="D352" s="859">
        <f>VLOOKUP(E352,'1.1a-Jaarprijzen'!B:G,6,FALSE)</f>
        <v>2</v>
      </c>
      <c r="E352" s="845" t="s">
        <v>485</v>
      </c>
      <c r="F352" s="798" t="s">
        <v>469</v>
      </c>
      <c r="G352" s="799" t="s">
        <v>439</v>
      </c>
      <c r="H352" s="573" t="s">
        <v>466</v>
      </c>
      <c r="I352" s="573" t="str">
        <f t="shared" si="86"/>
        <v>sanitaire ruimte (toilet-/doucheruimte)</v>
      </c>
      <c r="J352" s="852" t="s">
        <v>327</v>
      </c>
      <c r="K352" s="800">
        <v>1.28</v>
      </c>
      <c r="L352" s="800"/>
      <c r="M352" s="867">
        <v>4051</v>
      </c>
      <c r="N352" s="868"/>
      <c r="O352" s="869"/>
      <c r="P352" s="869"/>
      <c r="Q352" s="866">
        <f t="shared" si="79"/>
        <v>51</v>
      </c>
      <c r="R352" s="600">
        <v>1</v>
      </c>
      <c r="S352" s="600">
        <v>1</v>
      </c>
      <c r="T352" s="468">
        <f t="shared" si="80"/>
        <v>0</v>
      </c>
      <c r="U352" s="468">
        <f t="shared" si="81"/>
        <v>0</v>
      </c>
      <c r="V352" s="468">
        <f t="shared" si="82"/>
        <v>0</v>
      </c>
      <c r="W352" s="468">
        <f t="shared" si="83"/>
        <v>0</v>
      </c>
      <c r="X352" s="601">
        <f t="shared" si="73"/>
        <v>0</v>
      </c>
      <c r="Y352" s="601">
        <f t="shared" si="74"/>
        <v>0</v>
      </c>
      <c r="Z352" s="601">
        <f t="shared" si="75"/>
        <v>0</v>
      </c>
      <c r="AA352" s="601">
        <f t="shared" si="76"/>
        <v>0</v>
      </c>
      <c r="AB352" s="602" t="str">
        <f t="shared" si="77"/>
        <v>S</v>
      </c>
      <c r="AC352" s="847" t="s">
        <v>1234</v>
      </c>
      <c r="AD352" s="603">
        <f>(T352+U352+V352)*'1.0-Contractblad'!$K$69</f>
        <v>0</v>
      </c>
      <c r="AE352" s="603"/>
      <c r="AF352" s="58">
        <f t="shared" si="78"/>
        <v>0</v>
      </c>
      <c r="AG352" s="58">
        <f t="shared" si="84"/>
        <v>65.28</v>
      </c>
      <c r="AH352" s="58" t="str">
        <f t="shared" si="85"/>
        <v>4051-51</v>
      </c>
    </row>
    <row r="353" spans="1:34" ht="13">
      <c r="A353" s="134"/>
      <c r="B353" s="470"/>
      <c r="C353" s="471"/>
      <c r="D353" s="859">
        <f>VLOOKUP(E353,'1.1a-Jaarprijzen'!B:G,6,FALSE)</f>
        <v>2</v>
      </c>
      <c r="E353" s="845" t="s">
        <v>485</v>
      </c>
      <c r="F353" s="798" t="s">
        <v>469</v>
      </c>
      <c r="G353" s="799" t="s">
        <v>440</v>
      </c>
      <c r="H353" s="845" t="s">
        <v>467</v>
      </c>
      <c r="I353" s="573" t="str">
        <f t="shared" si="86"/>
        <v>entree, gang, hal, repro, kopieer</v>
      </c>
      <c r="J353" s="852" t="s">
        <v>327</v>
      </c>
      <c r="K353" s="800">
        <v>9.0299999999999994</v>
      </c>
      <c r="L353" s="800"/>
      <c r="M353" s="867">
        <v>3051</v>
      </c>
      <c r="N353" s="868"/>
      <c r="O353" s="869"/>
      <c r="P353" s="869"/>
      <c r="Q353" s="866">
        <f t="shared" si="79"/>
        <v>51</v>
      </c>
      <c r="R353" s="600">
        <v>1</v>
      </c>
      <c r="S353" s="600">
        <v>1</v>
      </c>
      <c r="T353" s="468">
        <f t="shared" si="80"/>
        <v>0</v>
      </c>
      <c r="U353" s="468">
        <f t="shared" si="81"/>
        <v>0</v>
      </c>
      <c r="V353" s="468">
        <f t="shared" si="82"/>
        <v>0</v>
      </c>
      <c r="W353" s="468">
        <f t="shared" si="83"/>
        <v>0</v>
      </c>
      <c r="X353" s="601">
        <f t="shared" ref="X353:X407" si="87">IF($M353=0,0,VLOOKUP($M353,Kengetal,6,FALSE))</f>
        <v>0</v>
      </c>
      <c r="Y353" s="601">
        <f t="shared" ref="Y353:Y407" si="88">IF($M353=0,0,VLOOKUP($M353,Kengetal,8,FALSE))</f>
        <v>0</v>
      </c>
      <c r="Z353" s="601">
        <f t="shared" ref="Z353:Z407" si="89">IF($N353=0,0,VLOOKUP($N353,Kengetal,6,FALSE))</f>
        <v>0</v>
      </c>
      <c r="AA353" s="601">
        <f t="shared" ref="AA353:AA407" si="90">IF($O353=0,0,VLOOKUP($O353,Kengetal,6,FALSE))</f>
        <v>0</v>
      </c>
      <c r="AB353" s="602" t="str">
        <f t="shared" ref="AB353:AB407" si="91">IF(M353="","",VLOOKUP(M353,Kengetal,15,FALSE))</f>
        <v>V</v>
      </c>
      <c r="AC353" s="847" t="s">
        <v>1234</v>
      </c>
      <c r="AD353" s="603">
        <f>(T353+U353+V353)*'1.0-Contractblad'!$K$69</f>
        <v>0</v>
      </c>
      <c r="AE353" s="603"/>
      <c r="AF353" s="58">
        <f t="shared" ref="AF353:AF407" si="92">IF(M353=8255,T353+U353,0)</f>
        <v>0</v>
      </c>
      <c r="AG353" s="58">
        <f t="shared" si="84"/>
        <v>460.53</v>
      </c>
      <c r="AH353" s="58" t="str">
        <f t="shared" si="85"/>
        <v>3051-51</v>
      </c>
    </row>
    <row r="354" spans="1:34" ht="13">
      <c r="A354" s="134"/>
      <c r="B354" s="470"/>
      <c r="C354" s="471"/>
      <c r="D354" s="859">
        <f>VLOOKUP(E354,'1.1a-Jaarprijzen'!B:G,6,FALSE)</f>
        <v>2</v>
      </c>
      <c r="E354" s="845" t="s">
        <v>485</v>
      </c>
      <c r="F354" s="798" t="s">
        <v>469</v>
      </c>
      <c r="G354" s="799" t="s">
        <v>441</v>
      </c>
      <c r="H354" s="845" t="s">
        <v>468</v>
      </c>
      <c r="I354" s="573" t="str">
        <f t="shared" si="86"/>
        <v>entree, gang, hal, repro, kopieer</v>
      </c>
      <c r="J354" s="852" t="s">
        <v>475</v>
      </c>
      <c r="K354" s="800">
        <v>2</v>
      </c>
      <c r="L354" s="800"/>
      <c r="M354" s="867">
        <v>3051</v>
      </c>
      <c r="N354" s="868"/>
      <c r="O354" s="869"/>
      <c r="P354" s="869"/>
      <c r="Q354" s="866">
        <f t="shared" ref="Q354:Q408" si="93">VLOOKUP(M354,Kengetal,3,FALSE)+VLOOKUP(N354,Kengetal,3,FALSE)+VLOOKUP(O354,Kengetal,3,FALSE)</f>
        <v>51</v>
      </c>
      <c r="R354" s="600">
        <v>1</v>
      </c>
      <c r="S354" s="600">
        <v>1</v>
      </c>
      <c r="T354" s="468">
        <f t="shared" ref="T354:T408" si="94">X354*K354*R354</f>
        <v>0</v>
      </c>
      <c r="U354" s="468">
        <f t="shared" ref="U354:U408" si="95">Y354*K354*S354</f>
        <v>0</v>
      </c>
      <c r="V354" s="468">
        <f t="shared" ref="V354:V408" si="96">Z354*K354*R354</f>
        <v>0</v>
      </c>
      <c r="W354" s="468">
        <f t="shared" ref="W354:W408" si="97">AA354*K354*U354</f>
        <v>0</v>
      </c>
      <c r="X354" s="601">
        <f t="shared" si="87"/>
        <v>0</v>
      </c>
      <c r="Y354" s="601">
        <f t="shared" si="88"/>
        <v>0</v>
      </c>
      <c r="Z354" s="601">
        <f t="shared" si="89"/>
        <v>0</v>
      </c>
      <c r="AA354" s="601">
        <f t="shared" si="90"/>
        <v>0</v>
      </c>
      <c r="AB354" s="602" t="str">
        <f t="shared" si="91"/>
        <v>V</v>
      </c>
      <c r="AC354" s="847" t="s">
        <v>1234</v>
      </c>
      <c r="AD354" s="603">
        <f>(T354+U354+V354)*'1.0-Contractblad'!$K$69</f>
        <v>0</v>
      </c>
      <c r="AE354" s="603"/>
      <c r="AF354" s="58">
        <f t="shared" si="92"/>
        <v>0</v>
      </c>
      <c r="AG354" s="58">
        <f t="shared" ref="AG354:AG408" si="98">K354*Q354</f>
        <v>102</v>
      </c>
      <c r="AH354" s="58" t="str">
        <f t="shared" ref="AH354:AH408" si="99">CONCATENATE(M354,"-",Q354)</f>
        <v>3051-51</v>
      </c>
    </row>
    <row r="355" spans="1:34" ht="13">
      <c r="A355" s="134"/>
      <c r="B355" s="470"/>
      <c r="C355" s="471"/>
      <c r="D355" s="859">
        <f>VLOOKUP(E355,'1.1a-Jaarprijzen'!B:G,6,FALSE)</f>
        <v>2</v>
      </c>
      <c r="E355" s="845" t="s">
        <v>485</v>
      </c>
      <c r="F355" s="798" t="s">
        <v>469</v>
      </c>
      <c r="G355" s="799" t="s">
        <v>442</v>
      </c>
      <c r="H355" s="845" t="s">
        <v>452</v>
      </c>
      <c r="I355" s="573" t="str">
        <f t="shared" si="86"/>
        <v>administratieve -, personeels- en vergaderruimte</v>
      </c>
      <c r="J355" s="852" t="s">
        <v>475</v>
      </c>
      <c r="K355" s="800">
        <v>16.100000000000001</v>
      </c>
      <c r="L355" s="800"/>
      <c r="M355" s="867">
        <v>1051</v>
      </c>
      <c r="N355" s="868"/>
      <c r="O355" s="869"/>
      <c r="P355" s="869"/>
      <c r="Q355" s="866">
        <f t="shared" si="93"/>
        <v>51</v>
      </c>
      <c r="R355" s="600">
        <v>1</v>
      </c>
      <c r="S355" s="600">
        <v>1</v>
      </c>
      <c r="T355" s="468">
        <f t="shared" si="94"/>
        <v>0</v>
      </c>
      <c r="U355" s="468">
        <f t="shared" si="95"/>
        <v>0</v>
      </c>
      <c r="V355" s="468">
        <f t="shared" si="96"/>
        <v>0</v>
      </c>
      <c r="W355" s="468">
        <f t="shared" si="97"/>
        <v>0</v>
      </c>
      <c r="X355" s="601">
        <f t="shared" si="87"/>
        <v>0</v>
      </c>
      <c r="Y355" s="601">
        <f t="shared" si="88"/>
        <v>0</v>
      </c>
      <c r="Z355" s="601">
        <f t="shared" si="89"/>
        <v>0</v>
      </c>
      <c r="AA355" s="601">
        <f t="shared" si="90"/>
        <v>0</v>
      </c>
      <c r="AB355" s="602" t="str">
        <f t="shared" si="91"/>
        <v>B</v>
      </c>
      <c r="AC355" s="847" t="s">
        <v>1234</v>
      </c>
      <c r="AD355" s="603">
        <f>(T355+U355+V355)*'1.0-Contractblad'!$K$69</f>
        <v>0</v>
      </c>
      <c r="AE355" s="603"/>
      <c r="AF355" s="58">
        <f t="shared" si="92"/>
        <v>0</v>
      </c>
      <c r="AG355" s="58">
        <f t="shared" si="98"/>
        <v>821.1</v>
      </c>
      <c r="AH355" s="58" t="str">
        <f t="shared" si="99"/>
        <v>1051-51</v>
      </c>
    </row>
    <row r="356" spans="1:34" ht="13">
      <c r="A356" s="134"/>
      <c r="B356" s="470"/>
      <c r="C356" s="471"/>
      <c r="D356" s="859">
        <f>VLOOKUP(E356,'1.1a-Jaarprijzen'!B:G,6,FALSE)</f>
        <v>2</v>
      </c>
      <c r="E356" s="845" t="s">
        <v>485</v>
      </c>
      <c r="F356" s="798" t="s">
        <v>469</v>
      </c>
      <c r="G356" s="799" t="s">
        <v>443</v>
      </c>
      <c r="H356" s="573" t="s">
        <v>453</v>
      </c>
      <c r="I356" s="573" t="str">
        <f t="shared" si="86"/>
        <v>niet van toepassing</v>
      </c>
      <c r="J356" s="852" t="s">
        <v>455</v>
      </c>
      <c r="K356" s="800"/>
      <c r="L356" s="800" t="s">
        <v>476</v>
      </c>
      <c r="M356" s="867" t="s">
        <v>19</v>
      </c>
      <c r="N356" s="868"/>
      <c r="O356" s="869"/>
      <c r="P356" s="869"/>
      <c r="Q356" s="866">
        <f t="shared" si="93"/>
        <v>0</v>
      </c>
      <c r="R356" s="600">
        <v>1</v>
      </c>
      <c r="S356" s="600">
        <v>1</v>
      </c>
      <c r="T356" s="468">
        <f t="shared" si="94"/>
        <v>0</v>
      </c>
      <c r="U356" s="468">
        <f t="shared" si="95"/>
        <v>0</v>
      </c>
      <c r="V356" s="468">
        <f t="shared" si="96"/>
        <v>0</v>
      </c>
      <c r="W356" s="468">
        <f t="shared" si="97"/>
        <v>0</v>
      </c>
      <c r="X356" s="601">
        <f t="shared" si="87"/>
        <v>0</v>
      </c>
      <c r="Y356" s="601">
        <f t="shared" si="88"/>
        <v>0</v>
      </c>
      <c r="Z356" s="601">
        <f t="shared" si="89"/>
        <v>0</v>
      </c>
      <c r="AA356" s="601">
        <f t="shared" si="90"/>
        <v>0</v>
      </c>
      <c r="AB356" s="602">
        <f t="shared" si="91"/>
        <v>0</v>
      </c>
      <c r="AC356" s="847"/>
      <c r="AD356" s="603">
        <f>(T356+U356+V356)*'1.0-Contractblad'!$K$69</f>
        <v>0</v>
      </c>
      <c r="AE356" s="603"/>
      <c r="AF356" s="58">
        <f t="shared" si="92"/>
        <v>0</v>
      </c>
      <c r="AG356" s="58">
        <f t="shared" si="98"/>
        <v>0</v>
      </c>
      <c r="AH356" s="58" t="str">
        <f t="shared" si="99"/>
        <v>nvt-0</v>
      </c>
    </row>
    <row r="357" spans="1:34" ht="13">
      <c r="A357" s="134"/>
      <c r="B357" s="470"/>
      <c r="C357" s="471"/>
      <c r="D357" s="859">
        <f>VLOOKUP(E357,'1.1a-Jaarprijzen'!B:G,6,FALSE)</f>
        <v>2</v>
      </c>
      <c r="E357" s="845" t="s">
        <v>485</v>
      </c>
      <c r="F357" s="798" t="s">
        <v>469</v>
      </c>
      <c r="G357" s="799" t="s">
        <v>444</v>
      </c>
      <c r="H357" s="845" t="s">
        <v>470</v>
      </c>
      <c r="I357" s="573" t="str">
        <f t="shared" si="86"/>
        <v>niet van toepassing</v>
      </c>
      <c r="J357" s="870" t="s">
        <v>462</v>
      </c>
      <c r="K357" s="800"/>
      <c r="L357" s="800">
        <v>2.36</v>
      </c>
      <c r="M357" s="867" t="s">
        <v>19</v>
      </c>
      <c r="N357" s="868"/>
      <c r="O357" s="869"/>
      <c r="P357" s="869"/>
      <c r="Q357" s="866">
        <f t="shared" si="93"/>
        <v>0</v>
      </c>
      <c r="R357" s="600">
        <v>1</v>
      </c>
      <c r="S357" s="600">
        <v>1</v>
      </c>
      <c r="T357" s="468">
        <f t="shared" si="94"/>
        <v>0</v>
      </c>
      <c r="U357" s="468">
        <f t="shared" si="95"/>
        <v>0</v>
      </c>
      <c r="V357" s="468">
        <f t="shared" si="96"/>
        <v>0</v>
      </c>
      <c r="W357" s="468">
        <f t="shared" si="97"/>
        <v>0</v>
      </c>
      <c r="X357" s="601">
        <f t="shared" si="87"/>
        <v>0</v>
      </c>
      <c r="Y357" s="601">
        <f t="shared" si="88"/>
        <v>0</v>
      </c>
      <c r="Z357" s="601">
        <f t="shared" si="89"/>
        <v>0</v>
      </c>
      <c r="AA357" s="601">
        <f t="shared" si="90"/>
        <v>0</v>
      </c>
      <c r="AB357" s="602">
        <f t="shared" si="91"/>
        <v>0</v>
      </c>
      <c r="AC357" s="847"/>
      <c r="AD357" s="603">
        <f>(T357+U357+V357)*'1.0-Contractblad'!$K$69</f>
        <v>0</v>
      </c>
      <c r="AE357" s="603"/>
      <c r="AF357" s="58">
        <f t="shared" si="92"/>
        <v>0</v>
      </c>
      <c r="AG357" s="58">
        <f t="shared" si="98"/>
        <v>0</v>
      </c>
      <c r="AH357" s="58" t="str">
        <f t="shared" si="99"/>
        <v>nvt-0</v>
      </c>
    </row>
    <row r="358" spans="1:34" ht="13">
      <c r="A358" s="134"/>
      <c r="B358" s="470"/>
      <c r="C358" s="471"/>
      <c r="D358" s="859">
        <f>VLOOKUP(E358,'1.1a-Jaarprijzen'!B:G,6,FALSE)</f>
        <v>2</v>
      </c>
      <c r="E358" s="845" t="s">
        <v>485</v>
      </c>
      <c r="F358" s="798" t="s">
        <v>469</v>
      </c>
      <c r="G358" s="799" t="s">
        <v>445</v>
      </c>
      <c r="H358" s="845" t="s">
        <v>471</v>
      </c>
      <c r="I358" s="573" t="str">
        <f t="shared" si="86"/>
        <v>niet van toepassing</v>
      </c>
      <c r="J358" s="852" t="s">
        <v>477</v>
      </c>
      <c r="K358" s="800"/>
      <c r="L358" s="800">
        <v>21.39</v>
      </c>
      <c r="M358" s="867" t="s">
        <v>19</v>
      </c>
      <c r="N358" s="868"/>
      <c r="O358" s="869"/>
      <c r="P358" s="869"/>
      <c r="Q358" s="866">
        <f t="shared" si="93"/>
        <v>0</v>
      </c>
      <c r="R358" s="600">
        <v>1</v>
      </c>
      <c r="S358" s="600">
        <v>1</v>
      </c>
      <c r="T358" s="468">
        <f t="shared" si="94"/>
        <v>0</v>
      </c>
      <c r="U358" s="468">
        <f t="shared" si="95"/>
        <v>0</v>
      </c>
      <c r="V358" s="468">
        <f t="shared" si="96"/>
        <v>0</v>
      </c>
      <c r="W358" s="468">
        <f t="shared" si="97"/>
        <v>0</v>
      </c>
      <c r="X358" s="601">
        <f t="shared" si="87"/>
        <v>0</v>
      </c>
      <c r="Y358" s="601">
        <f t="shared" si="88"/>
        <v>0</v>
      </c>
      <c r="Z358" s="601">
        <f t="shared" si="89"/>
        <v>0</v>
      </c>
      <c r="AA358" s="601">
        <f t="shared" si="90"/>
        <v>0</v>
      </c>
      <c r="AB358" s="602">
        <f t="shared" si="91"/>
        <v>0</v>
      </c>
      <c r="AC358" s="847"/>
      <c r="AD358" s="603">
        <f>(T358+U358+V358)*'1.0-Contractblad'!$K$69</f>
        <v>0</v>
      </c>
      <c r="AE358" s="603"/>
      <c r="AF358" s="58">
        <f t="shared" si="92"/>
        <v>0</v>
      </c>
      <c r="AG358" s="58">
        <f t="shared" si="98"/>
        <v>0</v>
      </c>
      <c r="AH358" s="58" t="str">
        <f t="shared" si="99"/>
        <v>nvt-0</v>
      </c>
    </row>
    <row r="359" spans="1:34" ht="13">
      <c r="A359" s="134"/>
      <c r="B359" s="470"/>
      <c r="C359" s="471"/>
      <c r="D359" s="859">
        <f>VLOOKUP(E359,'1.1a-Jaarprijzen'!B:G,6,FALSE)</f>
        <v>2</v>
      </c>
      <c r="E359" s="845" t="s">
        <v>485</v>
      </c>
      <c r="F359" s="798" t="s">
        <v>469</v>
      </c>
      <c r="G359" s="799" t="s">
        <v>446</v>
      </c>
      <c r="H359" s="845" t="s">
        <v>472</v>
      </c>
      <c r="I359" s="573" t="str">
        <f t="shared" si="86"/>
        <v>niet van toepassing</v>
      </c>
      <c r="J359" s="870" t="s">
        <v>462</v>
      </c>
      <c r="K359" s="800"/>
      <c r="L359" s="800">
        <v>2.94</v>
      </c>
      <c r="M359" s="867" t="s">
        <v>19</v>
      </c>
      <c r="N359" s="868"/>
      <c r="O359" s="869"/>
      <c r="P359" s="869"/>
      <c r="Q359" s="866">
        <f t="shared" si="93"/>
        <v>0</v>
      </c>
      <c r="R359" s="600">
        <v>1</v>
      </c>
      <c r="S359" s="600">
        <v>1</v>
      </c>
      <c r="T359" s="468">
        <f t="shared" si="94"/>
        <v>0</v>
      </c>
      <c r="U359" s="468">
        <f t="shared" si="95"/>
        <v>0</v>
      </c>
      <c r="V359" s="468">
        <f t="shared" si="96"/>
        <v>0</v>
      </c>
      <c r="W359" s="468">
        <f t="shared" si="97"/>
        <v>0</v>
      </c>
      <c r="X359" s="601">
        <f t="shared" si="87"/>
        <v>0</v>
      </c>
      <c r="Y359" s="601">
        <f t="shared" si="88"/>
        <v>0</v>
      </c>
      <c r="Z359" s="601">
        <f t="shared" si="89"/>
        <v>0</v>
      </c>
      <c r="AA359" s="601">
        <f t="shared" si="90"/>
        <v>0</v>
      </c>
      <c r="AB359" s="602">
        <f t="shared" si="91"/>
        <v>0</v>
      </c>
      <c r="AC359" s="847"/>
      <c r="AD359" s="603">
        <f>(T359+U359+V359)*'1.0-Contractblad'!$K$69</f>
        <v>0</v>
      </c>
      <c r="AE359" s="603"/>
      <c r="AF359" s="58">
        <f t="shared" si="92"/>
        <v>0</v>
      </c>
      <c r="AG359" s="58">
        <f t="shared" si="98"/>
        <v>0</v>
      </c>
      <c r="AH359" s="58" t="str">
        <f t="shared" si="99"/>
        <v>nvt-0</v>
      </c>
    </row>
    <row r="360" spans="1:34" ht="13">
      <c r="A360" s="134"/>
      <c r="B360" s="470"/>
      <c r="C360" s="471"/>
      <c r="D360" s="859">
        <f>VLOOKUP(E360,'1.1a-Jaarprijzen'!B:G,6,FALSE)</f>
        <v>2</v>
      </c>
      <c r="E360" s="845" t="s">
        <v>485</v>
      </c>
      <c r="F360" s="798" t="s">
        <v>469</v>
      </c>
      <c r="G360" s="799" t="s">
        <v>447</v>
      </c>
      <c r="H360" s="845" t="s">
        <v>473</v>
      </c>
      <c r="I360" s="573" t="str">
        <f t="shared" si="86"/>
        <v>pantry, keuken, koffiecorner</v>
      </c>
      <c r="J360" s="870" t="s">
        <v>462</v>
      </c>
      <c r="K360" s="800">
        <v>12.46</v>
      </c>
      <c r="L360" s="800"/>
      <c r="M360" s="867">
        <v>5051</v>
      </c>
      <c r="N360" s="868"/>
      <c r="O360" s="869"/>
      <c r="P360" s="869"/>
      <c r="Q360" s="866">
        <f t="shared" si="93"/>
        <v>51</v>
      </c>
      <c r="R360" s="600">
        <v>1</v>
      </c>
      <c r="S360" s="600">
        <v>1</v>
      </c>
      <c r="T360" s="468">
        <f t="shared" si="94"/>
        <v>0</v>
      </c>
      <c r="U360" s="468">
        <f t="shared" si="95"/>
        <v>0</v>
      </c>
      <c r="V360" s="468">
        <f t="shared" si="96"/>
        <v>0</v>
      </c>
      <c r="W360" s="468">
        <f t="shared" si="97"/>
        <v>0</v>
      </c>
      <c r="X360" s="601">
        <f t="shared" si="87"/>
        <v>0</v>
      </c>
      <c r="Y360" s="601">
        <f t="shared" si="88"/>
        <v>0</v>
      </c>
      <c r="Z360" s="601">
        <f t="shared" si="89"/>
        <v>0</v>
      </c>
      <c r="AA360" s="601">
        <f t="shared" si="90"/>
        <v>0</v>
      </c>
      <c r="AB360" s="602" t="str">
        <f t="shared" si="91"/>
        <v>V</v>
      </c>
      <c r="AC360" s="847" t="s">
        <v>1234</v>
      </c>
      <c r="AD360" s="603">
        <f>(T360+U360+V360)*'1.0-Contractblad'!$K$69</f>
        <v>0</v>
      </c>
      <c r="AE360" s="603"/>
      <c r="AF360" s="58">
        <f t="shared" si="92"/>
        <v>0</v>
      </c>
      <c r="AG360" s="58">
        <f t="shared" si="98"/>
        <v>635.46</v>
      </c>
      <c r="AH360" s="58" t="str">
        <f t="shared" si="99"/>
        <v>5051-51</v>
      </c>
    </row>
    <row r="361" spans="1:34" ht="13">
      <c r="A361" s="134"/>
      <c r="B361" s="470"/>
      <c r="C361" s="471"/>
      <c r="D361" s="859">
        <f>VLOOKUP(E361,'1.1a-Jaarprijzen'!B:G,6,FALSE)</f>
        <v>2</v>
      </c>
      <c r="E361" s="845" t="s">
        <v>485</v>
      </c>
      <c r="F361" s="798" t="s">
        <v>469</v>
      </c>
      <c r="G361" s="799" t="s">
        <v>448</v>
      </c>
      <c r="H361" s="845" t="s">
        <v>474</v>
      </c>
      <c r="I361" s="573" t="str">
        <f t="shared" si="86"/>
        <v>niet van toepassing</v>
      </c>
      <c r="J361" s="852" t="s">
        <v>54</v>
      </c>
      <c r="K361" s="800"/>
      <c r="L361" s="800">
        <v>24.52</v>
      </c>
      <c r="M361" s="867" t="s">
        <v>19</v>
      </c>
      <c r="N361" s="868"/>
      <c r="O361" s="869"/>
      <c r="P361" s="869"/>
      <c r="Q361" s="866">
        <f t="shared" si="93"/>
        <v>0</v>
      </c>
      <c r="R361" s="600">
        <v>1</v>
      </c>
      <c r="S361" s="600">
        <v>1</v>
      </c>
      <c r="T361" s="468">
        <f t="shared" si="94"/>
        <v>0</v>
      </c>
      <c r="U361" s="468">
        <f t="shared" si="95"/>
        <v>0</v>
      </c>
      <c r="V361" s="468">
        <f t="shared" si="96"/>
        <v>0</v>
      </c>
      <c r="W361" s="468">
        <f t="shared" si="97"/>
        <v>0</v>
      </c>
      <c r="X361" s="601">
        <f t="shared" si="87"/>
        <v>0</v>
      </c>
      <c r="Y361" s="601">
        <f t="shared" si="88"/>
        <v>0</v>
      </c>
      <c r="Z361" s="601">
        <f t="shared" si="89"/>
        <v>0</v>
      </c>
      <c r="AA361" s="601">
        <f t="shared" si="90"/>
        <v>0</v>
      </c>
      <c r="AB361" s="602">
        <f t="shared" si="91"/>
        <v>0</v>
      </c>
      <c r="AC361" s="847"/>
      <c r="AD361" s="603">
        <f>(T361+U361+V361)*'1.0-Contractblad'!$K$69</f>
        <v>0</v>
      </c>
      <c r="AE361" s="603"/>
      <c r="AF361" s="58">
        <f t="shared" si="92"/>
        <v>0</v>
      </c>
      <c r="AG361" s="58">
        <f t="shared" si="98"/>
        <v>0</v>
      </c>
      <c r="AH361" s="58" t="str">
        <f t="shared" si="99"/>
        <v>nvt-0</v>
      </c>
    </row>
    <row r="362" spans="1:34" ht="13">
      <c r="A362" s="134"/>
      <c r="B362" s="470"/>
      <c r="C362" s="471"/>
      <c r="D362" s="859">
        <f>VLOOKUP(E362,'1.1a-Jaarprijzen'!B:G,6,FALSE)</f>
        <v>2</v>
      </c>
      <c r="E362" s="845" t="s">
        <v>485</v>
      </c>
      <c r="F362" s="798" t="s">
        <v>469</v>
      </c>
      <c r="G362" s="799" t="s">
        <v>449</v>
      </c>
      <c r="H362" s="845" t="s">
        <v>474</v>
      </c>
      <c r="I362" s="573" t="str">
        <f t="shared" si="86"/>
        <v>niet van toepassing</v>
      </c>
      <c r="J362" s="852" t="s">
        <v>54</v>
      </c>
      <c r="K362" s="800"/>
      <c r="L362" s="800">
        <v>19.47</v>
      </c>
      <c r="M362" s="867" t="s">
        <v>19</v>
      </c>
      <c r="N362" s="868"/>
      <c r="O362" s="869"/>
      <c r="P362" s="869"/>
      <c r="Q362" s="866">
        <f t="shared" si="93"/>
        <v>0</v>
      </c>
      <c r="R362" s="600">
        <v>1</v>
      </c>
      <c r="S362" s="600">
        <v>1</v>
      </c>
      <c r="T362" s="468">
        <f t="shared" si="94"/>
        <v>0</v>
      </c>
      <c r="U362" s="468">
        <f t="shared" si="95"/>
        <v>0</v>
      </c>
      <c r="V362" s="468">
        <f t="shared" si="96"/>
        <v>0</v>
      </c>
      <c r="W362" s="468">
        <f t="shared" si="97"/>
        <v>0</v>
      </c>
      <c r="X362" s="601">
        <f t="shared" si="87"/>
        <v>0</v>
      </c>
      <c r="Y362" s="601">
        <f t="shared" si="88"/>
        <v>0</v>
      </c>
      <c r="Z362" s="601">
        <f t="shared" si="89"/>
        <v>0</v>
      </c>
      <c r="AA362" s="601">
        <f t="shared" si="90"/>
        <v>0</v>
      </c>
      <c r="AB362" s="602">
        <f t="shared" si="91"/>
        <v>0</v>
      </c>
      <c r="AC362" s="847"/>
      <c r="AD362" s="603">
        <f>(T362+U362+V362)*'1.0-Contractblad'!$K$69</f>
        <v>0</v>
      </c>
      <c r="AE362" s="603"/>
      <c r="AF362" s="58">
        <f t="shared" si="92"/>
        <v>0</v>
      </c>
      <c r="AG362" s="58">
        <f t="shared" si="98"/>
        <v>0</v>
      </c>
      <c r="AH362" s="58" t="str">
        <f t="shared" si="99"/>
        <v>nvt-0</v>
      </c>
    </row>
    <row r="363" spans="1:34" ht="13">
      <c r="A363" s="134"/>
      <c r="B363" s="470"/>
      <c r="C363" s="471"/>
      <c r="D363" s="859">
        <f>VLOOKUP(E363,'1.1a-Jaarprijzen'!B:G,6,FALSE)</f>
        <v>2</v>
      </c>
      <c r="E363" s="845" t="s">
        <v>485</v>
      </c>
      <c r="F363" s="798" t="s">
        <v>469</v>
      </c>
      <c r="G363" s="799" t="s">
        <v>450</v>
      </c>
      <c r="H363" s="845" t="s">
        <v>478</v>
      </c>
      <c r="I363" s="573" t="str">
        <f t="shared" si="86"/>
        <v>niet van toepassing</v>
      </c>
      <c r="J363" s="852" t="s">
        <v>330</v>
      </c>
      <c r="K363" s="800"/>
      <c r="L363" s="800">
        <v>1.96</v>
      </c>
      <c r="M363" s="867" t="s">
        <v>19</v>
      </c>
      <c r="N363" s="868"/>
      <c r="O363" s="869"/>
      <c r="P363" s="869"/>
      <c r="Q363" s="866">
        <f t="shared" si="93"/>
        <v>0</v>
      </c>
      <c r="R363" s="600">
        <v>1</v>
      </c>
      <c r="S363" s="600">
        <v>1</v>
      </c>
      <c r="T363" s="468">
        <f t="shared" si="94"/>
        <v>0</v>
      </c>
      <c r="U363" s="468">
        <f t="shared" si="95"/>
        <v>0</v>
      </c>
      <c r="V363" s="468">
        <f t="shared" si="96"/>
        <v>0</v>
      </c>
      <c r="W363" s="468">
        <f t="shared" si="97"/>
        <v>0</v>
      </c>
      <c r="X363" s="601">
        <f t="shared" si="87"/>
        <v>0</v>
      </c>
      <c r="Y363" s="601">
        <f t="shared" si="88"/>
        <v>0</v>
      </c>
      <c r="Z363" s="601">
        <f t="shared" si="89"/>
        <v>0</v>
      </c>
      <c r="AA363" s="601">
        <f t="shared" si="90"/>
        <v>0</v>
      </c>
      <c r="AB363" s="602">
        <f t="shared" si="91"/>
        <v>0</v>
      </c>
      <c r="AC363" s="847"/>
      <c r="AD363" s="603">
        <f>(T363+U363+V363)*'1.0-Contractblad'!$K$69</f>
        <v>0</v>
      </c>
      <c r="AE363" s="603"/>
      <c r="AF363" s="58">
        <f t="shared" si="92"/>
        <v>0</v>
      </c>
      <c r="AG363" s="58">
        <f t="shared" si="98"/>
        <v>0</v>
      </c>
      <c r="AH363" s="58" t="str">
        <f t="shared" si="99"/>
        <v>nvt-0</v>
      </c>
    </row>
    <row r="364" spans="1:34" ht="13">
      <c r="A364" s="134"/>
      <c r="B364" s="470"/>
      <c r="C364" s="471"/>
      <c r="D364" s="859">
        <f>VLOOKUP(E364,'1.1a-Jaarprijzen'!B:G,6,FALSE)</f>
        <v>2</v>
      </c>
      <c r="E364" s="845" t="s">
        <v>485</v>
      </c>
      <c r="F364" s="798" t="s">
        <v>736</v>
      </c>
      <c r="G364" s="799" t="s">
        <v>456</v>
      </c>
      <c r="H364" s="845" t="s">
        <v>453</v>
      </c>
      <c r="I364" s="573" t="str">
        <f t="shared" si="86"/>
        <v>niet van toepassing</v>
      </c>
      <c r="J364" s="852" t="s">
        <v>54</v>
      </c>
      <c r="K364" s="800"/>
      <c r="L364" s="800">
        <v>16.82</v>
      </c>
      <c r="M364" s="867" t="s">
        <v>19</v>
      </c>
      <c r="N364" s="868"/>
      <c r="O364" s="869"/>
      <c r="P364" s="869"/>
      <c r="Q364" s="866">
        <f t="shared" si="93"/>
        <v>0</v>
      </c>
      <c r="R364" s="600">
        <v>1</v>
      </c>
      <c r="S364" s="600">
        <v>1</v>
      </c>
      <c r="T364" s="468">
        <f t="shared" si="94"/>
        <v>0</v>
      </c>
      <c r="U364" s="468">
        <f t="shared" si="95"/>
        <v>0</v>
      </c>
      <c r="V364" s="468">
        <f t="shared" si="96"/>
        <v>0</v>
      </c>
      <c r="W364" s="468">
        <f t="shared" si="97"/>
        <v>0</v>
      </c>
      <c r="X364" s="601">
        <f t="shared" si="87"/>
        <v>0</v>
      </c>
      <c r="Y364" s="601">
        <f t="shared" si="88"/>
        <v>0</v>
      </c>
      <c r="Z364" s="601">
        <f t="shared" si="89"/>
        <v>0</v>
      </c>
      <c r="AA364" s="601">
        <f t="shared" si="90"/>
        <v>0</v>
      </c>
      <c r="AB364" s="602">
        <f t="shared" si="91"/>
        <v>0</v>
      </c>
      <c r="AC364" s="847"/>
      <c r="AD364" s="603">
        <f>(T364+U364+V364)*'1.0-Contractblad'!$K$69</f>
        <v>0</v>
      </c>
      <c r="AE364" s="603"/>
      <c r="AF364" s="58">
        <f t="shared" si="92"/>
        <v>0</v>
      </c>
      <c r="AG364" s="58">
        <f t="shared" si="98"/>
        <v>0</v>
      </c>
      <c r="AH364" s="58" t="str">
        <f t="shared" si="99"/>
        <v>nvt-0</v>
      </c>
    </row>
    <row r="365" spans="1:34" ht="13">
      <c r="A365" s="134"/>
      <c r="B365" s="470"/>
      <c r="C365" s="471"/>
      <c r="D365" s="859">
        <f>VLOOKUP(E365,'1.1a-Jaarprijzen'!B:G,6,FALSE)</f>
        <v>2</v>
      </c>
      <c r="E365" s="845" t="s">
        <v>485</v>
      </c>
      <c r="F365" s="798" t="s">
        <v>736</v>
      </c>
      <c r="G365" s="799" t="s">
        <v>457</v>
      </c>
      <c r="H365" s="845" t="s">
        <v>466</v>
      </c>
      <c r="I365" s="573" t="str">
        <f t="shared" ref="I365:I419" si="100">IF($M365="",0,VLOOKUP($M365,Kengetal,4,FALSE))</f>
        <v>niet van toepassing</v>
      </c>
      <c r="J365" s="870" t="s">
        <v>462</v>
      </c>
      <c r="K365" s="800"/>
      <c r="L365" s="800">
        <v>1</v>
      </c>
      <c r="M365" s="867" t="s">
        <v>19</v>
      </c>
      <c r="N365" s="868"/>
      <c r="O365" s="869"/>
      <c r="P365" s="869"/>
      <c r="Q365" s="866">
        <f t="shared" si="93"/>
        <v>0</v>
      </c>
      <c r="R365" s="600">
        <v>1</v>
      </c>
      <c r="S365" s="600">
        <v>1</v>
      </c>
      <c r="T365" s="468">
        <f t="shared" si="94"/>
        <v>0</v>
      </c>
      <c r="U365" s="468">
        <f t="shared" si="95"/>
        <v>0</v>
      </c>
      <c r="V365" s="468">
        <f t="shared" si="96"/>
        <v>0</v>
      </c>
      <c r="W365" s="468">
        <f t="shared" si="97"/>
        <v>0</v>
      </c>
      <c r="X365" s="601">
        <f t="shared" si="87"/>
        <v>0</v>
      </c>
      <c r="Y365" s="601">
        <f t="shared" si="88"/>
        <v>0</v>
      </c>
      <c r="Z365" s="601">
        <f t="shared" si="89"/>
        <v>0</v>
      </c>
      <c r="AA365" s="601">
        <f t="shared" si="90"/>
        <v>0</v>
      </c>
      <c r="AB365" s="602">
        <f t="shared" si="91"/>
        <v>0</v>
      </c>
      <c r="AC365" s="847"/>
      <c r="AD365" s="603">
        <f>(T365+U365+V365)*'1.0-Contractblad'!$K$69</f>
        <v>0</v>
      </c>
      <c r="AE365" s="603"/>
      <c r="AF365" s="58">
        <f t="shared" si="92"/>
        <v>0</v>
      </c>
      <c r="AG365" s="58">
        <f t="shared" si="98"/>
        <v>0</v>
      </c>
      <c r="AH365" s="58" t="str">
        <f t="shared" si="99"/>
        <v>nvt-0</v>
      </c>
    </row>
    <row r="366" spans="1:34" ht="13">
      <c r="A366" s="134"/>
      <c r="B366" s="470"/>
      <c r="C366" s="471"/>
      <c r="D366" s="859">
        <f>VLOOKUP(E366,'1.1a-Jaarprijzen'!B:G,6,FALSE)</f>
        <v>2</v>
      </c>
      <c r="E366" s="845" t="s">
        <v>485</v>
      </c>
      <c r="F366" s="798" t="s">
        <v>736</v>
      </c>
      <c r="G366" s="799" t="s">
        <v>458</v>
      </c>
      <c r="H366" s="845" t="s">
        <v>479</v>
      </c>
      <c r="I366" s="573" t="str">
        <f t="shared" si="100"/>
        <v>niet van toepassing</v>
      </c>
      <c r="J366" s="852" t="s">
        <v>54</v>
      </c>
      <c r="K366" s="800"/>
      <c r="L366" s="800">
        <v>13.38</v>
      </c>
      <c r="M366" s="867" t="s">
        <v>19</v>
      </c>
      <c r="N366" s="868"/>
      <c r="O366" s="869"/>
      <c r="P366" s="869"/>
      <c r="Q366" s="866">
        <f t="shared" si="93"/>
        <v>0</v>
      </c>
      <c r="R366" s="600">
        <v>1</v>
      </c>
      <c r="S366" s="600">
        <v>1</v>
      </c>
      <c r="T366" s="468">
        <f t="shared" si="94"/>
        <v>0</v>
      </c>
      <c r="U366" s="468">
        <f t="shared" si="95"/>
        <v>0</v>
      </c>
      <c r="V366" s="468">
        <f t="shared" si="96"/>
        <v>0</v>
      </c>
      <c r="W366" s="468">
        <f t="shared" si="97"/>
        <v>0</v>
      </c>
      <c r="X366" s="601">
        <f t="shared" si="87"/>
        <v>0</v>
      </c>
      <c r="Y366" s="601">
        <f t="shared" si="88"/>
        <v>0</v>
      </c>
      <c r="Z366" s="601">
        <f t="shared" si="89"/>
        <v>0</v>
      </c>
      <c r="AA366" s="601">
        <f t="shared" si="90"/>
        <v>0</v>
      </c>
      <c r="AB366" s="602">
        <f t="shared" si="91"/>
        <v>0</v>
      </c>
      <c r="AC366" s="847"/>
      <c r="AD366" s="603">
        <f>(T366+U366+V366)*'1.0-Contractblad'!$K$69</f>
        <v>0</v>
      </c>
      <c r="AE366" s="603"/>
      <c r="AF366" s="58">
        <f t="shared" si="92"/>
        <v>0</v>
      </c>
      <c r="AG366" s="58">
        <f t="shared" si="98"/>
        <v>0</v>
      </c>
      <c r="AH366" s="58" t="str">
        <f t="shared" si="99"/>
        <v>nvt-0</v>
      </c>
    </row>
    <row r="367" spans="1:34" ht="13">
      <c r="A367" s="134"/>
      <c r="B367" s="470"/>
      <c r="C367" s="471"/>
      <c r="D367" s="859">
        <f>VLOOKUP(E367,'1.1a-Jaarprijzen'!B:G,6,FALSE)</f>
        <v>2</v>
      </c>
      <c r="E367" s="845" t="s">
        <v>485</v>
      </c>
      <c r="F367" s="798" t="s">
        <v>736</v>
      </c>
      <c r="G367" s="799" t="s">
        <v>459</v>
      </c>
      <c r="H367" s="845" t="s">
        <v>480</v>
      </c>
      <c r="I367" s="573" t="str">
        <f t="shared" si="100"/>
        <v>niet van toepassing</v>
      </c>
      <c r="J367" s="870" t="s">
        <v>462</v>
      </c>
      <c r="K367" s="800"/>
      <c r="L367" s="800">
        <v>4.4000000000000004</v>
      </c>
      <c r="M367" s="867" t="s">
        <v>19</v>
      </c>
      <c r="N367" s="868"/>
      <c r="O367" s="869"/>
      <c r="P367" s="869"/>
      <c r="Q367" s="866">
        <f t="shared" si="93"/>
        <v>0</v>
      </c>
      <c r="R367" s="600">
        <v>1</v>
      </c>
      <c r="S367" s="600">
        <v>1</v>
      </c>
      <c r="T367" s="468">
        <f t="shared" si="94"/>
        <v>0</v>
      </c>
      <c r="U367" s="468">
        <f t="shared" si="95"/>
        <v>0</v>
      </c>
      <c r="V367" s="468">
        <f t="shared" si="96"/>
        <v>0</v>
      </c>
      <c r="W367" s="468">
        <f t="shared" si="97"/>
        <v>0</v>
      </c>
      <c r="X367" s="601">
        <f t="shared" si="87"/>
        <v>0</v>
      </c>
      <c r="Y367" s="601">
        <f t="shared" si="88"/>
        <v>0</v>
      </c>
      <c r="Z367" s="601">
        <f t="shared" si="89"/>
        <v>0</v>
      </c>
      <c r="AA367" s="601">
        <f t="shared" si="90"/>
        <v>0</v>
      </c>
      <c r="AB367" s="602">
        <f t="shared" si="91"/>
        <v>0</v>
      </c>
      <c r="AC367" s="847"/>
      <c r="AD367" s="603">
        <f>(T367+U367+V367)*'1.0-Contractblad'!$K$69</f>
        <v>0</v>
      </c>
      <c r="AE367" s="603"/>
      <c r="AF367" s="58">
        <f t="shared" si="92"/>
        <v>0</v>
      </c>
      <c r="AG367" s="58">
        <f t="shared" si="98"/>
        <v>0</v>
      </c>
      <c r="AH367" s="58" t="str">
        <f t="shared" si="99"/>
        <v>nvt-0</v>
      </c>
    </row>
    <row r="368" spans="1:34" ht="13">
      <c r="A368" s="134"/>
      <c r="B368" s="470"/>
      <c r="C368" s="471"/>
      <c r="D368" s="859">
        <f>VLOOKUP(E368,'1.1a-Jaarprijzen'!B:G,6,FALSE)</f>
        <v>2</v>
      </c>
      <c r="E368" s="845" t="s">
        <v>485</v>
      </c>
      <c r="F368" s="798" t="s">
        <v>736</v>
      </c>
      <c r="G368" s="799" t="s">
        <v>460</v>
      </c>
      <c r="H368" s="845" t="s">
        <v>481</v>
      </c>
      <c r="I368" s="573" t="str">
        <f t="shared" si="100"/>
        <v>niet van toepassing</v>
      </c>
      <c r="J368" s="852" t="s">
        <v>54</v>
      </c>
      <c r="K368" s="800"/>
      <c r="L368" s="800">
        <v>7.93</v>
      </c>
      <c r="M368" s="867" t="s">
        <v>19</v>
      </c>
      <c r="N368" s="868"/>
      <c r="O368" s="869"/>
      <c r="P368" s="869"/>
      <c r="Q368" s="866">
        <f t="shared" si="93"/>
        <v>0</v>
      </c>
      <c r="R368" s="600">
        <v>1</v>
      </c>
      <c r="S368" s="600">
        <v>1</v>
      </c>
      <c r="T368" s="468">
        <f t="shared" si="94"/>
        <v>0</v>
      </c>
      <c r="U368" s="468">
        <f t="shared" si="95"/>
        <v>0</v>
      </c>
      <c r="V368" s="468">
        <f t="shared" si="96"/>
        <v>0</v>
      </c>
      <c r="W368" s="468">
        <f t="shared" si="97"/>
        <v>0</v>
      </c>
      <c r="X368" s="601">
        <f t="shared" si="87"/>
        <v>0</v>
      </c>
      <c r="Y368" s="601">
        <f t="shared" si="88"/>
        <v>0</v>
      </c>
      <c r="Z368" s="601">
        <f t="shared" si="89"/>
        <v>0</v>
      </c>
      <c r="AA368" s="601">
        <f t="shared" si="90"/>
        <v>0</v>
      </c>
      <c r="AB368" s="602">
        <f t="shared" si="91"/>
        <v>0</v>
      </c>
      <c r="AC368" s="847"/>
      <c r="AD368" s="603">
        <f>(T368+U368+V368)*'1.0-Contractblad'!$K$69</f>
        <v>0</v>
      </c>
      <c r="AE368" s="603"/>
      <c r="AF368" s="58">
        <f t="shared" si="92"/>
        <v>0</v>
      </c>
      <c r="AG368" s="58">
        <f t="shared" si="98"/>
        <v>0</v>
      </c>
      <c r="AH368" s="58" t="str">
        <f t="shared" si="99"/>
        <v>nvt-0</v>
      </c>
    </row>
    <row r="369" spans="1:34" ht="13">
      <c r="A369" s="134"/>
      <c r="B369" s="470"/>
      <c r="C369" s="471"/>
      <c r="D369" s="859">
        <f>VLOOKUP(E369,'1.1a-Jaarprijzen'!B:G,6,FALSE)</f>
        <v>2</v>
      </c>
      <c r="E369" s="845" t="s">
        <v>485</v>
      </c>
      <c r="F369" s="798" t="s">
        <v>736</v>
      </c>
      <c r="G369" s="799" t="s">
        <v>461</v>
      </c>
      <c r="H369" s="845" t="s">
        <v>482</v>
      </c>
      <c r="I369" s="573" t="str">
        <f t="shared" si="100"/>
        <v>niet van toepassing</v>
      </c>
      <c r="J369" s="852" t="s">
        <v>330</v>
      </c>
      <c r="K369" s="800"/>
      <c r="L369" s="800">
        <v>36.090000000000003</v>
      </c>
      <c r="M369" s="867" t="s">
        <v>19</v>
      </c>
      <c r="N369" s="868"/>
      <c r="O369" s="869"/>
      <c r="P369" s="869"/>
      <c r="Q369" s="866">
        <f t="shared" si="93"/>
        <v>0</v>
      </c>
      <c r="R369" s="600">
        <v>1</v>
      </c>
      <c r="S369" s="600">
        <v>1</v>
      </c>
      <c r="T369" s="468">
        <f t="shared" si="94"/>
        <v>0</v>
      </c>
      <c r="U369" s="468">
        <f t="shared" si="95"/>
        <v>0</v>
      </c>
      <c r="V369" s="468">
        <f t="shared" si="96"/>
        <v>0</v>
      </c>
      <c r="W369" s="468">
        <f t="shared" si="97"/>
        <v>0</v>
      </c>
      <c r="X369" s="601">
        <f t="shared" si="87"/>
        <v>0</v>
      </c>
      <c r="Y369" s="601">
        <f t="shared" si="88"/>
        <v>0</v>
      </c>
      <c r="Z369" s="601">
        <f t="shared" si="89"/>
        <v>0</v>
      </c>
      <c r="AA369" s="601">
        <f t="shared" si="90"/>
        <v>0</v>
      </c>
      <c r="AB369" s="602">
        <f t="shared" si="91"/>
        <v>0</v>
      </c>
      <c r="AC369" s="847"/>
      <c r="AD369" s="603">
        <f>(T369+U369+V369)*'1.0-Contractblad'!$K$69</f>
        <v>0</v>
      </c>
      <c r="AE369" s="603"/>
      <c r="AF369" s="58">
        <f t="shared" si="92"/>
        <v>0</v>
      </c>
      <c r="AG369" s="58">
        <f t="shared" si="98"/>
        <v>0</v>
      </c>
      <c r="AH369" s="58" t="str">
        <f t="shared" si="99"/>
        <v>nvt-0</v>
      </c>
    </row>
    <row r="370" spans="1:34" ht="13">
      <c r="A370" s="134"/>
      <c r="B370" s="470"/>
      <c r="C370" s="471"/>
      <c r="D370" s="859">
        <f>VLOOKUP(E370,'1.1a-Jaarprijzen'!B:G,6,FALSE)</f>
        <v>2</v>
      </c>
      <c r="E370" s="845" t="s">
        <v>485</v>
      </c>
      <c r="F370" s="798" t="s">
        <v>737</v>
      </c>
      <c r="G370" s="799" t="s">
        <v>483</v>
      </c>
      <c r="H370" s="845" t="s">
        <v>484</v>
      </c>
      <c r="I370" s="573" t="str">
        <f t="shared" si="100"/>
        <v>niet van toepassing</v>
      </c>
      <c r="J370" s="852" t="s">
        <v>330</v>
      </c>
      <c r="K370" s="800"/>
      <c r="L370" s="800">
        <v>28</v>
      </c>
      <c r="M370" s="867" t="s">
        <v>19</v>
      </c>
      <c r="N370" s="868"/>
      <c r="O370" s="869"/>
      <c r="P370" s="869"/>
      <c r="Q370" s="866">
        <f t="shared" si="93"/>
        <v>0</v>
      </c>
      <c r="R370" s="600">
        <v>1</v>
      </c>
      <c r="S370" s="600">
        <v>1</v>
      </c>
      <c r="T370" s="468">
        <f t="shared" si="94"/>
        <v>0</v>
      </c>
      <c r="U370" s="468">
        <f t="shared" si="95"/>
        <v>0</v>
      </c>
      <c r="V370" s="468">
        <f t="shared" si="96"/>
        <v>0</v>
      </c>
      <c r="W370" s="468">
        <f t="shared" si="97"/>
        <v>0</v>
      </c>
      <c r="X370" s="601">
        <f t="shared" si="87"/>
        <v>0</v>
      </c>
      <c r="Y370" s="601">
        <f t="shared" si="88"/>
        <v>0</v>
      </c>
      <c r="Z370" s="601">
        <f t="shared" si="89"/>
        <v>0</v>
      </c>
      <c r="AA370" s="601">
        <f t="shared" si="90"/>
        <v>0</v>
      </c>
      <c r="AB370" s="602">
        <f t="shared" si="91"/>
        <v>0</v>
      </c>
      <c r="AC370" s="847"/>
      <c r="AD370" s="603">
        <f>(T370+U370+V370)*'1.0-Contractblad'!$K$69</f>
        <v>0</v>
      </c>
      <c r="AE370" s="603"/>
      <c r="AF370" s="58">
        <f t="shared" si="92"/>
        <v>0</v>
      </c>
      <c r="AG370" s="58">
        <f t="shared" si="98"/>
        <v>0</v>
      </c>
      <c r="AH370" s="58" t="str">
        <f t="shared" si="99"/>
        <v>nvt-0</v>
      </c>
    </row>
    <row r="371" spans="1:34" ht="13">
      <c r="A371" s="134"/>
      <c r="B371" s="470"/>
      <c r="C371" s="471"/>
      <c r="D371" s="859">
        <f>VLOOKUP(E371,'1.1a-Jaarprijzen'!B:G,6,FALSE)</f>
        <v>2</v>
      </c>
      <c r="E371" s="845" t="s">
        <v>485</v>
      </c>
      <c r="F371" s="798" t="s">
        <v>469</v>
      </c>
      <c r="G371" s="799" t="s">
        <v>488</v>
      </c>
      <c r="H371" s="845" t="s">
        <v>489</v>
      </c>
      <c r="I371" s="573" t="str">
        <f t="shared" si="100"/>
        <v>niet van toepassing</v>
      </c>
      <c r="J371" s="694" t="s">
        <v>326</v>
      </c>
      <c r="K371" s="800"/>
      <c r="L371" s="800">
        <v>69.63</v>
      </c>
      <c r="M371" s="867" t="s">
        <v>19</v>
      </c>
      <c r="N371" s="868"/>
      <c r="O371" s="869"/>
      <c r="P371" s="869"/>
      <c r="Q371" s="866">
        <f t="shared" si="93"/>
        <v>0</v>
      </c>
      <c r="R371" s="600">
        <v>1</v>
      </c>
      <c r="S371" s="600">
        <v>1</v>
      </c>
      <c r="T371" s="468">
        <f t="shared" si="94"/>
        <v>0</v>
      </c>
      <c r="U371" s="468">
        <f t="shared" si="95"/>
        <v>0</v>
      </c>
      <c r="V371" s="468">
        <f t="shared" si="96"/>
        <v>0</v>
      </c>
      <c r="W371" s="468">
        <f t="shared" si="97"/>
        <v>0</v>
      </c>
      <c r="X371" s="601">
        <f t="shared" si="87"/>
        <v>0</v>
      </c>
      <c r="Y371" s="601">
        <f t="shared" si="88"/>
        <v>0</v>
      </c>
      <c r="Z371" s="601">
        <f t="shared" si="89"/>
        <v>0</v>
      </c>
      <c r="AA371" s="601">
        <f t="shared" si="90"/>
        <v>0</v>
      </c>
      <c r="AB371" s="602">
        <f t="shared" si="91"/>
        <v>0</v>
      </c>
      <c r="AC371" s="847"/>
      <c r="AD371" s="603">
        <f>(T371+U371+V371)*'1.0-Contractblad'!$K$69</f>
        <v>0</v>
      </c>
      <c r="AE371" s="603"/>
      <c r="AF371" s="58">
        <f t="shared" si="92"/>
        <v>0</v>
      </c>
      <c r="AG371" s="58">
        <f t="shared" si="98"/>
        <v>0</v>
      </c>
      <c r="AH371" s="58" t="str">
        <f t="shared" si="99"/>
        <v>nvt-0</v>
      </c>
    </row>
    <row r="372" spans="1:34" ht="13">
      <c r="A372" s="134"/>
      <c r="B372" s="470"/>
      <c r="C372" s="471"/>
      <c r="D372" s="859">
        <f>VLOOKUP(E372,'1.1a-Jaarprijzen'!B:G,6,FALSE)</f>
        <v>2</v>
      </c>
      <c r="E372" s="845" t="s">
        <v>485</v>
      </c>
      <c r="F372" s="798" t="s">
        <v>469</v>
      </c>
      <c r="G372" s="799" t="s">
        <v>490</v>
      </c>
      <c r="H372" s="845" t="s">
        <v>491</v>
      </c>
      <c r="I372" s="573" t="str">
        <f t="shared" si="100"/>
        <v>kleedruimten</v>
      </c>
      <c r="J372" s="694" t="s">
        <v>462</v>
      </c>
      <c r="K372" s="800">
        <v>12.27</v>
      </c>
      <c r="L372" s="800"/>
      <c r="M372" s="867">
        <v>10051</v>
      </c>
      <c r="N372" s="868"/>
      <c r="O372" s="869"/>
      <c r="P372" s="869"/>
      <c r="Q372" s="866">
        <f t="shared" si="93"/>
        <v>51</v>
      </c>
      <c r="R372" s="600">
        <v>1</v>
      </c>
      <c r="S372" s="600">
        <v>1</v>
      </c>
      <c r="T372" s="468">
        <f t="shared" si="94"/>
        <v>0</v>
      </c>
      <c r="U372" s="468">
        <f t="shared" si="95"/>
        <v>0</v>
      </c>
      <c r="V372" s="468">
        <f t="shared" si="96"/>
        <v>0</v>
      </c>
      <c r="W372" s="468">
        <f t="shared" si="97"/>
        <v>0</v>
      </c>
      <c r="X372" s="601">
        <f t="shared" si="87"/>
        <v>0</v>
      </c>
      <c r="Y372" s="601">
        <f t="shared" si="88"/>
        <v>0</v>
      </c>
      <c r="Z372" s="601">
        <f t="shared" si="89"/>
        <v>0</v>
      </c>
      <c r="AA372" s="601">
        <f t="shared" si="90"/>
        <v>0</v>
      </c>
      <c r="AB372" s="602" t="str">
        <f t="shared" si="91"/>
        <v>V</v>
      </c>
      <c r="AC372" s="847" t="s">
        <v>1234</v>
      </c>
      <c r="AD372" s="603">
        <f>(T372+U372+V372)*'1.0-Contractblad'!$K$69</f>
        <v>0</v>
      </c>
      <c r="AE372" s="603"/>
      <c r="AF372" s="58">
        <f t="shared" si="92"/>
        <v>0</v>
      </c>
      <c r="AG372" s="58">
        <f t="shared" si="98"/>
        <v>625.77</v>
      </c>
      <c r="AH372" s="58" t="str">
        <f t="shared" si="99"/>
        <v>10051-51</v>
      </c>
    </row>
    <row r="373" spans="1:34" ht="13">
      <c r="A373" s="134"/>
      <c r="B373" s="470"/>
      <c r="C373" s="471"/>
      <c r="D373" s="859">
        <f>VLOOKUP(E373,'1.1a-Jaarprijzen'!B:G,6,FALSE)</f>
        <v>2</v>
      </c>
      <c r="E373" s="845" t="s">
        <v>485</v>
      </c>
      <c r="F373" s="798" t="s">
        <v>469</v>
      </c>
      <c r="G373" s="799" t="s">
        <v>492</v>
      </c>
      <c r="H373" s="845" t="s">
        <v>493</v>
      </c>
      <c r="I373" s="573" t="str">
        <f t="shared" si="100"/>
        <v>sanitaire ruimte (toilet-/doucheruimte)</v>
      </c>
      <c r="J373" s="694" t="s">
        <v>462</v>
      </c>
      <c r="K373" s="800">
        <v>1.77</v>
      </c>
      <c r="L373" s="800"/>
      <c r="M373" s="867">
        <v>4051</v>
      </c>
      <c r="N373" s="868"/>
      <c r="O373" s="869"/>
      <c r="P373" s="869"/>
      <c r="Q373" s="866">
        <f t="shared" si="93"/>
        <v>51</v>
      </c>
      <c r="R373" s="600">
        <v>1</v>
      </c>
      <c r="S373" s="600">
        <v>1</v>
      </c>
      <c r="T373" s="468">
        <f t="shared" si="94"/>
        <v>0</v>
      </c>
      <c r="U373" s="468">
        <f t="shared" si="95"/>
        <v>0</v>
      </c>
      <c r="V373" s="468">
        <f t="shared" si="96"/>
        <v>0</v>
      </c>
      <c r="W373" s="468">
        <f t="shared" si="97"/>
        <v>0</v>
      </c>
      <c r="X373" s="601">
        <f t="shared" si="87"/>
        <v>0</v>
      </c>
      <c r="Y373" s="601">
        <f t="shared" si="88"/>
        <v>0</v>
      </c>
      <c r="Z373" s="601">
        <f t="shared" si="89"/>
        <v>0</v>
      </c>
      <c r="AA373" s="601">
        <f t="shared" si="90"/>
        <v>0</v>
      </c>
      <c r="AB373" s="602" t="str">
        <f t="shared" si="91"/>
        <v>S</v>
      </c>
      <c r="AC373" s="847" t="s">
        <v>1234</v>
      </c>
      <c r="AD373" s="603">
        <f>(T373+U373+V373)*'1.0-Contractblad'!$K$69</f>
        <v>0</v>
      </c>
      <c r="AE373" s="603"/>
      <c r="AF373" s="58">
        <f t="shared" si="92"/>
        <v>0</v>
      </c>
      <c r="AG373" s="58">
        <f t="shared" si="98"/>
        <v>90.27</v>
      </c>
      <c r="AH373" s="58" t="str">
        <f t="shared" si="99"/>
        <v>4051-51</v>
      </c>
    </row>
    <row r="374" spans="1:34" ht="13">
      <c r="A374" s="134"/>
      <c r="B374" s="470"/>
      <c r="C374" s="471"/>
      <c r="D374" s="859">
        <f>VLOOKUP(E374,'1.1a-Jaarprijzen'!B:G,6,FALSE)</f>
        <v>2</v>
      </c>
      <c r="E374" s="845" t="s">
        <v>485</v>
      </c>
      <c r="F374" s="798" t="s">
        <v>469</v>
      </c>
      <c r="G374" s="799" t="s">
        <v>494</v>
      </c>
      <c r="H374" s="845" t="s">
        <v>495</v>
      </c>
      <c r="I374" s="573" t="str">
        <f t="shared" si="100"/>
        <v>sanitaire ruimte (toilet-/doucheruimte)</v>
      </c>
      <c r="J374" s="694" t="s">
        <v>462</v>
      </c>
      <c r="K374" s="800">
        <v>1</v>
      </c>
      <c r="L374" s="800"/>
      <c r="M374" s="867">
        <v>4051</v>
      </c>
      <c r="N374" s="868"/>
      <c r="O374" s="869"/>
      <c r="P374" s="869"/>
      <c r="Q374" s="866">
        <f t="shared" si="93"/>
        <v>51</v>
      </c>
      <c r="R374" s="600">
        <v>1</v>
      </c>
      <c r="S374" s="600">
        <v>1</v>
      </c>
      <c r="T374" s="468">
        <f t="shared" si="94"/>
        <v>0</v>
      </c>
      <c r="U374" s="468">
        <f t="shared" si="95"/>
        <v>0</v>
      </c>
      <c r="V374" s="468">
        <f t="shared" si="96"/>
        <v>0</v>
      </c>
      <c r="W374" s="468">
        <f t="shared" si="97"/>
        <v>0</v>
      </c>
      <c r="X374" s="601">
        <f t="shared" si="87"/>
        <v>0</v>
      </c>
      <c r="Y374" s="601">
        <f t="shared" si="88"/>
        <v>0</v>
      </c>
      <c r="Z374" s="601">
        <f t="shared" si="89"/>
        <v>0</v>
      </c>
      <c r="AA374" s="601">
        <f t="shared" si="90"/>
        <v>0</v>
      </c>
      <c r="AB374" s="602" t="str">
        <f t="shared" si="91"/>
        <v>S</v>
      </c>
      <c r="AC374" s="847" t="s">
        <v>1234</v>
      </c>
      <c r="AD374" s="603">
        <f>(T374+U374+V374)*'1.0-Contractblad'!$K$69</f>
        <v>0</v>
      </c>
      <c r="AE374" s="603"/>
      <c r="AF374" s="58">
        <f t="shared" si="92"/>
        <v>0</v>
      </c>
      <c r="AG374" s="58">
        <f t="shared" si="98"/>
        <v>51</v>
      </c>
      <c r="AH374" s="58" t="str">
        <f t="shared" si="99"/>
        <v>4051-51</v>
      </c>
    </row>
    <row r="375" spans="1:34" ht="13">
      <c r="A375" s="134"/>
      <c r="B375" s="470"/>
      <c r="C375" s="471"/>
      <c r="D375" s="859">
        <f>VLOOKUP(E375,'1.1a-Jaarprijzen'!B:G,6,FALSE)</f>
        <v>2</v>
      </c>
      <c r="E375" s="845" t="s">
        <v>485</v>
      </c>
      <c r="F375" s="798" t="s">
        <v>469</v>
      </c>
      <c r="G375" s="799" t="s">
        <v>496</v>
      </c>
      <c r="H375" s="845" t="s">
        <v>466</v>
      </c>
      <c r="I375" s="573" t="str">
        <f t="shared" si="100"/>
        <v>sanitaire ruimte (toilet-/doucheruimte)</v>
      </c>
      <c r="J375" s="694" t="s">
        <v>462</v>
      </c>
      <c r="K375" s="800">
        <v>1.29</v>
      </c>
      <c r="L375" s="800"/>
      <c r="M375" s="867">
        <v>4051</v>
      </c>
      <c r="N375" s="868"/>
      <c r="O375" s="869"/>
      <c r="P375" s="869"/>
      <c r="Q375" s="866">
        <f t="shared" si="93"/>
        <v>51</v>
      </c>
      <c r="R375" s="600">
        <v>1</v>
      </c>
      <c r="S375" s="600">
        <v>1</v>
      </c>
      <c r="T375" s="468">
        <f t="shared" si="94"/>
        <v>0</v>
      </c>
      <c r="U375" s="468">
        <f t="shared" si="95"/>
        <v>0</v>
      </c>
      <c r="V375" s="468">
        <f t="shared" si="96"/>
        <v>0</v>
      </c>
      <c r="W375" s="468">
        <f t="shared" si="97"/>
        <v>0</v>
      </c>
      <c r="X375" s="601">
        <f t="shared" si="87"/>
        <v>0</v>
      </c>
      <c r="Y375" s="601">
        <f t="shared" si="88"/>
        <v>0</v>
      </c>
      <c r="Z375" s="601">
        <f t="shared" si="89"/>
        <v>0</v>
      </c>
      <c r="AA375" s="601">
        <f t="shared" si="90"/>
        <v>0</v>
      </c>
      <c r="AB375" s="602" t="str">
        <f t="shared" si="91"/>
        <v>S</v>
      </c>
      <c r="AC375" s="847" t="s">
        <v>1234</v>
      </c>
      <c r="AD375" s="603">
        <f>(T375+U375+V375)*'1.0-Contractblad'!$K$69</f>
        <v>0</v>
      </c>
      <c r="AE375" s="603"/>
      <c r="AF375" s="58">
        <f t="shared" si="92"/>
        <v>0</v>
      </c>
      <c r="AG375" s="58">
        <f t="shared" si="98"/>
        <v>65.790000000000006</v>
      </c>
      <c r="AH375" s="58" t="str">
        <f t="shared" si="99"/>
        <v>4051-51</v>
      </c>
    </row>
    <row r="376" spans="1:34" ht="13">
      <c r="A376" s="134"/>
      <c r="B376" s="470"/>
      <c r="C376" s="471"/>
      <c r="D376" s="859">
        <f>VLOOKUP(E376,'1.1a-Jaarprijzen'!B:G,6,FALSE)</f>
        <v>2</v>
      </c>
      <c r="E376" s="845" t="s">
        <v>485</v>
      </c>
      <c r="F376" s="798" t="s">
        <v>469</v>
      </c>
      <c r="G376" s="799" t="s">
        <v>497</v>
      </c>
      <c r="H376" s="845" t="s">
        <v>498</v>
      </c>
      <c r="I376" s="573" t="str">
        <f t="shared" si="100"/>
        <v>niet van toepassing</v>
      </c>
      <c r="J376" s="694" t="s">
        <v>462</v>
      </c>
      <c r="K376" s="800"/>
      <c r="L376" s="800">
        <v>9</v>
      </c>
      <c r="M376" s="867" t="s">
        <v>19</v>
      </c>
      <c r="N376" s="868"/>
      <c r="O376" s="869"/>
      <c r="P376" s="869"/>
      <c r="Q376" s="866">
        <f t="shared" si="93"/>
        <v>0</v>
      </c>
      <c r="R376" s="600">
        <v>1</v>
      </c>
      <c r="S376" s="600">
        <v>1</v>
      </c>
      <c r="T376" s="468">
        <f t="shared" si="94"/>
        <v>0</v>
      </c>
      <c r="U376" s="468">
        <f t="shared" si="95"/>
        <v>0</v>
      </c>
      <c r="V376" s="468">
        <f t="shared" si="96"/>
        <v>0</v>
      </c>
      <c r="W376" s="468">
        <f t="shared" si="97"/>
        <v>0</v>
      </c>
      <c r="X376" s="601">
        <f t="shared" si="87"/>
        <v>0</v>
      </c>
      <c r="Y376" s="601">
        <f t="shared" si="88"/>
        <v>0</v>
      </c>
      <c r="Z376" s="601">
        <f t="shared" si="89"/>
        <v>0</v>
      </c>
      <c r="AA376" s="601">
        <f t="shared" si="90"/>
        <v>0</v>
      </c>
      <c r="AB376" s="602">
        <f t="shared" si="91"/>
        <v>0</v>
      </c>
      <c r="AC376" s="847"/>
      <c r="AD376" s="603">
        <f>(T376+U376+V376)*'1.0-Contractblad'!$K$69</f>
        <v>0</v>
      </c>
      <c r="AE376" s="603"/>
      <c r="AF376" s="58">
        <f t="shared" si="92"/>
        <v>0</v>
      </c>
      <c r="AG376" s="58">
        <f t="shared" si="98"/>
        <v>0</v>
      </c>
      <c r="AH376" s="58" t="str">
        <f t="shared" si="99"/>
        <v>nvt-0</v>
      </c>
    </row>
    <row r="377" spans="1:34" ht="13">
      <c r="A377" s="134"/>
      <c r="B377" s="470"/>
      <c r="C377" s="471"/>
      <c r="D377" s="859">
        <f>VLOOKUP(E377,'1.1a-Jaarprijzen'!B:G,6,FALSE)</f>
        <v>2</v>
      </c>
      <c r="E377" s="845" t="s">
        <v>485</v>
      </c>
      <c r="F377" s="798" t="s">
        <v>736</v>
      </c>
      <c r="G377" s="799" t="s">
        <v>499</v>
      </c>
      <c r="H377" s="845" t="s">
        <v>500</v>
      </c>
      <c r="I377" s="573" t="str">
        <f t="shared" si="100"/>
        <v>pantry, keuken, koffiecorner</v>
      </c>
      <c r="J377" s="694" t="s">
        <v>477</v>
      </c>
      <c r="K377" s="800">
        <v>11.54</v>
      </c>
      <c r="L377" s="800"/>
      <c r="M377" s="867">
        <v>5051</v>
      </c>
      <c r="N377" s="868"/>
      <c r="O377" s="869"/>
      <c r="P377" s="869"/>
      <c r="Q377" s="866">
        <f t="shared" si="93"/>
        <v>51</v>
      </c>
      <c r="R377" s="600">
        <v>1</v>
      </c>
      <c r="S377" s="600">
        <v>1</v>
      </c>
      <c r="T377" s="468">
        <f t="shared" si="94"/>
        <v>0</v>
      </c>
      <c r="U377" s="468">
        <f t="shared" si="95"/>
        <v>0</v>
      </c>
      <c r="V377" s="468">
        <f t="shared" si="96"/>
        <v>0</v>
      </c>
      <c r="W377" s="468">
        <f t="shared" si="97"/>
        <v>0</v>
      </c>
      <c r="X377" s="601">
        <f t="shared" si="87"/>
        <v>0</v>
      </c>
      <c r="Y377" s="601">
        <f t="shared" si="88"/>
        <v>0</v>
      </c>
      <c r="Z377" s="601">
        <f t="shared" si="89"/>
        <v>0</v>
      </c>
      <c r="AA377" s="601">
        <f t="shared" si="90"/>
        <v>0</v>
      </c>
      <c r="AB377" s="602" t="str">
        <f t="shared" si="91"/>
        <v>V</v>
      </c>
      <c r="AC377" s="847" t="s">
        <v>1234</v>
      </c>
      <c r="AD377" s="603">
        <f>(T377+U377+V377)*'1.0-Contractblad'!$K$69</f>
        <v>0</v>
      </c>
      <c r="AE377" s="603"/>
      <c r="AF377" s="58">
        <f t="shared" si="92"/>
        <v>0</v>
      </c>
      <c r="AG377" s="58">
        <f t="shared" si="98"/>
        <v>588.54</v>
      </c>
      <c r="AH377" s="58" t="str">
        <f t="shared" si="99"/>
        <v>5051-51</v>
      </c>
    </row>
    <row r="378" spans="1:34" ht="13">
      <c r="A378" s="134"/>
      <c r="B378" s="470"/>
      <c r="C378" s="471"/>
      <c r="D378" s="859">
        <f>VLOOKUP(E378,'1.1a-Jaarprijzen'!B:G,6,FALSE)</f>
        <v>2</v>
      </c>
      <c r="E378" s="845" t="s">
        <v>485</v>
      </c>
      <c r="F378" s="798" t="s">
        <v>736</v>
      </c>
      <c r="G378" s="799" t="s">
        <v>501</v>
      </c>
      <c r="H378" s="845" t="s">
        <v>502</v>
      </c>
      <c r="I378" s="573" t="str">
        <f t="shared" si="100"/>
        <v>verblijfsruimte</v>
      </c>
      <c r="J378" s="694" t="s">
        <v>477</v>
      </c>
      <c r="K378" s="800">
        <v>17.89</v>
      </c>
      <c r="L378" s="800"/>
      <c r="M378" s="867">
        <v>15051</v>
      </c>
      <c r="N378" s="868"/>
      <c r="O378" s="869"/>
      <c r="P378" s="869"/>
      <c r="Q378" s="866">
        <f t="shared" si="93"/>
        <v>51</v>
      </c>
      <c r="R378" s="600">
        <v>1</v>
      </c>
      <c r="S378" s="600">
        <v>1</v>
      </c>
      <c r="T378" s="468">
        <f t="shared" si="94"/>
        <v>0</v>
      </c>
      <c r="U378" s="468">
        <f t="shared" si="95"/>
        <v>0</v>
      </c>
      <c r="V378" s="468">
        <f t="shared" si="96"/>
        <v>0</v>
      </c>
      <c r="W378" s="468">
        <f t="shared" si="97"/>
        <v>0</v>
      </c>
      <c r="X378" s="601">
        <f t="shared" si="87"/>
        <v>0</v>
      </c>
      <c r="Y378" s="601">
        <f t="shared" si="88"/>
        <v>0</v>
      </c>
      <c r="Z378" s="601">
        <f t="shared" si="89"/>
        <v>0</v>
      </c>
      <c r="AA378" s="601">
        <f t="shared" si="90"/>
        <v>0</v>
      </c>
      <c r="AB378" s="602" t="str">
        <f t="shared" si="91"/>
        <v>V</v>
      </c>
      <c r="AC378" s="847" t="s">
        <v>1234</v>
      </c>
      <c r="AD378" s="603">
        <f>(T378+U378+V378)*'1.0-Contractblad'!$K$69</f>
        <v>0</v>
      </c>
      <c r="AE378" s="603"/>
      <c r="AF378" s="58">
        <f t="shared" si="92"/>
        <v>0</v>
      </c>
      <c r="AG378" s="58">
        <f t="shared" si="98"/>
        <v>912.39</v>
      </c>
      <c r="AH378" s="58" t="str">
        <f t="shared" si="99"/>
        <v>15051-51</v>
      </c>
    </row>
    <row r="379" spans="1:34" ht="13">
      <c r="A379" s="134"/>
      <c r="B379" s="470"/>
      <c r="C379" s="471"/>
      <c r="D379" s="859">
        <f>VLOOKUP(E379,'1.1a-Jaarprijzen'!B:G,6,FALSE)</f>
        <v>2</v>
      </c>
      <c r="E379" s="845" t="s">
        <v>485</v>
      </c>
      <c r="F379" s="798" t="s">
        <v>469</v>
      </c>
      <c r="G379" s="799" t="s">
        <v>503</v>
      </c>
      <c r="H379" s="845" t="s">
        <v>504</v>
      </c>
      <c r="I379" s="573" t="str">
        <f t="shared" si="100"/>
        <v>entree, gang, hal, repro, kopieer</v>
      </c>
      <c r="J379" s="694" t="s">
        <v>330</v>
      </c>
      <c r="K379" s="800">
        <v>5.17</v>
      </c>
      <c r="L379" s="800"/>
      <c r="M379" s="867">
        <v>3051</v>
      </c>
      <c r="N379" s="868"/>
      <c r="O379" s="869"/>
      <c r="P379" s="869"/>
      <c r="Q379" s="866">
        <f t="shared" si="93"/>
        <v>51</v>
      </c>
      <c r="R379" s="600">
        <v>1</v>
      </c>
      <c r="S379" s="600">
        <v>1</v>
      </c>
      <c r="T379" s="468">
        <f t="shared" si="94"/>
        <v>0</v>
      </c>
      <c r="U379" s="468">
        <f t="shared" si="95"/>
        <v>0</v>
      </c>
      <c r="V379" s="468">
        <f t="shared" si="96"/>
        <v>0</v>
      </c>
      <c r="W379" s="468">
        <f t="shared" si="97"/>
        <v>0</v>
      </c>
      <c r="X379" s="601">
        <f t="shared" si="87"/>
        <v>0</v>
      </c>
      <c r="Y379" s="601">
        <f t="shared" si="88"/>
        <v>0</v>
      </c>
      <c r="Z379" s="601">
        <f t="shared" si="89"/>
        <v>0</v>
      </c>
      <c r="AA379" s="601">
        <f t="shared" si="90"/>
        <v>0</v>
      </c>
      <c r="AB379" s="602" t="str">
        <f t="shared" si="91"/>
        <v>V</v>
      </c>
      <c r="AC379" s="847" t="s">
        <v>1234</v>
      </c>
      <c r="AD379" s="603">
        <f>(T379+U379+V379)*'1.0-Contractblad'!$K$69</f>
        <v>0</v>
      </c>
      <c r="AE379" s="603"/>
      <c r="AF379" s="58">
        <f t="shared" si="92"/>
        <v>0</v>
      </c>
      <c r="AG379" s="58">
        <f t="shared" si="98"/>
        <v>263.67</v>
      </c>
      <c r="AH379" s="58" t="str">
        <f t="shared" si="99"/>
        <v>3051-51</v>
      </c>
    </row>
    <row r="380" spans="1:34" ht="13">
      <c r="A380" s="134"/>
      <c r="B380" s="470"/>
      <c r="C380" s="471"/>
      <c r="D380" s="859">
        <f>VLOOKUP(E380,'1.1a-Jaarprijzen'!B:G,6,FALSE)</f>
        <v>2</v>
      </c>
      <c r="E380" s="845" t="s">
        <v>485</v>
      </c>
      <c r="F380" s="798" t="s">
        <v>469</v>
      </c>
      <c r="G380" s="799" t="s">
        <v>505</v>
      </c>
      <c r="H380" s="845" t="s">
        <v>506</v>
      </c>
      <c r="I380" s="573" t="str">
        <f t="shared" si="100"/>
        <v>op afroep</v>
      </c>
      <c r="J380" s="870" t="s">
        <v>462</v>
      </c>
      <c r="K380" s="800">
        <v>20.61</v>
      </c>
      <c r="L380" s="800"/>
      <c r="M380" s="867" t="s">
        <v>273</v>
      </c>
      <c r="N380" s="868"/>
      <c r="O380" s="869"/>
      <c r="P380" s="869"/>
      <c r="Q380" s="866">
        <f t="shared" si="93"/>
        <v>0</v>
      </c>
      <c r="R380" s="600">
        <v>1</v>
      </c>
      <c r="S380" s="600">
        <v>1</v>
      </c>
      <c r="T380" s="468">
        <f t="shared" si="94"/>
        <v>0</v>
      </c>
      <c r="U380" s="468">
        <f t="shared" si="95"/>
        <v>0</v>
      </c>
      <c r="V380" s="468">
        <f t="shared" si="96"/>
        <v>0</v>
      </c>
      <c r="W380" s="468">
        <f t="shared" si="97"/>
        <v>0</v>
      </c>
      <c r="X380" s="601">
        <f t="shared" si="87"/>
        <v>0</v>
      </c>
      <c r="Y380" s="601">
        <f t="shared" si="88"/>
        <v>0</v>
      </c>
      <c r="Z380" s="601">
        <f t="shared" si="89"/>
        <v>0</v>
      </c>
      <c r="AA380" s="601">
        <f t="shared" si="90"/>
        <v>0</v>
      </c>
      <c r="AB380" s="602">
        <f t="shared" si="91"/>
        <v>0</v>
      </c>
      <c r="AC380" s="847"/>
      <c r="AD380" s="603">
        <f>(T380+U380+V380)*'1.0-Contractblad'!$K$69</f>
        <v>0</v>
      </c>
      <c r="AE380" s="603"/>
      <c r="AF380" s="58">
        <f t="shared" si="92"/>
        <v>0</v>
      </c>
      <c r="AG380" s="58">
        <f t="shared" si="98"/>
        <v>0</v>
      </c>
      <c r="AH380" s="58" t="str">
        <f t="shared" si="99"/>
        <v>op afroep-0</v>
      </c>
    </row>
    <row r="381" spans="1:34" ht="13">
      <c r="A381" s="134"/>
      <c r="B381" s="470"/>
      <c r="C381" s="471"/>
      <c r="D381" s="859">
        <f>VLOOKUP(E381,'1.1a-Jaarprijzen'!B:G,6,FALSE)</f>
        <v>2</v>
      </c>
      <c r="E381" s="845" t="s">
        <v>485</v>
      </c>
      <c r="F381" s="798" t="s">
        <v>469</v>
      </c>
      <c r="G381" s="799" t="s">
        <v>507</v>
      </c>
      <c r="H381" s="845" t="s">
        <v>508</v>
      </c>
      <c r="I381" s="573" t="str">
        <f t="shared" si="100"/>
        <v>sanitaire ruimte (toilet-/doucheruimte)</v>
      </c>
      <c r="J381" s="870" t="s">
        <v>462</v>
      </c>
      <c r="K381" s="800">
        <v>12.5</v>
      </c>
      <c r="L381" s="800"/>
      <c r="M381" s="867">
        <v>4051</v>
      </c>
      <c r="N381" s="868"/>
      <c r="O381" s="869"/>
      <c r="P381" s="869"/>
      <c r="Q381" s="866">
        <f t="shared" si="93"/>
        <v>51</v>
      </c>
      <c r="R381" s="600">
        <v>1</v>
      </c>
      <c r="S381" s="600">
        <v>1</v>
      </c>
      <c r="T381" s="468">
        <f t="shared" si="94"/>
        <v>0</v>
      </c>
      <c r="U381" s="468">
        <f t="shared" si="95"/>
        <v>0</v>
      </c>
      <c r="V381" s="468">
        <f t="shared" si="96"/>
        <v>0</v>
      </c>
      <c r="W381" s="468">
        <f t="shared" si="97"/>
        <v>0</v>
      </c>
      <c r="X381" s="601">
        <f t="shared" si="87"/>
        <v>0</v>
      </c>
      <c r="Y381" s="601">
        <f t="shared" si="88"/>
        <v>0</v>
      </c>
      <c r="Z381" s="601">
        <f t="shared" si="89"/>
        <v>0</v>
      </c>
      <c r="AA381" s="601">
        <f t="shared" si="90"/>
        <v>0</v>
      </c>
      <c r="AB381" s="602" t="str">
        <f t="shared" si="91"/>
        <v>S</v>
      </c>
      <c r="AC381" s="847" t="s">
        <v>1234</v>
      </c>
      <c r="AD381" s="603">
        <f>(T381+U381+V381)*'1.0-Contractblad'!$K$69</f>
        <v>0</v>
      </c>
      <c r="AE381" s="603"/>
      <c r="AF381" s="58">
        <f t="shared" si="92"/>
        <v>0</v>
      </c>
      <c r="AG381" s="58">
        <f t="shared" si="98"/>
        <v>637.5</v>
      </c>
      <c r="AH381" s="58" t="str">
        <f t="shared" si="99"/>
        <v>4051-51</v>
      </c>
    </row>
    <row r="382" spans="1:34" ht="13">
      <c r="A382" s="134"/>
      <c r="B382" s="470"/>
      <c r="C382" s="471"/>
      <c r="D382" s="859">
        <f>VLOOKUP(E382,'1.1a-Jaarprijzen'!B:G,6,FALSE)</f>
        <v>2</v>
      </c>
      <c r="E382" s="845" t="s">
        <v>485</v>
      </c>
      <c r="F382" s="798" t="s">
        <v>469</v>
      </c>
      <c r="G382" s="799" t="s">
        <v>509</v>
      </c>
      <c r="H382" s="845" t="s">
        <v>510</v>
      </c>
      <c r="I382" s="573" t="str">
        <f t="shared" si="100"/>
        <v>sanitaire ruimte (toilet-/doucheruimte)</v>
      </c>
      <c r="J382" s="870" t="s">
        <v>462</v>
      </c>
      <c r="K382" s="800">
        <v>6.58</v>
      </c>
      <c r="L382" s="800"/>
      <c r="M382" s="867">
        <v>4051</v>
      </c>
      <c r="N382" s="868"/>
      <c r="O382" s="869"/>
      <c r="P382" s="869"/>
      <c r="Q382" s="866">
        <f t="shared" si="93"/>
        <v>51</v>
      </c>
      <c r="R382" s="600">
        <v>1</v>
      </c>
      <c r="S382" s="600">
        <v>1</v>
      </c>
      <c r="T382" s="468">
        <f t="shared" si="94"/>
        <v>0</v>
      </c>
      <c r="U382" s="468">
        <f t="shared" si="95"/>
        <v>0</v>
      </c>
      <c r="V382" s="468">
        <f t="shared" si="96"/>
        <v>0</v>
      </c>
      <c r="W382" s="468">
        <f t="shared" si="97"/>
        <v>0</v>
      </c>
      <c r="X382" s="601">
        <f t="shared" si="87"/>
        <v>0</v>
      </c>
      <c r="Y382" s="601">
        <f t="shared" si="88"/>
        <v>0</v>
      </c>
      <c r="Z382" s="601">
        <f t="shared" si="89"/>
        <v>0</v>
      </c>
      <c r="AA382" s="601">
        <f t="shared" si="90"/>
        <v>0</v>
      </c>
      <c r="AB382" s="602" t="str">
        <f t="shared" si="91"/>
        <v>S</v>
      </c>
      <c r="AC382" s="847" t="s">
        <v>1234</v>
      </c>
      <c r="AD382" s="603">
        <f>(T382+U382+V382)*'1.0-Contractblad'!$K$69</f>
        <v>0</v>
      </c>
      <c r="AE382" s="603"/>
      <c r="AF382" s="58">
        <f t="shared" si="92"/>
        <v>0</v>
      </c>
      <c r="AG382" s="58">
        <f t="shared" si="98"/>
        <v>335.58</v>
      </c>
      <c r="AH382" s="58" t="str">
        <f t="shared" si="99"/>
        <v>4051-51</v>
      </c>
    </row>
    <row r="383" spans="1:34" ht="13">
      <c r="A383" s="134"/>
      <c r="B383" s="470"/>
      <c r="C383" s="471"/>
      <c r="D383" s="859">
        <f>VLOOKUP(E383,'1.1a-Jaarprijzen'!B:G,6,FALSE)</f>
        <v>2</v>
      </c>
      <c r="E383" s="845" t="s">
        <v>485</v>
      </c>
      <c r="F383" s="798" t="s">
        <v>469</v>
      </c>
      <c r="G383" s="799" t="s">
        <v>511</v>
      </c>
      <c r="H383" s="845" t="s">
        <v>512</v>
      </c>
      <c r="I383" s="573" t="str">
        <f t="shared" si="100"/>
        <v>sanitaire ruimte (toilet-/doucheruimte)</v>
      </c>
      <c r="J383" s="870" t="s">
        <v>462</v>
      </c>
      <c r="K383" s="800">
        <v>11.8</v>
      </c>
      <c r="L383" s="800"/>
      <c r="M383" s="867">
        <v>4051</v>
      </c>
      <c r="N383" s="868"/>
      <c r="O383" s="869"/>
      <c r="P383" s="869"/>
      <c r="Q383" s="866">
        <f t="shared" si="93"/>
        <v>51</v>
      </c>
      <c r="R383" s="600">
        <v>1</v>
      </c>
      <c r="S383" s="600">
        <v>1</v>
      </c>
      <c r="T383" s="468">
        <f t="shared" si="94"/>
        <v>0</v>
      </c>
      <c r="U383" s="468">
        <f t="shared" si="95"/>
        <v>0</v>
      </c>
      <c r="V383" s="468">
        <f t="shared" si="96"/>
        <v>0</v>
      </c>
      <c r="W383" s="468">
        <f t="shared" si="97"/>
        <v>0</v>
      </c>
      <c r="X383" s="601">
        <f t="shared" si="87"/>
        <v>0</v>
      </c>
      <c r="Y383" s="601">
        <f t="shared" si="88"/>
        <v>0</v>
      </c>
      <c r="Z383" s="601">
        <f t="shared" si="89"/>
        <v>0</v>
      </c>
      <c r="AA383" s="601">
        <f t="shared" si="90"/>
        <v>0</v>
      </c>
      <c r="AB383" s="602" t="str">
        <f t="shared" si="91"/>
        <v>S</v>
      </c>
      <c r="AC383" s="847" t="s">
        <v>1234</v>
      </c>
      <c r="AD383" s="603">
        <f>(T383+U383+V383)*'1.0-Contractblad'!$K$69</f>
        <v>0</v>
      </c>
      <c r="AE383" s="603"/>
      <c r="AF383" s="58">
        <f t="shared" si="92"/>
        <v>0</v>
      </c>
      <c r="AG383" s="58">
        <f t="shared" si="98"/>
        <v>601.80000000000007</v>
      </c>
      <c r="AH383" s="58" t="str">
        <f t="shared" si="99"/>
        <v>4051-51</v>
      </c>
    </row>
    <row r="384" spans="1:34" ht="13">
      <c r="A384" s="134"/>
      <c r="B384" s="470"/>
      <c r="C384" s="471"/>
      <c r="D384" s="859">
        <f>VLOOKUP(E384,'1.1a-Jaarprijzen'!B:G,6,FALSE)</f>
        <v>2</v>
      </c>
      <c r="E384" s="845" t="s">
        <v>485</v>
      </c>
      <c r="F384" s="798" t="s">
        <v>469</v>
      </c>
      <c r="G384" s="799" t="s">
        <v>513</v>
      </c>
      <c r="H384" s="845" t="s">
        <v>514</v>
      </c>
      <c r="I384" s="573" t="str">
        <f t="shared" si="100"/>
        <v>administratieve -, personeels- en vergaderruimte</v>
      </c>
      <c r="J384" s="694" t="s">
        <v>330</v>
      </c>
      <c r="K384" s="800">
        <v>113.83</v>
      </c>
      <c r="L384" s="800"/>
      <c r="M384" s="867">
        <v>1051</v>
      </c>
      <c r="N384" s="868"/>
      <c r="O384" s="869"/>
      <c r="P384" s="869"/>
      <c r="Q384" s="866">
        <f t="shared" si="93"/>
        <v>51</v>
      </c>
      <c r="R384" s="600">
        <v>1</v>
      </c>
      <c r="S384" s="600">
        <v>1</v>
      </c>
      <c r="T384" s="468">
        <f t="shared" si="94"/>
        <v>0</v>
      </c>
      <c r="U384" s="468">
        <f t="shared" si="95"/>
        <v>0</v>
      </c>
      <c r="V384" s="468">
        <f t="shared" si="96"/>
        <v>0</v>
      </c>
      <c r="W384" s="468">
        <f t="shared" si="97"/>
        <v>0</v>
      </c>
      <c r="X384" s="601">
        <f t="shared" si="87"/>
        <v>0</v>
      </c>
      <c r="Y384" s="601">
        <f t="shared" si="88"/>
        <v>0</v>
      </c>
      <c r="Z384" s="601">
        <f t="shared" si="89"/>
        <v>0</v>
      </c>
      <c r="AA384" s="601">
        <f t="shared" si="90"/>
        <v>0</v>
      </c>
      <c r="AB384" s="602" t="str">
        <f t="shared" si="91"/>
        <v>B</v>
      </c>
      <c r="AC384" s="847" t="s">
        <v>1234</v>
      </c>
      <c r="AD384" s="603">
        <f>(T384+U384+V384)*'1.0-Contractblad'!$K$69</f>
        <v>0</v>
      </c>
      <c r="AE384" s="603"/>
      <c r="AF384" s="58">
        <f t="shared" si="92"/>
        <v>0</v>
      </c>
      <c r="AG384" s="58">
        <f t="shared" si="98"/>
        <v>5805.33</v>
      </c>
      <c r="AH384" s="58" t="str">
        <f t="shared" si="99"/>
        <v>1051-51</v>
      </c>
    </row>
    <row r="385" spans="1:34" ht="13">
      <c r="A385" s="134"/>
      <c r="B385" s="470"/>
      <c r="C385" s="471"/>
      <c r="D385" s="859">
        <f>VLOOKUP(E385,'1.1a-Jaarprijzen'!B:G,6,FALSE)</f>
        <v>2</v>
      </c>
      <c r="E385" s="845" t="s">
        <v>797</v>
      </c>
      <c r="F385" s="798" t="s">
        <v>469</v>
      </c>
      <c r="G385" s="799" t="s">
        <v>503</v>
      </c>
      <c r="H385" s="573" t="s">
        <v>526</v>
      </c>
      <c r="I385" s="573" t="str">
        <f t="shared" si="100"/>
        <v>buitenbordes</v>
      </c>
      <c r="J385" s="694" t="s">
        <v>462</v>
      </c>
      <c r="K385" s="800">
        <v>15.68</v>
      </c>
      <c r="L385" s="800"/>
      <c r="M385" s="867">
        <v>16104</v>
      </c>
      <c r="N385" s="868"/>
      <c r="O385" s="869"/>
      <c r="P385" s="869"/>
      <c r="Q385" s="866">
        <f t="shared" si="93"/>
        <v>104</v>
      </c>
      <c r="R385" s="600">
        <v>1</v>
      </c>
      <c r="S385" s="600">
        <v>1</v>
      </c>
      <c r="T385" s="468">
        <f t="shared" si="94"/>
        <v>0</v>
      </c>
      <c r="U385" s="468">
        <f t="shared" si="95"/>
        <v>0</v>
      </c>
      <c r="V385" s="468">
        <f t="shared" si="96"/>
        <v>0</v>
      </c>
      <c r="W385" s="468">
        <f t="shared" si="97"/>
        <v>0</v>
      </c>
      <c r="X385" s="601">
        <f t="shared" si="87"/>
        <v>0</v>
      </c>
      <c r="Y385" s="601">
        <f t="shared" si="88"/>
        <v>0</v>
      </c>
      <c r="Z385" s="601">
        <f t="shared" si="89"/>
        <v>0</v>
      </c>
      <c r="AA385" s="601">
        <f t="shared" si="90"/>
        <v>0</v>
      </c>
      <c r="AB385" s="602" t="str">
        <f t="shared" si="91"/>
        <v>V</v>
      </c>
      <c r="AC385" s="847" t="s">
        <v>1231</v>
      </c>
      <c r="AD385" s="603">
        <f>(T385+U385+V385)*'1.0-Contractblad'!$K$69</f>
        <v>0</v>
      </c>
      <c r="AE385" s="603"/>
      <c r="AF385" s="58">
        <f t="shared" si="92"/>
        <v>0</v>
      </c>
      <c r="AG385" s="58">
        <f t="shared" si="98"/>
        <v>1630.72</v>
      </c>
      <c r="AH385" s="58" t="str">
        <f t="shared" si="99"/>
        <v>16104-104</v>
      </c>
    </row>
    <row r="386" spans="1:34" ht="13">
      <c r="A386" s="134"/>
      <c r="B386" s="470"/>
      <c r="C386" s="471"/>
      <c r="D386" s="859">
        <f>VLOOKUP(E386,'1.1a-Jaarprijzen'!B:G,6,FALSE)</f>
        <v>2</v>
      </c>
      <c r="E386" s="845" t="s">
        <v>797</v>
      </c>
      <c r="F386" s="798" t="s">
        <v>469</v>
      </c>
      <c r="G386" s="799" t="s">
        <v>488</v>
      </c>
      <c r="H386" s="573" t="s">
        <v>528</v>
      </c>
      <c r="I386" s="573" t="str">
        <f t="shared" si="100"/>
        <v>entree, gang, hal, repro, kopieer</v>
      </c>
      <c r="J386" s="694" t="s">
        <v>462</v>
      </c>
      <c r="K386" s="800">
        <v>29.83</v>
      </c>
      <c r="L386" s="800"/>
      <c r="M386" s="867">
        <v>3104</v>
      </c>
      <c r="N386" s="868"/>
      <c r="O386" s="869"/>
      <c r="P386" s="869"/>
      <c r="Q386" s="866">
        <f t="shared" si="93"/>
        <v>104</v>
      </c>
      <c r="R386" s="600">
        <v>1</v>
      </c>
      <c r="S386" s="600">
        <v>1</v>
      </c>
      <c r="T386" s="468">
        <f t="shared" si="94"/>
        <v>0</v>
      </c>
      <c r="U386" s="468">
        <f t="shared" si="95"/>
        <v>0</v>
      </c>
      <c r="V386" s="468">
        <f t="shared" si="96"/>
        <v>0</v>
      </c>
      <c r="W386" s="468">
        <f t="shared" si="97"/>
        <v>0</v>
      </c>
      <c r="X386" s="601">
        <f t="shared" si="87"/>
        <v>0</v>
      </c>
      <c r="Y386" s="601">
        <f t="shared" si="88"/>
        <v>0</v>
      </c>
      <c r="Z386" s="601">
        <f t="shared" si="89"/>
        <v>0</v>
      </c>
      <c r="AA386" s="601">
        <f t="shared" si="90"/>
        <v>0</v>
      </c>
      <c r="AB386" s="602" t="str">
        <f t="shared" si="91"/>
        <v>V</v>
      </c>
      <c r="AC386" s="847" t="s">
        <v>1231</v>
      </c>
      <c r="AD386" s="603">
        <f>(T386+U386+V386)*'1.0-Contractblad'!$K$69</f>
        <v>0</v>
      </c>
      <c r="AE386" s="603"/>
      <c r="AF386" s="58">
        <f t="shared" si="92"/>
        <v>0</v>
      </c>
      <c r="AG386" s="58">
        <f t="shared" si="98"/>
        <v>3102.3199999999997</v>
      </c>
      <c r="AH386" s="58" t="str">
        <f t="shared" si="99"/>
        <v>3104-104</v>
      </c>
    </row>
    <row r="387" spans="1:34" ht="13">
      <c r="A387" s="134"/>
      <c r="B387" s="470"/>
      <c r="C387" s="471"/>
      <c r="D387" s="859">
        <f>VLOOKUP(E387,'1.1a-Jaarprijzen'!B:G,6,FALSE)</f>
        <v>2</v>
      </c>
      <c r="E387" s="845" t="s">
        <v>797</v>
      </c>
      <c r="F387" s="798" t="s">
        <v>469</v>
      </c>
      <c r="G387" s="799" t="s">
        <v>490</v>
      </c>
      <c r="H387" s="573" t="s">
        <v>502</v>
      </c>
      <c r="I387" s="573" t="str">
        <f t="shared" si="100"/>
        <v>pantry, keuken, koffiecorner</v>
      </c>
      <c r="J387" s="694" t="s">
        <v>462</v>
      </c>
      <c r="K387" s="800">
        <v>97.93</v>
      </c>
      <c r="L387" s="800"/>
      <c r="M387" s="867">
        <v>5104</v>
      </c>
      <c r="N387" s="868"/>
      <c r="O387" s="869"/>
      <c r="P387" s="869"/>
      <c r="Q387" s="866">
        <f t="shared" si="93"/>
        <v>104</v>
      </c>
      <c r="R387" s="600">
        <v>1</v>
      </c>
      <c r="S387" s="600">
        <v>1</v>
      </c>
      <c r="T387" s="468">
        <f t="shared" si="94"/>
        <v>0</v>
      </c>
      <c r="U387" s="468">
        <f t="shared" si="95"/>
        <v>0</v>
      </c>
      <c r="V387" s="468">
        <f t="shared" si="96"/>
        <v>0</v>
      </c>
      <c r="W387" s="468">
        <f t="shared" si="97"/>
        <v>0</v>
      </c>
      <c r="X387" s="601">
        <f t="shared" si="87"/>
        <v>0</v>
      </c>
      <c r="Y387" s="601">
        <f t="shared" si="88"/>
        <v>0</v>
      </c>
      <c r="Z387" s="601">
        <f t="shared" si="89"/>
        <v>0</v>
      </c>
      <c r="AA387" s="601">
        <f t="shared" si="90"/>
        <v>0</v>
      </c>
      <c r="AB387" s="602" t="str">
        <f t="shared" si="91"/>
        <v>V</v>
      </c>
      <c r="AC387" s="854" t="s">
        <v>1117</v>
      </c>
      <c r="AD387" s="603">
        <f>(T387+U387+V387)*'1.0-Contractblad'!$K$69</f>
        <v>0</v>
      </c>
      <c r="AE387" s="603"/>
      <c r="AF387" s="58">
        <f t="shared" si="92"/>
        <v>0</v>
      </c>
      <c r="AG387" s="58">
        <f t="shared" si="98"/>
        <v>10184.720000000001</v>
      </c>
      <c r="AH387" s="58" t="str">
        <f t="shared" si="99"/>
        <v>5104-104</v>
      </c>
    </row>
    <row r="388" spans="1:34" ht="13">
      <c r="A388" s="134"/>
      <c r="B388" s="470"/>
      <c r="C388" s="471"/>
      <c r="D388" s="859">
        <f>VLOOKUP(E388,'1.1a-Jaarprijzen'!B:G,6,FALSE)</f>
        <v>2</v>
      </c>
      <c r="E388" s="845" t="s">
        <v>797</v>
      </c>
      <c r="F388" s="798" t="s">
        <v>469</v>
      </c>
      <c r="G388" s="799" t="s">
        <v>492</v>
      </c>
      <c r="H388" s="573" t="s">
        <v>500</v>
      </c>
      <c r="I388" s="573" t="str">
        <f t="shared" si="100"/>
        <v>pantry, keuken, koffiecorner</v>
      </c>
      <c r="J388" s="694" t="s">
        <v>462</v>
      </c>
      <c r="K388" s="800"/>
      <c r="L388" s="800"/>
      <c r="M388" s="867">
        <v>5104</v>
      </c>
      <c r="N388" s="868"/>
      <c r="O388" s="869"/>
      <c r="P388" s="869"/>
      <c r="Q388" s="866">
        <f t="shared" si="93"/>
        <v>104</v>
      </c>
      <c r="R388" s="600">
        <v>1</v>
      </c>
      <c r="S388" s="600">
        <v>1</v>
      </c>
      <c r="T388" s="468">
        <f t="shared" si="94"/>
        <v>0</v>
      </c>
      <c r="U388" s="468">
        <f t="shared" si="95"/>
        <v>0</v>
      </c>
      <c r="V388" s="468">
        <f t="shared" si="96"/>
        <v>0</v>
      </c>
      <c r="W388" s="468">
        <f t="shared" si="97"/>
        <v>0</v>
      </c>
      <c r="X388" s="601">
        <f t="shared" si="87"/>
        <v>0</v>
      </c>
      <c r="Y388" s="601">
        <f t="shared" si="88"/>
        <v>0</v>
      </c>
      <c r="Z388" s="601">
        <f t="shared" si="89"/>
        <v>0</v>
      </c>
      <c r="AA388" s="601">
        <f t="shared" si="90"/>
        <v>0</v>
      </c>
      <c r="AB388" s="602" t="str">
        <f t="shared" si="91"/>
        <v>V</v>
      </c>
      <c r="AC388" s="854" t="s">
        <v>1118</v>
      </c>
      <c r="AD388" s="603">
        <f>(T388+U388+V388)*'1.0-Contractblad'!$K$69</f>
        <v>0</v>
      </c>
      <c r="AE388" s="603"/>
      <c r="AF388" s="58">
        <f t="shared" si="92"/>
        <v>0</v>
      </c>
      <c r="AG388" s="58">
        <f t="shared" si="98"/>
        <v>0</v>
      </c>
      <c r="AH388" s="58" t="str">
        <f t="shared" si="99"/>
        <v>5104-104</v>
      </c>
    </row>
    <row r="389" spans="1:34" ht="13">
      <c r="A389" s="134"/>
      <c r="B389" s="470"/>
      <c r="C389" s="471"/>
      <c r="D389" s="859">
        <f>VLOOKUP(E389,'1.1a-Jaarprijzen'!B:G,6,FALSE)</f>
        <v>2</v>
      </c>
      <c r="E389" s="845" t="s">
        <v>797</v>
      </c>
      <c r="F389" s="798" t="s">
        <v>469</v>
      </c>
      <c r="G389" s="799" t="s">
        <v>494</v>
      </c>
      <c r="H389" s="573" t="s">
        <v>663</v>
      </c>
      <c r="I389" s="573" t="str">
        <f t="shared" si="100"/>
        <v>administratieve -, personeels- en vergaderruimte</v>
      </c>
      <c r="J389" s="694" t="s">
        <v>462</v>
      </c>
      <c r="K389" s="800">
        <v>77.37</v>
      </c>
      <c r="L389" s="800"/>
      <c r="M389" s="867">
        <v>1104</v>
      </c>
      <c r="N389" s="868"/>
      <c r="O389" s="869"/>
      <c r="P389" s="869"/>
      <c r="Q389" s="866">
        <f t="shared" si="93"/>
        <v>104</v>
      </c>
      <c r="R389" s="600">
        <v>1</v>
      </c>
      <c r="S389" s="600">
        <v>1</v>
      </c>
      <c r="T389" s="468">
        <f t="shared" si="94"/>
        <v>0</v>
      </c>
      <c r="U389" s="468">
        <f t="shared" si="95"/>
        <v>0</v>
      </c>
      <c r="V389" s="468">
        <f t="shared" si="96"/>
        <v>0</v>
      </c>
      <c r="W389" s="468">
        <f t="shared" si="97"/>
        <v>0</v>
      </c>
      <c r="X389" s="601">
        <f t="shared" si="87"/>
        <v>0</v>
      </c>
      <c r="Y389" s="601">
        <f t="shared" si="88"/>
        <v>0</v>
      </c>
      <c r="Z389" s="601">
        <f t="shared" si="89"/>
        <v>0</v>
      </c>
      <c r="AA389" s="601">
        <f t="shared" si="90"/>
        <v>0</v>
      </c>
      <c r="AB389" s="602" t="str">
        <f t="shared" si="91"/>
        <v>B</v>
      </c>
      <c r="AC389" s="847" t="s">
        <v>1231</v>
      </c>
      <c r="AD389" s="603">
        <f>(T389+U389+V389)*'1.0-Contractblad'!$K$69</f>
        <v>0</v>
      </c>
      <c r="AE389" s="603"/>
      <c r="AF389" s="58">
        <f t="shared" si="92"/>
        <v>0</v>
      </c>
      <c r="AG389" s="58">
        <f t="shared" si="98"/>
        <v>8046.4800000000005</v>
      </c>
      <c r="AH389" s="58" t="str">
        <f t="shared" si="99"/>
        <v>1104-104</v>
      </c>
    </row>
    <row r="390" spans="1:34" ht="13">
      <c r="A390" s="134"/>
      <c r="B390" s="470"/>
      <c r="C390" s="471"/>
      <c r="D390" s="859">
        <f>VLOOKUP(E390,'1.1a-Jaarprijzen'!B:G,6,FALSE)</f>
        <v>2</v>
      </c>
      <c r="E390" s="845" t="s">
        <v>797</v>
      </c>
      <c r="F390" s="798" t="s">
        <v>469</v>
      </c>
      <c r="G390" s="799" t="s">
        <v>783</v>
      </c>
      <c r="H390" s="573" t="s">
        <v>784</v>
      </c>
      <c r="I390" s="573" t="str">
        <f t="shared" si="100"/>
        <v>sanitaire ruimte (toilet-/doucheruimte)</v>
      </c>
      <c r="J390" s="694" t="s">
        <v>462</v>
      </c>
      <c r="K390" s="800">
        <v>4.63</v>
      </c>
      <c r="L390" s="800"/>
      <c r="M390" s="867">
        <v>4104</v>
      </c>
      <c r="N390" s="868"/>
      <c r="O390" s="869"/>
      <c r="P390" s="869"/>
      <c r="Q390" s="866">
        <f t="shared" si="93"/>
        <v>104</v>
      </c>
      <c r="R390" s="600">
        <v>1</v>
      </c>
      <c r="S390" s="600">
        <v>1</v>
      </c>
      <c r="T390" s="468">
        <f t="shared" si="94"/>
        <v>0</v>
      </c>
      <c r="U390" s="468">
        <f t="shared" si="95"/>
        <v>0</v>
      </c>
      <c r="V390" s="468">
        <f t="shared" si="96"/>
        <v>0</v>
      </c>
      <c r="W390" s="468">
        <f t="shared" si="97"/>
        <v>0</v>
      </c>
      <c r="X390" s="601">
        <f t="shared" si="87"/>
        <v>0</v>
      </c>
      <c r="Y390" s="601">
        <f t="shared" si="88"/>
        <v>0</v>
      </c>
      <c r="Z390" s="601">
        <f t="shared" si="89"/>
        <v>0</v>
      </c>
      <c r="AA390" s="601">
        <f t="shared" si="90"/>
        <v>0</v>
      </c>
      <c r="AB390" s="602" t="str">
        <f t="shared" si="91"/>
        <v>S</v>
      </c>
      <c r="AC390" s="847" t="s">
        <v>1231</v>
      </c>
      <c r="AD390" s="603">
        <f>(T390+U390+V390)*'1.0-Contractblad'!$K$69</f>
        <v>0</v>
      </c>
      <c r="AE390" s="603"/>
      <c r="AF390" s="58">
        <f t="shared" si="92"/>
        <v>0</v>
      </c>
      <c r="AG390" s="58">
        <f t="shared" si="98"/>
        <v>481.52</v>
      </c>
      <c r="AH390" s="58" t="str">
        <f t="shared" si="99"/>
        <v>4104-104</v>
      </c>
    </row>
    <row r="391" spans="1:34" ht="13">
      <c r="A391" s="134"/>
      <c r="B391" s="470"/>
      <c r="C391" s="471"/>
      <c r="D391" s="859">
        <f>VLOOKUP(E391,'1.1a-Jaarprijzen'!B:G,6,FALSE)</f>
        <v>2</v>
      </c>
      <c r="E391" s="845" t="s">
        <v>797</v>
      </c>
      <c r="F391" s="798" t="s">
        <v>469</v>
      </c>
      <c r="G391" s="799" t="s">
        <v>496</v>
      </c>
      <c r="H391" s="573" t="s">
        <v>785</v>
      </c>
      <c r="I391" s="573" t="str">
        <f t="shared" si="100"/>
        <v>entree, gang, hal, repro, kopieer</v>
      </c>
      <c r="J391" s="694" t="s">
        <v>462</v>
      </c>
      <c r="K391" s="800">
        <v>3.09</v>
      </c>
      <c r="L391" s="800"/>
      <c r="M391" s="867">
        <v>3104</v>
      </c>
      <c r="N391" s="868"/>
      <c r="O391" s="869"/>
      <c r="P391" s="869"/>
      <c r="Q391" s="866">
        <f t="shared" si="93"/>
        <v>104</v>
      </c>
      <c r="R391" s="600">
        <v>1</v>
      </c>
      <c r="S391" s="600">
        <v>1</v>
      </c>
      <c r="T391" s="468">
        <f t="shared" si="94"/>
        <v>0</v>
      </c>
      <c r="U391" s="468">
        <f t="shared" si="95"/>
        <v>0</v>
      </c>
      <c r="V391" s="468">
        <f t="shared" si="96"/>
        <v>0</v>
      </c>
      <c r="W391" s="468">
        <f t="shared" si="97"/>
        <v>0</v>
      </c>
      <c r="X391" s="601">
        <f t="shared" si="87"/>
        <v>0</v>
      </c>
      <c r="Y391" s="601">
        <f t="shared" si="88"/>
        <v>0</v>
      </c>
      <c r="Z391" s="601">
        <f t="shared" si="89"/>
        <v>0</v>
      </c>
      <c r="AA391" s="601">
        <f t="shared" si="90"/>
        <v>0</v>
      </c>
      <c r="AB391" s="602" t="str">
        <f t="shared" si="91"/>
        <v>V</v>
      </c>
      <c r="AC391" s="847" t="s">
        <v>1231</v>
      </c>
      <c r="AD391" s="603">
        <f>(T391+U391+V391)*'1.0-Contractblad'!$K$69</f>
        <v>0</v>
      </c>
      <c r="AE391" s="603"/>
      <c r="AF391" s="58">
        <f t="shared" si="92"/>
        <v>0</v>
      </c>
      <c r="AG391" s="58">
        <f t="shared" si="98"/>
        <v>321.36</v>
      </c>
      <c r="AH391" s="58" t="str">
        <f t="shared" si="99"/>
        <v>3104-104</v>
      </c>
    </row>
    <row r="392" spans="1:34" ht="13">
      <c r="A392" s="134"/>
      <c r="B392" s="470"/>
      <c r="C392" s="471"/>
      <c r="D392" s="859">
        <f>VLOOKUP(E392,'1.1a-Jaarprijzen'!B:G,6,FALSE)</f>
        <v>2</v>
      </c>
      <c r="E392" s="845" t="s">
        <v>797</v>
      </c>
      <c r="F392" s="798" t="s">
        <v>469</v>
      </c>
      <c r="G392" s="799" t="s">
        <v>786</v>
      </c>
      <c r="H392" s="573" t="s">
        <v>787</v>
      </c>
      <c r="I392" s="573" t="str">
        <f t="shared" si="100"/>
        <v>sanitaire ruimte (toilet-/doucheruimte)</v>
      </c>
      <c r="J392" s="694" t="s">
        <v>462</v>
      </c>
      <c r="K392" s="800">
        <v>5.08</v>
      </c>
      <c r="L392" s="800"/>
      <c r="M392" s="867">
        <v>4104</v>
      </c>
      <c r="N392" s="868"/>
      <c r="O392" s="869"/>
      <c r="P392" s="869"/>
      <c r="Q392" s="866">
        <f t="shared" si="93"/>
        <v>104</v>
      </c>
      <c r="R392" s="600">
        <v>1</v>
      </c>
      <c r="S392" s="600">
        <v>1</v>
      </c>
      <c r="T392" s="468">
        <f t="shared" si="94"/>
        <v>0</v>
      </c>
      <c r="U392" s="468">
        <f t="shared" si="95"/>
        <v>0</v>
      </c>
      <c r="V392" s="468">
        <f t="shared" si="96"/>
        <v>0</v>
      </c>
      <c r="W392" s="468">
        <f t="shared" si="97"/>
        <v>0</v>
      </c>
      <c r="X392" s="601">
        <f t="shared" si="87"/>
        <v>0</v>
      </c>
      <c r="Y392" s="601">
        <f t="shared" si="88"/>
        <v>0</v>
      </c>
      <c r="Z392" s="601">
        <f t="shared" si="89"/>
        <v>0</v>
      </c>
      <c r="AA392" s="601">
        <f t="shared" si="90"/>
        <v>0</v>
      </c>
      <c r="AB392" s="602" t="str">
        <f t="shared" si="91"/>
        <v>S</v>
      </c>
      <c r="AC392" s="847" t="s">
        <v>1231</v>
      </c>
      <c r="AD392" s="603">
        <f>(T392+U392+V392)*'1.0-Contractblad'!$K$69</f>
        <v>0</v>
      </c>
      <c r="AE392" s="603"/>
      <c r="AF392" s="58">
        <f t="shared" si="92"/>
        <v>0</v>
      </c>
      <c r="AG392" s="58">
        <f t="shared" si="98"/>
        <v>528.32000000000005</v>
      </c>
      <c r="AH392" s="58" t="str">
        <f t="shared" si="99"/>
        <v>4104-104</v>
      </c>
    </row>
    <row r="393" spans="1:34" ht="13">
      <c r="A393" s="134"/>
      <c r="B393" s="470"/>
      <c r="C393" s="471"/>
      <c r="D393" s="859">
        <f>VLOOKUP(E393,'1.1a-Jaarprijzen'!B:G,6,FALSE)</f>
        <v>2</v>
      </c>
      <c r="E393" s="845" t="s">
        <v>797</v>
      </c>
      <c r="F393" s="798" t="s">
        <v>469</v>
      </c>
      <c r="G393" s="799" t="s">
        <v>788</v>
      </c>
      <c r="H393" s="573" t="s">
        <v>789</v>
      </c>
      <c r="I393" s="573" t="str">
        <f t="shared" si="100"/>
        <v>kleedruimten</v>
      </c>
      <c r="J393" s="694" t="s">
        <v>462</v>
      </c>
      <c r="K393" s="800">
        <v>34</v>
      </c>
      <c r="L393" s="800"/>
      <c r="M393" s="867">
        <v>10104</v>
      </c>
      <c r="N393" s="868"/>
      <c r="O393" s="869"/>
      <c r="P393" s="869"/>
      <c r="Q393" s="866">
        <f t="shared" si="93"/>
        <v>104</v>
      </c>
      <c r="R393" s="600">
        <v>1</v>
      </c>
      <c r="S393" s="600">
        <v>1</v>
      </c>
      <c r="T393" s="468">
        <f t="shared" si="94"/>
        <v>0</v>
      </c>
      <c r="U393" s="468">
        <f t="shared" si="95"/>
        <v>0</v>
      </c>
      <c r="V393" s="468">
        <f t="shared" si="96"/>
        <v>0</v>
      </c>
      <c r="W393" s="468">
        <f t="shared" si="97"/>
        <v>0</v>
      </c>
      <c r="X393" s="601">
        <f t="shared" si="87"/>
        <v>0</v>
      </c>
      <c r="Y393" s="601">
        <f t="shared" si="88"/>
        <v>0</v>
      </c>
      <c r="Z393" s="601">
        <f t="shared" si="89"/>
        <v>0</v>
      </c>
      <c r="AA393" s="601">
        <f t="shared" si="90"/>
        <v>0</v>
      </c>
      <c r="AB393" s="602" t="str">
        <f t="shared" si="91"/>
        <v>V</v>
      </c>
      <c r="AC393" s="847" t="s">
        <v>1231</v>
      </c>
      <c r="AD393" s="603">
        <f>(T393+U393+V393)*'1.0-Contractblad'!$K$69</f>
        <v>0</v>
      </c>
      <c r="AE393" s="603"/>
      <c r="AF393" s="58">
        <f t="shared" si="92"/>
        <v>0</v>
      </c>
      <c r="AG393" s="58">
        <f t="shared" si="98"/>
        <v>3536</v>
      </c>
      <c r="AH393" s="58" t="str">
        <f t="shared" si="99"/>
        <v>10104-104</v>
      </c>
    </row>
    <row r="394" spans="1:34" ht="13">
      <c r="A394" s="134"/>
      <c r="B394" s="470"/>
      <c r="C394" s="471"/>
      <c r="D394" s="859">
        <f>VLOOKUP(E394,'1.1a-Jaarprijzen'!B:G,6,FALSE)</f>
        <v>2</v>
      </c>
      <c r="E394" s="845" t="s">
        <v>797</v>
      </c>
      <c r="F394" s="798" t="s">
        <v>469</v>
      </c>
      <c r="G394" s="799" t="s">
        <v>790</v>
      </c>
      <c r="H394" s="573" t="s">
        <v>791</v>
      </c>
      <c r="I394" s="573" t="str">
        <f t="shared" si="100"/>
        <v>sanitaire ruimte (toilet-/doucheruimte)</v>
      </c>
      <c r="J394" s="694" t="s">
        <v>462</v>
      </c>
      <c r="K394" s="800">
        <v>3.44</v>
      </c>
      <c r="L394" s="800"/>
      <c r="M394" s="867">
        <v>4104</v>
      </c>
      <c r="N394" s="868"/>
      <c r="O394" s="869"/>
      <c r="P394" s="869"/>
      <c r="Q394" s="866">
        <f t="shared" si="93"/>
        <v>104</v>
      </c>
      <c r="R394" s="600">
        <v>1</v>
      </c>
      <c r="S394" s="600">
        <v>1</v>
      </c>
      <c r="T394" s="468">
        <f t="shared" si="94"/>
        <v>0</v>
      </c>
      <c r="U394" s="468">
        <f t="shared" si="95"/>
        <v>0</v>
      </c>
      <c r="V394" s="468">
        <f t="shared" si="96"/>
        <v>0</v>
      </c>
      <c r="W394" s="468">
        <f t="shared" si="97"/>
        <v>0</v>
      </c>
      <c r="X394" s="601">
        <f t="shared" si="87"/>
        <v>0</v>
      </c>
      <c r="Y394" s="601">
        <f t="shared" si="88"/>
        <v>0</v>
      </c>
      <c r="Z394" s="601">
        <f t="shared" si="89"/>
        <v>0</v>
      </c>
      <c r="AA394" s="601">
        <f t="shared" si="90"/>
        <v>0</v>
      </c>
      <c r="AB394" s="602" t="str">
        <f t="shared" si="91"/>
        <v>S</v>
      </c>
      <c r="AC394" s="847" t="s">
        <v>1231</v>
      </c>
      <c r="AD394" s="603">
        <f>(T394+U394+V394)*'1.0-Contractblad'!$K$69</f>
        <v>0</v>
      </c>
      <c r="AE394" s="603"/>
      <c r="AF394" s="58">
        <f t="shared" si="92"/>
        <v>0</v>
      </c>
      <c r="AG394" s="58">
        <f t="shared" si="98"/>
        <v>357.76</v>
      </c>
      <c r="AH394" s="58" t="str">
        <f t="shared" si="99"/>
        <v>4104-104</v>
      </c>
    </row>
    <row r="395" spans="1:34" ht="13">
      <c r="A395" s="134"/>
      <c r="B395" s="470"/>
      <c r="C395" s="471"/>
      <c r="D395" s="859">
        <f>VLOOKUP(E395,'1.1a-Jaarprijzen'!B:G,6,FALSE)</f>
        <v>2</v>
      </c>
      <c r="E395" s="845" t="s">
        <v>797</v>
      </c>
      <c r="F395" s="798" t="s">
        <v>469</v>
      </c>
      <c r="G395" s="799" t="s">
        <v>792</v>
      </c>
      <c r="H395" s="573" t="s">
        <v>791</v>
      </c>
      <c r="I395" s="573" t="str">
        <f t="shared" si="100"/>
        <v>sanitaire ruimte (toilet-/doucheruimte)</v>
      </c>
      <c r="J395" s="694" t="s">
        <v>462</v>
      </c>
      <c r="K395" s="800">
        <v>3.44</v>
      </c>
      <c r="L395" s="800"/>
      <c r="M395" s="867">
        <v>4104</v>
      </c>
      <c r="N395" s="868"/>
      <c r="O395" s="869"/>
      <c r="P395" s="869"/>
      <c r="Q395" s="866">
        <f t="shared" si="93"/>
        <v>104</v>
      </c>
      <c r="R395" s="600">
        <v>1</v>
      </c>
      <c r="S395" s="600">
        <v>1</v>
      </c>
      <c r="T395" s="468">
        <f t="shared" si="94"/>
        <v>0</v>
      </c>
      <c r="U395" s="468">
        <f t="shared" si="95"/>
        <v>0</v>
      </c>
      <c r="V395" s="468">
        <f t="shared" si="96"/>
        <v>0</v>
      </c>
      <c r="W395" s="468">
        <f t="shared" si="97"/>
        <v>0</v>
      </c>
      <c r="X395" s="601">
        <f t="shared" si="87"/>
        <v>0</v>
      </c>
      <c r="Y395" s="601">
        <f t="shared" si="88"/>
        <v>0</v>
      </c>
      <c r="Z395" s="601">
        <f t="shared" si="89"/>
        <v>0</v>
      </c>
      <c r="AA395" s="601">
        <f t="shared" si="90"/>
        <v>0</v>
      </c>
      <c r="AB395" s="602" t="str">
        <f t="shared" si="91"/>
        <v>S</v>
      </c>
      <c r="AC395" s="847" t="s">
        <v>1231</v>
      </c>
      <c r="AD395" s="603">
        <f>(T395+U395+V395)*'1.0-Contractblad'!$K$69</f>
        <v>0</v>
      </c>
      <c r="AE395" s="603"/>
      <c r="AF395" s="58">
        <f t="shared" si="92"/>
        <v>0</v>
      </c>
      <c r="AG395" s="58">
        <f t="shared" si="98"/>
        <v>357.76</v>
      </c>
      <c r="AH395" s="58" t="str">
        <f t="shared" si="99"/>
        <v>4104-104</v>
      </c>
    </row>
    <row r="396" spans="1:34" ht="13">
      <c r="A396" s="134"/>
      <c r="B396" s="470"/>
      <c r="C396" s="471"/>
      <c r="D396" s="859">
        <f>VLOOKUP(E396,'1.1a-Jaarprijzen'!B:G,6,FALSE)</f>
        <v>2</v>
      </c>
      <c r="E396" s="845" t="s">
        <v>797</v>
      </c>
      <c r="F396" s="798" t="s">
        <v>469</v>
      </c>
      <c r="G396" s="799" t="s">
        <v>793</v>
      </c>
      <c r="H396" s="870" t="s">
        <v>794</v>
      </c>
      <c r="I396" s="573" t="str">
        <f t="shared" si="100"/>
        <v>sanitaire ruimte (toilet-/doucheruimte)</v>
      </c>
      <c r="J396" s="694" t="s">
        <v>462</v>
      </c>
      <c r="K396" s="800">
        <v>1.75</v>
      </c>
      <c r="L396" s="800"/>
      <c r="M396" s="867">
        <v>4104</v>
      </c>
      <c r="N396" s="868"/>
      <c r="O396" s="869"/>
      <c r="P396" s="869"/>
      <c r="Q396" s="866">
        <f t="shared" si="93"/>
        <v>104</v>
      </c>
      <c r="R396" s="600">
        <v>1</v>
      </c>
      <c r="S396" s="600">
        <v>1</v>
      </c>
      <c r="T396" s="468">
        <f t="shared" si="94"/>
        <v>0</v>
      </c>
      <c r="U396" s="468">
        <f t="shared" si="95"/>
        <v>0</v>
      </c>
      <c r="V396" s="468">
        <f t="shared" si="96"/>
        <v>0</v>
      </c>
      <c r="W396" s="468">
        <f t="shared" si="97"/>
        <v>0</v>
      </c>
      <c r="X396" s="601">
        <f t="shared" si="87"/>
        <v>0</v>
      </c>
      <c r="Y396" s="601">
        <f t="shared" si="88"/>
        <v>0</v>
      </c>
      <c r="Z396" s="601">
        <f t="shared" si="89"/>
        <v>0</v>
      </c>
      <c r="AA396" s="601">
        <f t="shared" si="90"/>
        <v>0</v>
      </c>
      <c r="AB396" s="602" t="str">
        <f t="shared" si="91"/>
        <v>S</v>
      </c>
      <c r="AC396" s="847" t="s">
        <v>1231</v>
      </c>
      <c r="AD396" s="603">
        <f>(T396+U396+V396)*'1.0-Contractblad'!$K$69</f>
        <v>0</v>
      </c>
      <c r="AE396" s="603"/>
      <c r="AF396" s="58">
        <f t="shared" si="92"/>
        <v>0</v>
      </c>
      <c r="AG396" s="58">
        <f t="shared" si="98"/>
        <v>182</v>
      </c>
      <c r="AH396" s="58" t="str">
        <f t="shared" si="99"/>
        <v>4104-104</v>
      </c>
    </row>
    <row r="397" spans="1:34" ht="13">
      <c r="A397" s="134"/>
      <c r="B397" s="470"/>
      <c r="C397" s="471"/>
      <c r="D397" s="859">
        <f>VLOOKUP(E397,'1.1a-Jaarprijzen'!B:G,6,FALSE)</f>
        <v>2</v>
      </c>
      <c r="E397" s="845" t="s">
        <v>701</v>
      </c>
      <c r="F397" s="798" t="s">
        <v>469</v>
      </c>
      <c r="G397" s="799" t="s">
        <v>619</v>
      </c>
      <c r="H397" s="573" t="s">
        <v>607</v>
      </c>
      <c r="I397" s="573" t="str">
        <f t="shared" si="100"/>
        <v>niet van toepassing</v>
      </c>
      <c r="J397" s="694" t="s">
        <v>455</v>
      </c>
      <c r="K397" s="800"/>
      <c r="L397" s="800">
        <v>33.200000000000003</v>
      </c>
      <c r="M397" s="867" t="s">
        <v>19</v>
      </c>
      <c r="N397" s="868"/>
      <c r="O397" s="869"/>
      <c r="P397" s="869"/>
      <c r="Q397" s="866">
        <f t="shared" si="93"/>
        <v>0</v>
      </c>
      <c r="R397" s="600">
        <v>1</v>
      </c>
      <c r="S397" s="600">
        <v>1</v>
      </c>
      <c r="T397" s="468">
        <f t="shared" si="94"/>
        <v>0</v>
      </c>
      <c r="U397" s="468">
        <f t="shared" si="95"/>
        <v>0</v>
      </c>
      <c r="V397" s="468">
        <f t="shared" si="96"/>
        <v>0</v>
      </c>
      <c r="W397" s="468">
        <f t="shared" si="97"/>
        <v>0</v>
      </c>
      <c r="X397" s="601">
        <f t="shared" si="87"/>
        <v>0</v>
      </c>
      <c r="Y397" s="601">
        <f t="shared" si="88"/>
        <v>0</v>
      </c>
      <c r="Z397" s="601">
        <f t="shared" si="89"/>
        <v>0</v>
      </c>
      <c r="AA397" s="601">
        <f t="shared" si="90"/>
        <v>0</v>
      </c>
      <c r="AB397" s="602">
        <f t="shared" si="91"/>
        <v>0</v>
      </c>
      <c r="AC397" s="847"/>
      <c r="AD397" s="603">
        <f>(T397+U397+V397)*'1.0-Contractblad'!$K$69</f>
        <v>0</v>
      </c>
      <c r="AE397" s="603"/>
      <c r="AF397" s="58">
        <f t="shared" si="92"/>
        <v>0</v>
      </c>
      <c r="AG397" s="58">
        <f t="shared" si="98"/>
        <v>0</v>
      </c>
      <c r="AH397" s="58" t="str">
        <f t="shared" si="99"/>
        <v>nvt-0</v>
      </c>
    </row>
    <row r="398" spans="1:34" ht="13">
      <c r="A398" s="134"/>
      <c r="B398" s="470"/>
      <c r="C398" s="471"/>
      <c r="D398" s="859">
        <f>VLOOKUP(E398,'1.1a-Jaarprijzen'!B:G,6,FALSE)</f>
        <v>2</v>
      </c>
      <c r="E398" s="845" t="s">
        <v>701</v>
      </c>
      <c r="F398" s="798" t="s">
        <v>469</v>
      </c>
      <c r="G398" s="799" t="s">
        <v>611</v>
      </c>
      <c r="H398" s="573" t="s">
        <v>452</v>
      </c>
      <c r="I398" s="573" t="str">
        <f t="shared" si="100"/>
        <v>administratieve -, personeels- en vergaderruimte</v>
      </c>
      <c r="J398" s="694" t="s">
        <v>455</v>
      </c>
      <c r="K398" s="800">
        <v>25.03</v>
      </c>
      <c r="L398" s="800"/>
      <c r="M398" s="867">
        <v>1253</v>
      </c>
      <c r="N398" s="868"/>
      <c r="O398" s="869"/>
      <c r="P398" s="869"/>
      <c r="Q398" s="866">
        <f t="shared" si="93"/>
        <v>253</v>
      </c>
      <c r="R398" s="600">
        <v>1</v>
      </c>
      <c r="S398" s="600">
        <v>1</v>
      </c>
      <c r="T398" s="468">
        <f t="shared" si="94"/>
        <v>0</v>
      </c>
      <c r="U398" s="468">
        <f t="shared" si="95"/>
        <v>0</v>
      </c>
      <c r="V398" s="468">
        <f t="shared" si="96"/>
        <v>0</v>
      </c>
      <c r="W398" s="468">
        <f t="shared" si="97"/>
        <v>0</v>
      </c>
      <c r="X398" s="601">
        <f t="shared" si="87"/>
        <v>0</v>
      </c>
      <c r="Y398" s="601">
        <f t="shared" si="88"/>
        <v>0</v>
      </c>
      <c r="Z398" s="601">
        <f t="shared" si="89"/>
        <v>0</v>
      </c>
      <c r="AA398" s="601">
        <f t="shared" si="90"/>
        <v>0</v>
      </c>
      <c r="AB398" s="602" t="str">
        <f t="shared" si="91"/>
        <v>B</v>
      </c>
      <c r="AC398" s="847"/>
      <c r="AD398" s="603">
        <f>(T398+U398+V398)*'1.0-Contractblad'!$K$69</f>
        <v>0</v>
      </c>
      <c r="AE398" s="603"/>
      <c r="AF398" s="58">
        <f t="shared" si="92"/>
        <v>0</v>
      </c>
      <c r="AG398" s="58">
        <f t="shared" si="98"/>
        <v>6332.59</v>
      </c>
      <c r="AH398" s="58" t="str">
        <f t="shared" si="99"/>
        <v>1253-253</v>
      </c>
    </row>
    <row r="399" spans="1:34" ht="13">
      <c r="A399" s="134"/>
      <c r="B399" s="470"/>
      <c r="C399" s="471"/>
      <c r="D399" s="859">
        <f>VLOOKUP(E399,'1.1a-Jaarprijzen'!B:G,6,FALSE)</f>
        <v>2</v>
      </c>
      <c r="E399" s="845" t="s">
        <v>701</v>
      </c>
      <c r="F399" s="798" t="s">
        <v>469</v>
      </c>
      <c r="G399" s="799" t="s">
        <v>450</v>
      </c>
      <c r="H399" s="573" t="s">
        <v>453</v>
      </c>
      <c r="I399" s="573" t="str">
        <f t="shared" si="100"/>
        <v>entree, gang, hal, repro, kopieer</v>
      </c>
      <c r="J399" s="694" t="s">
        <v>675</v>
      </c>
      <c r="K399" s="800">
        <v>6.45</v>
      </c>
      <c r="L399" s="800"/>
      <c r="M399" s="867">
        <v>3253</v>
      </c>
      <c r="N399" s="868"/>
      <c r="O399" s="869"/>
      <c r="P399" s="869"/>
      <c r="Q399" s="866">
        <f t="shared" si="93"/>
        <v>253</v>
      </c>
      <c r="R399" s="600">
        <v>1</v>
      </c>
      <c r="S399" s="600">
        <v>1</v>
      </c>
      <c r="T399" s="468">
        <f t="shared" si="94"/>
        <v>0</v>
      </c>
      <c r="U399" s="468">
        <f t="shared" si="95"/>
        <v>0</v>
      </c>
      <c r="V399" s="468">
        <f t="shared" si="96"/>
        <v>0</v>
      </c>
      <c r="W399" s="468">
        <f t="shared" si="97"/>
        <v>0</v>
      </c>
      <c r="X399" s="601">
        <f t="shared" si="87"/>
        <v>0</v>
      </c>
      <c r="Y399" s="601">
        <f t="shared" si="88"/>
        <v>0</v>
      </c>
      <c r="Z399" s="601">
        <f t="shared" si="89"/>
        <v>0</v>
      </c>
      <c r="AA399" s="601">
        <f t="shared" si="90"/>
        <v>0</v>
      </c>
      <c r="AB399" s="602" t="str">
        <f t="shared" si="91"/>
        <v>V</v>
      </c>
      <c r="AC399" s="847"/>
      <c r="AD399" s="603">
        <f>(T399+U399+V399)*'1.0-Contractblad'!$K$69</f>
        <v>0</v>
      </c>
      <c r="AE399" s="603"/>
      <c r="AF399" s="58">
        <f t="shared" si="92"/>
        <v>0</v>
      </c>
      <c r="AG399" s="58">
        <f t="shared" si="98"/>
        <v>1631.8500000000001</v>
      </c>
      <c r="AH399" s="58" t="str">
        <f t="shared" si="99"/>
        <v>3253-253</v>
      </c>
    </row>
    <row r="400" spans="1:34" ht="13">
      <c r="A400" s="134"/>
      <c r="B400" s="470"/>
      <c r="C400" s="471"/>
      <c r="D400" s="859">
        <f>VLOOKUP(E400,'1.1a-Jaarprijzen'!B:G,6,FALSE)</f>
        <v>2</v>
      </c>
      <c r="E400" s="845" t="s">
        <v>701</v>
      </c>
      <c r="F400" s="798" t="s">
        <v>469</v>
      </c>
      <c r="G400" s="799" t="s">
        <v>449</v>
      </c>
      <c r="H400" s="573" t="s">
        <v>593</v>
      </c>
      <c r="I400" s="573" t="str">
        <f t="shared" si="100"/>
        <v>labruimte</v>
      </c>
      <c r="J400" s="694" t="s">
        <v>455</v>
      </c>
      <c r="K400" s="800">
        <v>31.98</v>
      </c>
      <c r="L400" s="800"/>
      <c r="M400" s="867">
        <v>8253</v>
      </c>
      <c r="N400" s="868"/>
      <c r="O400" s="869"/>
      <c r="P400" s="869"/>
      <c r="Q400" s="866">
        <f t="shared" si="93"/>
        <v>253</v>
      </c>
      <c r="R400" s="600">
        <v>1</v>
      </c>
      <c r="S400" s="600">
        <v>1</v>
      </c>
      <c r="T400" s="468">
        <f t="shared" si="94"/>
        <v>0</v>
      </c>
      <c r="U400" s="468">
        <f t="shared" si="95"/>
        <v>0</v>
      </c>
      <c r="V400" s="468">
        <f t="shared" si="96"/>
        <v>0</v>
      </c>
      <c r="W400" s="468">
        <f t="shared" si="97"/>
        <v>0</v>
      </c>
      <c r="X400" s="601">
        <f t="shared" si="87"/>
        <v>0</v>
      </c>
      <c r="Y400" s="601">
        <f t="shared" si="88"/>
        <v>0</v>
      </c>
      <c r="Z400" s="601">
        <f t="shared" si="89"/>
        <v>0</v>
      </c>
      <c r="AA400" s="601">
        <f t="shared" si="90"/>
        <v>0</v>
      </c>
      <c r="AB400" s="602" t="str">
        <f t="shared" si="91"/>
        <v>V</v>
      </c>
      <c r="AC400" s="847"/>
      <c r="AD400" s="603">
        <f>(T400+U400+V400)*'1.0-Contractblad'!$K$69</f>
        <v>0</v>
      </c>
      <c r="AE400" s="603"/>
      <c r="AF400" s="58">
        <f t="shared" si="92"/>
        <v>0</v>
      </c>
      <c r="AG400" s="58">
        <f t="shared" si="98"/>
        <v>8090.9400000000005</v>
      </c>
      <c r="AH400" s="58" t="str">
        <f t="shared" si="99"/>
        <v>8253-253</v>
      </c>
    </row>
    <row r="401" spans="1:34" ht="13">
      <c r="A401" s="134"/>
      <c r="B401" s="470"/>
      <c r="C401" s="471"/>
      <c r="D401" s="859">
        <f>VLOOKUP(E401,'1.1a-Jaarprijzen'!B:G,6,FALSE)</f>
        <v>2</v>
      </c>
      <c r="E401" s="845" t="s">
        <v>701</v>
      </c>
      <c r="F401" s="798" t="s">
        <v>469</v>
      </c>
      <c r="G401" s="799" t="s">
        <v>444</v>
      </c>
      <c r="H401" s="573" t="s">
        <v>453</v>
      </c>
      <c r="I401" s="573" t="str">
        <f t="shared" si="100"/>
        <v>entree, gang, hal, repro, kopieer</v>
      </c>
      <c r="J401" s="694" t="s">
        <v>675</v>
      </c>
      <c r="K401" s="800">
        <v>21.08</v>
      </c>
      <c r="L401" s="800"/>
      <c r="M401" s="867">
        <v>3253</v>
      </c>
      <c r="N401" s="868"/>
      <c r="O401" s="869"/>
      <c r="P401" s="869"/>
      <c r="Q401" s="866">
        <f t="shared" si="93"/>
        <v>253</v>
      </c>
      <c r="R401" s="600">
        <v>1</v>
      </c>
      <c r="S401" s="600">
        <v>1</v>
      </c>
      <c r="T401" s="468">
        <f t="shared" si="94"/>
        <v>0</v>
      </c>
      <c r="U401" s="468">
        <f t="shared" si="95"/>
        <v>0</v>
      </c>
      <c r="V401" s="468">
        <f t="shared" si="96"/>
        <v>0</v>
      </c>
      <c r="W401" s="468">
        <f t="shared" si="97"/>
        <v>0</v>
      </c>
      <c r="X401" s="601">
        <f t="shared" si="87"/>
        <v>0</v>
      </c>
      <c r="Y401" s="601">
        <f t="shared" si="88"/>
        <v>0</v>
      </c>
      <c r="Z401" s="601">
        <f t="shared" si="89"/>
        <v>0</v>
      </c>
      <c r="AA401" s="601">
        <f t="shared" si="90"/>
        <v>0</v>
      </c>
      <c r="AB401" s="602" t="str">
        <f t="shared" si="91"/>
        <v>V</v>
      </c>
      <c r="AC401" s="847"/>
      <c r="AD401" s="603">
        <f>(T401+U401+V401)*'1.0-Contractblad'!$K$69</f>
        <v>0</v>
      </c>
      <c r="AE401" s="603"/>
      <c r="AF401" s="58">
        <f t="shared" si="92"/>
        <v>0</v>
      </c>
      <c r="AG401" s="58">
        <f t="shared" si="98"/>
        <v>5333.24</v>
      </c>
      <c r="AH401" s="58" t="str">
        <f t="shared" si="99"/>
        <v>3253-253</v>
      </c>
    </row>
    <row r="402" spans="1:34" ht="13">
      <c r="A402" s="134"/>
      <c r="B402" s="470"/>
      <c r="C402" s="471"/>
      <c r="D402" s="859">
        <f>VLOOKUP(E402,'1.1a-Jaarprijzen'!B:G,6,FALSE)</f>
        <v>2</v>
      </c>
      <c r="E402" s="845" t="s">
        <v>701</v>
      </c>
      <c r="F402" s="798" t="s">
        <v>469</v>
      </c>
      <c r="G402" s="799" t="s">
        <v>438</v>
      </c>
      <c r="H402" s="573" t="s">
        <v>453</v>
      </c>
      <c r="I402" s="573" t="str">
        <f t="shared" si="100"/>
        <v>entree, gang, hal, repro, kopieer</v>
      </c>
      <c r="J402" s="694" t="s">
        <v>675</v>
      </c>
      <c r="K402" s="800">
        <v>11.01</v>
      </c>
      <c r="L402" s="800"/>
      <c r="M402" s="867">
        <v>3253</v>
      </c>
      <c r="N402" s="868"/>
      <c r="O402" s="869"/>
      <c r="P402" s="869"/>
      <c r="Q402" s="866">
        <f t="shared" si="93"/>
        <v>253</v>
      </c>
      <c r="R402" s="600">
        <v>1</v>
      </c>
      <c r="S402" s="600">
        <v>1</v>
      </c>
      <c r="T402" s="468">
        <f t="shared" si="94"/>
        <v>0</v>
      </c>
      <c r="U402" s="468">
        <f t="shared" si="95"/>
        <v>0</v>
      </c>
      <c r="V402" s="468">
        <f t="shared" si="96"/>
        <v>0</v>
      </c>
      <c r="W402" s="468">
        <f t="shared" si="97"/>
        <v>0</v>
      </c>
      <c r="X402" s="601">
        <f t="shared" si="87"/>
        <v>0</v>
      </c>
      <c r="Y402" s="601">
        <f t="shared" si="88"/>
        <v>0</v>
      </c>
      <c r="Z402" s="601">
        <f t="shared" si="89"/>
        <v>0</v>
      </c>
      <c r="AA402" s="601">
        <f t="shared" si="90"/>
        <v>0</v>
      </c>
      <c r="AB402" s="602" t="str">
        <f t="shared" si="91"/>
        <v>V</v>
      </c>
      <c r="AC402" s="847"/>
      <c r="AD402" s="603">
        <f>(T402+U402+V402)*'1.0-Contractblad'!$K$69</f>
        <v>0</v>
      </c>
      <c r="AE402" s="603"/>
      <c r="AF402" s="58">
        <f t="shared" si="92"/>
        <v>0</v>
      </c>
      <c r="AG402" s="58">
        <f t="shared" si="98"/>
        <v>2785.5299999999997</v>
      </c>
      <c r="AH402" s="58" t="str">
        <f t="shared" si="99"/>
        <v>3253-253</v>
      </c>
    </row>
    <row r="403" spans="1:34" ht="13">
      <c r="A403" s="134"/>
      <c r="B403" s="470"/>
      <c r="C403" s="471"/>
      <c r="D403" s="859">
        <f>VLOOKUP(E403,'1.1a-Jaarprijzen'!B:G,6,FALSE)</f>
        <v>2</v>
      </c>
      <c r="E403" s="845" t="s">
        <v>701</v>
      </c>
      <c r="F403" s="798" t="s">
        <v>469</v>
      </c>
      <c r="G403" s="799" t="s">
        <v>621</v>
      </c>
      <c r="H403" s="573" t="s">
        <v>676</v>
      </c>
      <c r="I403" s="573" t="str">
        <f t="shared" si="100"/>
        <v>kleedruimten</v>
      </c>
      <c r="J403" s="694" t="s">
        <v>675</v>
      </c>
      <c r="K403" s="800">
        <v>44.96</v>
      </c>
      <c r="L403" s="800"/>
      <c r="M403" s="867">
        <v>10253</v>
      </c>
      <c r="N403" s="868"/>
      <c r="O403" s="869"/>
      <c r="P403" s="869"/>
      <c r="Q403" s="866">
        <f t="shared" si="93"/>
        <v>253</v>
      </c>
      <c r="R403" s="600">
        <v>1</v>
      </c>
      <c r="S403" s="600">
        <v>1</v>
      </c>
      <c r="T403" s="468">
        <f t="shared" si="94"/>
        <v>0</v>
      </c>
      <c r="U403" s="468">
        <f t="shared" si="95"/>
        <v>0</v>
      </c>
      <c r="V403" s="468">
        <f t="shared" si="96"/>
        <v>0</v>
      </c>
      <c r="W403" s="468">
        <f t="shared" si="97"/>
        <v>0</v>
      </c>
      <c r="X403" s="601">
        <f t="shared" si="87"/>
        <v>0</v>
      </c>
      <c r="Y403" s="601">
        <f t="shared" si="88"/>
        <v>0</v>
      </c>
      <c r="Z403" s="601">
        <f t="shared" si="89"/>
        <v>0</v>
      </c>
      <c r="AA403" s="601">
        <f t="shared" si="90"/>
        <v>0</v>
      </c>
      <c r="AB403" s="602" t="str">
        <f t="shared" si="91"/>
        <v>V</v>
      </c>
      <c r="AC403" s="847"/>
      <c r="AD403" s="603">
        <f>(T403+U403+V403)*'1.0-Contractblad'!$K$69</f>
        <v>0</v>
      </c>
      <c r="AE403" s="603"/>
      <c r="AF403" s="58">
        <f t="shared" si="92"/>
        <v>0</v>
      </c>
      <c r="AG403" s="58">
        <f t="shared" si="98"/>
        <v>11374.880000000001</v>
      </c>
      <c r="AH403" s="58" t="str">
        <f t="shared" si="99"/>
        <v>10253-253</v>
      </c>
    </row>
    <row r="404" spans="1:34" ht="13">
      <c r="A404" s="134"/>
      <c r="B404" s="470"/>
      <c r="C404" s="471"/>
      <c r="D404" s="859">
        <f>VLOOKUP(E404,'1.1a-Jaarprijzen'!B:G,6,FALSE)</f>
        <v>2</v>
      </c>
      <c r="E404" s="845" t="s">
        <v>701</v>
      </c>
      <c r="F404" s="798" t="s">
        <v>469</v>
      </c>
      <c r="G404" s="799" t="s">
        <v>443</v>
      </c>
      <c r="H404" s="573" t="s">
        <v>677</v>
      </c>
      <c r="I404" s="573" t="str">
        <f t="shared" si="100"/>
        <v>niet van toepassing</v>
      </c>
      <c r="J404" s="694" t="s">
        <v>675</v>
      </c>
      <c r="K404" s="800"/>
      <c r="L404" s="800">
        <v>2.69</v>
      </c>
      <c r="M404" s="867" t="s">
        <v>19</v>
      </c>
      <c r="N404" s="868"/>
      <c r="O404" s="869"/>
      <c r="P404" s="869"/>
      <c r="Q404" s="866">
        <f t="shared" si="93"/>
        <v>0</v>
      </c>
      <c r="R404" s="600">
        <v>1</v>
      </c>
      <c r="S404" s="600">
        <v>1</v>
      </c>
      <c r="T404" s="468">
        <f t="shared" si="94"/>
        <v>0</v>
      </c>
      <c r="U404" s="468">
        <f t="shared" si="95"/>
        <v>0</v>
      </c>
      <c r="V404" s="468">
        <f t="shared" si="96"/>
        <v>0</v>
      </c>
      <c r="W404" s="468">
        <f t="shared" si="97"/>
        <v>0</v>
      </c>
      <c r="X404" s="601">
        <f t="shared" si="87"/>
        <v>0</v>
      </c>
      <c r="Y404" s="601">
        <f t="shared" si="88"/>
        <v>0</v>
      </c>
      <c r="Z404" s="601">
        <f t="shared" si="89"/>
        <v>0</v>
      </c>
      <c r="AA404" s="601">
        <f t="shared" si="90"/>
        <v>0</v>
      </c>
      <c r="AB404" s="602">
        <f t="shared" si="91"/>
        <v>0</v>
      </c>
      <c r="AC404" s="847"/>
      <c r="AD404" s="603">
        <f>(T404+U404+V404)*'1.0-Contractblad'!$K$69</f>
        <v>0</v>
      </c>
      <c r="AE404" s="603"/>
      <c r="AF404" s="58">
        <f t="shared" si="92"/>
        <v>0</v>
      </c>
      <c r="AG404" s="58">
        <f t="shared" si="98"/>
        <v>0</v>
      </c>
      <c r="AH404" s="58" t="str">
        <f t="shared" si="99"/>
        <v>nvt-0</v>
      </c>
    </row>
    <row r="405" spans="1:34" ht="13">
      <c r="A405" s="134"/>
      <c r="B405" s="470"/>
      <c r="C405" s="471"/>
      <c r="D405" s="859">
        <f>VLOOKUP(E405,'1.1a-Jaarprijzen'!B:G,6,FALSE)</f>
        <v>2</v>
      </c>
      <c r="E405" s="845" t="s">
        <v>701</v>
      </c>
      <c r="F405" s="798" t="s">
        <v>469</v>
      </c>
      <c r="G405" s="799" t="s">
        <v>442</v>
      </c>
      <c r="H405" s="573" t="s">
        <v>466</v>
      </c>
      <c r="I405" s="573" t="str">
        <f t="shared" si="100"/>
        <v>sanitaire ruimte (toilet-/doucheruimte)</v>
      </c>
      <c r="J405" s="694" t="s">
        <v>675</v>
      </c>
      <c r="K405" s="800">
        <v>1.17</v>
      </c>
      <c r="L405" s="800"/>
      <c r="M405" s="867">
        <v>4253</v>
      </c>
      <c r="N405" s="868"/>
      <c r="O405" s="869"/>
      <c r="P405" s="869"/>
      <c r="Q405" s="866">
        <f t="shared" si="93"/>
        <v>253</v>
      </c>
      <c r="R405" s="600">
        <v>1</v>
      </c>
      <c r="S405" s="600">
        <v>1</v>
      </c>
      <c r="T405" s="468">
        <f t="shared" si="94"/>
        <v>0</v>
      </c>
      <c r="U405" s="468">
        <f t="shared" si="95"/>
        <v>0</v>
      </c>
      <c r="V405" s="468">
        <f t="shared" si="96"/>
        <v>0</v>
      </c>
      <c r="W405" s="468">
        <f t="shared" si="97"/>
        <v>0</v>
      </c>
      <c r="X405" s="601">
        <f t="shared" si="87"/>
        <v>0</v>
      </c>
      <c r="Y405" s="601">
        <f t="shared" si="88"/>
        <v>0</v>
      </c>
      <c r="Z405" s="601">
        <f t="shared" si="89"/>
        <v>0</v>
      </c>
      <c r="AA405" s="601">
        <f t="shared" si="90"/>
        <v>0</v>
      </c>
      <c r="AB405" s="602" t="str">
        <f t="shared" si="91"/>
        <v>S</v>
      </c>
      <c r="AC405" s="847"/>
      <c r="AD405" s="603">
        <f>(T405+U405+V405)*'1.0-Contractblad'!$K$69</f>
        <v>0</v>
      </c>
      <c r="AE405" s="603"/>
      <c r="AF405" s="58">
        <f t="shared" si="92"/>
        <v>0</v>
      </c>
      <c r="AG405" s="58">
        <f t="shared" si="98"/>
        <v>296.01</v>
      </c>
      <c r="AH405" s="58" t="str">
        <f t="shared" si="99"/>
        <v>4253-253</v>
      </c>
    </row>
    <row r="406" spans="1:34" ht="13">
      <c r="A406" s="134"/>
      <c r="B406" s="470"/>
      <c r="C406" s="471"/>
      <c r="D406" s="859">
        <f>VLOOKUP(E406,'1.1a-Jaarprijzen'!B:G,6,FALSE)</f>
        <v>2</v>
      </c>
      <c r="E406" s="845" t="s">
        <v>701</v>
      </c>
      <c r="F406" s="798" t="s">
        <v>469</v>
      </c>
      <c r="G406" s="799" t="s">
        <v>441</v>
      </c>
      <c r="H406" s="573" t="s">
        <v>466</v>
      </c>
      <c r="I406" s="573" t="str">
        <f t="shared" si="100"/>
        <v>sanitaire ruimte (toilet-/doucheruimte)</v>
      </c>
      <c r="J406" s="694" t="s">
        <v>675</v>
      </c>
      <c r="K406" s="800">
        <v>1.17</v>
      </c>
      <c r="L406" s="800"/>
      <c r="M406" s="867">
        <v>4253</v>
      </c>
      <c r="N406" s="868"/>
      <c r="O406" s="869"/>
      <c r="P406" s="869"/>
      <c r="Q406" s="866">
        <f t="shared" si="93"/>
        <v>253</v>
      </c>
      <c r="R406" s="600">
        <v>1</v>
      </c>
      <c r="S406" s="600">
        <v>1</v>
      </c>
      <c r="T406" s="468">
        <f t="shared" si="94"/>
        <v>0</v>
      </c>
      <c r="U406" s="468">
        <f t="shared" si="95"/>
        <v>0</v>
      </c>
      <c r="V406" s="468">
        <f t="shared" si="96"/>
        <v>0</v>
      </c>
      <c r="W406" s="468">
        <f t="shared" si="97"/>
        <v>0</v>
      </c>
      <c r="X406" s="601">
        <f t="shared" si="87"/>
        <v>0</v>
      </c>
      <c r="Y406" s="601">
        <f t="shared" si="88"/>
        <v>0</v>
      </c>
      <c r="Z406" s="601">
        <f t="shared" si="89"/>
        <v>0</v>
      </c>
      <c r="AA406" s="601">
        <f t="shared" si="90"/>
        <v>0</v>
      </c>
      <c r="AB406" s="602" t="str">
        <f t="shared" si="91"/>
        <v>S</v>
      </c>
      <c r="AC406" s="847"/>
      <c r="AD406" s="603">
        <f>(T406+U406+V406)*'1.0-Contractblad'!$K$69</f>
        <v>0</v>
      </c>
      <c r="AE406" s="603"/>
      <c r="AF406" s="58">
        <f t="shared" si="92"/>
        <v>0</v>
      </c>
      <c r="AG406" s="58">
        <f t="shared" si="98"/>
        <v>296.01</v>
      </c>
      <c r="AH406" s="58" t="str">
        <f t="shared" si="99"/>
        <v>4253-253</v>
      </c>
    </row>
    <row r="407" spans="1:34" ht="13">
      <c r="A407" s="134"/>
      <c r="B407" s="470"/>
      <c r="C407" s="471"/>
      <c r="D407" s="859">
        <f>VLOOKUP(E407,'1.1a-Jaarprijzen'!B:G,6,FALSE)</f>
        <v>2</v>
      </c>
      <c r="E407" s="845" t="s">
        <v>701</v>
      </c>
      <c r="F407" s="798" t="s">
        <v>469</v>
      </c>
      <c r="G407" s="799" t="s">
        <v>440</v>
      </c>
      <c r="H407" s="573" t="s">
        <v>466</v>
      </c>
      <c r="I407" s="573" t="str">
        <f t="shared" si="100"/>
        <v>sanitaire ruimte (toilet-/doucheruimte)</v>
      </c>
      <c r="J407" s="694" t="s">
        <v>675</v>
      </c>
      <c r="K407" s="800">
        <v>1.17</v>
      </c>
      <c r="L407" s="800"/>
      <c r="M407" s="867">
        <v>4253</v>
      </c>
      <c r="N407" s="868"/>
      <c r="O407" s="869"/>
      <c r="P407" s="869"/>
      <c r="Q407" s="866">
        <f t="shared" si="93"/>
        <v>253</v>
      </c>
      <c r="R407" s="600">
        <v>1</v>
      </c>
      <c r="S407" s="600">
        <v>1</v>
      </c>
      <c r="T407" s="468">
        <f t="shared" si="94"/>
        <v>0</v>
      </c>
      <c r="U407" s="468">
        <f t="shared" si="95"/>
        <v>0</v>
      </c>
      <c r="V407" s="468">
        <f t="shared" si="96"/>
        <v>0</v>
      </c>
      <c r="W407" s="468">
        <f t="shared" si="97"/>
        <v>0</v>
      </c>
      <c r="X407" s="601">
        <f t="shared" si="87"/>
        <v>0</v>
      </c>
      <c r="Y407" s="601">
        <f t="shared" si="88"/>
        <v>0</v>
      </c>
      <c r="Z407" s="601">
        <f t="shared" si="89"/>
        <v>0</v>
      </c>
      <c r="AA407" s="601">
        <f t="shared" si="90"/>
        <v>0</v>
      </c>
      <c r="AB407" s="602" t="str">
        <f t="shared" si="91"/>
        <v>S</v>
      </c>
      <c r="AC407" s="847"/>
      <c r="AD407" s="603">
        <f>(T407+U407+V407)*'1.0-Contractblad'!$K$69</f>
        <v>0</v>
      </c>
      <c r="AE407" s="603"/>
      <c r="AF407" s="58">
        <f t="shared" si="92"/>
        <v>0</v>
      </c>
      <c r="AG407" s="58">
        <f t="shared" si="98"/>
        <v>296.01</v>
      </c>
      <c r="AH407" s="58" t="str">
        <f t="shared" si="99"/>
        <v>4253-253</v>
      </c>
    </row>
    <row r="408" spans="1:34" ht="13">
      <c r="A408" s="134"/>
      <c r="B408" s="470"/>
      <c r="C408" s="471"/>
      <c r="D408" s="859">
        <f>VLOOKUP(E408,'1.1a-Jaarprijzen'!B:G,6,FALSE)</f>
        <v>2</v>
      </c>
      <c r="E408" s="845" t="s">
        <v>701</v>
      </c>
      <c r="F408" s="798" t="s">
        <v>469</v>
      </c>
      <c r="G408" s="799" t="s">
        <v>439</v>
      </c>
      <c r="H408" s="573" t="s">
        <v>495</v>
      </c>
      <c r="I408" s="573" t="str">
        <f t="shared" si="100"/>
        <v>sanitaire ruimte (toilet-/doucheruimte)</v>
      </c>
      <c r="J408" s="694" t="s">
        <v>675</v>
      </c>
      <c r="K408" s="800">
        <v>2.21</v>
      </c>
      <c r="L408" s="800"/>
      <c r="M408" s="867">
        <v>4253</v>
      </c>
      <c r="N408" s="868"/>
      <c r="O408" s="869"/>
      <c r="P408" s="869"/>
      <c r="Q408" s="866">
        <f t="shared" si="93"/>
        <v>253</v>
      </c>
      <c r="R408" s="600">
        <v>1</v>
      </c>
      <c r="S408" s="600">
        <v>1</v>
      </c>
      <c r="T408" s="468">
        <f t="shared" si="94"/>
        <v>0</v>
      </c>
      <c r="U408" s="468">
        <f t="shared" si="95"/>
        <v>0</v>
      </c>
      <c r="V408" s="468">
        <f t="shared" si="96"/>
        <v>0</v>
      </c>
      <c r="W408" s="468">
        <f t="shared" si="97"/>
        <v>0</v>
      </c>
      <c r="X408" s="601">
        <f t="shared" ref="X408:X447" si="101">IF($M408=0,0,VLOOKUP($M408,Kengetal,6,FALSE))</f>
        <v>0</v>
      </c>
      <c r="Y408" s="601">
        <f t="shared" ref="Y408:Y447" si="102">IF($M408=0,0,VLOOKUP($M408,Kengetal,8,FALSE))</f>
        <v>0</v>
      </c>
      <c r="Z408" s="601">
        <f t="shared" ref="Z408:Z447" si="103">IF($N408=0,0,VLOOKUP($N408,Kengetal,6,FALSE))</f>
        <v>0</v>
      </c>
      <c r="AA408" s="601">
        <f t="shared" ref="AA408:AA447" si="104">IF($O408=0,0,VLOOKUP($O408,Kengetal,6,FALSE))</f>
        <v>0</v>
      </c>
      <c r="AB408" s="602" t="str">
        <f t="shared" ref="AB408:AB447" si="105">IF(M408="","",VLOOKUP(M408,Kengetal,15,FALSE))</f>
        <v>S</v>
      </c>
      <c r="AC408" s="847"/>
      <c r="AD408" s="603">
        <f>(T408+U408+V408)*'1.0-Contractblad'!$K$69</f>
        <v>0</v>
      </c>
      <c r="AE408" s="603"/>
      <c r="AF408" s="58">
        <f t="shared" ref="AF408:AF447" si="106">IF(M408=8255,T408+U408,0)</f>
        <v>0</v>
      </c>
      <c r="AG408" s="58">
        <f t="shared" si="98"/>
        <v>559.13</v>
      </c>
      <c r="AH408" s="58" t="str">
        <f t="shared" si="99"/>
        <v>4253-253</v>
      </c>
    </row>
    <row r="409" spans="1:34" ht="13">
      <c r="A409" s="134"/>
      <c r="B409" s="470"/>
      <c r="C409" s="471"/>
      <c r="D409" s="859">
        <f>VLOOKUP(E409,'1.1a-Jaarprijzen'!B:G,6,FALSE)</f>
        <v>2</v>
      </c>
      <c r="E409" s="845" t="s">
        <v>701</v>
      </c>
      <c r="F409" s="798" t="s">
        <v>469</v>
      </c>
      <c r="G409" s="799" t="s">
        <v>437</v>
      </c>
      <c r="H409" s="573" t="s">
        <v>678</v>
      </c>
      <c r="I409" s="573" t="str">
        <f t="shared" si="100"/>
        <v>entree, gang, hal, repro, kopieer</v>
      </c>
      <c r="J409" s="694" t="s">
        <v>675</v>
      </c>
      <c r="K409" s="800">
        <v>22.66</v>
      </c>
      <c r="L409" s="800"/>
      <c r="M409" s="867">
        <v>3253</v>
      </c>
      <c r="N409" s="868"/>
      <c r="O409" s="869"/>
      <c r="P409" s="869"/>
      <c r="Q409" s="866">
        <f t="shared" ref="Q409:Q447" si="107">VLOOKUP(M409,Kengetal,3,FALSE)+VLOOKUP(N409,Kengetal,3,FALSE)+VLOOKUP(O409,Kengetal,3,FALSE)</f>
        <v>253</v>
      </c>
      <c r="R409" s="600">
        <v>1</v>
      </c>
      <c r="S409" s="600">
        <v>1</v>
      </c>
      <c r="T409" s="468">
        <f t="shared" ref="T409:T447" si="108">X409*K409*R409</f>
        <v>0</v>
      </c>
      <c r="U409" s="468">
        <f t="shared" ref="U409:U447" si="109">Y409*K409*S409</f>
        <v>0</v>
      </c>
      <c r="V409" s="468">
        <f t="shared" ref="V409:V447" si="110">Z409*K409*R409</f>
        <v>0</v>
      </c>
      <c r="W409" s="468">
        <f t="shared" ref="W409:W447" si="111">AA409*K409*U409</f>
        <v>0</v>
      </c>
      <c r="X409" s="601">
        <f t="shared" si="101"/>
        <v>0</v>
      </c>
      <c r="Y409" s="601">
        <f t="shared" si="102"/>
        <v>0</v>
      </c>
      <c r="Z409" s="601">
        <f t="shared" si="103"/>
        <v>0</v>
      </c>
      <c r="AA409" s="601">
        <f t="shared" si="104"/>
        <v>0</v>
      </c>
      <c r="AB409" s="602" t="str">
        <f t="shared" si="105"/>
        <v>V</v>
      </c>
      <c r="AC409" s="847"/>
      <c r="AD409" s="603">
        <f>(T409+U409+V409)*'1.0-Contractblad'!$K$69</f>
        <v>0</v>
      </c>
      <c r="AE409" s="603"/>
      <c r="AF409" s="58">
        <f t="shared" si="106"/>
        <v>0</v>
      </c>
      <c r="AG409" s="58">
        <f t="shared" ref="AG409:AG447" si="112">K409*Q409</f>
        <v>5732.9800000000005</v>
      </c>
      <c r="AH409" s="58" t="str">
        <f t="shared" ref="AH409:AH447" si="113">CONCATENATE(M409,"-",Q409)</f>
        <v>3253-253</v>
      </c>
    </row>
    <row r="410" spans="1:34" ht="13">
      <c r="A410" s="134"/>
      <c r="B410" s="470"/>
      <c r="C410" s="471"/>
      <c r="D410" s="859">
        <f>VLOOKUP(E410,'1.1a-Jaarprijzen'!B:G,6,FALSE)</f>
        <v>2</v>
      </c>
      <c r="E410" s="845" t="s">
        <v>701</v>
      </c>
      <c r="F410" s="798" t="s">
        <v>469</v>
      </c>
      <c r="G410" s="799" t="s">
        <v>623</v>
      </c>
      <c r="H410" s="573" t="s">
        <v>670</v>
      </c>
      <c r="I410" s="573" t="str">
        <f t="shared" si="100"/>
        <v>entree, gang, hal, repro, kopieer</v>
      </c>
      <c r="J410" s="694" t="s">
        <v>675</v>
      </c>
      <c r="K410" s="800">
        <v>6.29</v>
      </c>
      <c r="L410" s="800"/>
      <c r="M410" s="867">
        <v>3253</v>
      </c>
      <c r="N410" s="868"/>
      <c r="O410" s="869"/>
      <c r="P410" s="869"/>
      <c r="Q410" s="866">
        <f t="shared" si="107"/>
        <v>253</v>
      </c>
      <c r="R410" s="600">
        <v>1</v>
      </c>
      <c r="S410" s="600">
        <v>1</v>
      </c>
      <c r="T410" s="468">
        <f t="shared" si="108"/>
        <v>0</v>
      </c>
      <c r="U410" s="468">
        <f t="shared" si="109"/>
        <v>0</v>
      </c>
      <c r="V410" s="468">
        <f t="shared" si="110"/>
        <v>0</v>
      </c>
      <c r="W410" s="468">
        <f t="shared" si="111"/>
        <v>0</v>
      </c>
      <c r="X410" s="601">
        <f t="shared" si="101"/>
        <v>0</v>
      </c>
      <c r="Y410" s="601">
        <f t="shared" si="102"/>
        <v>0</v>
      </c>
      <c r="Z410" s="601">
        <f t="shared" si="103"/>
        <v>0</v>
      </c>
      <c r="AA410" s="601">
        <f t="shared" si="104"/>
        <v>0</v>
      </c>
      <c r="AB410" s="602" t="str">
        <f t="shared" si="105"/>
        <v>V</v>
      </c>
      <c r="AC410" s="847"/>
      <c r="AD410" s="603">
        <f>(T410+U410+V410)*'1.0-Contractblad'!$K$69</f>
        <v>0</v>
      </c>
      <c r="AE410" s="603"/>
      <c r="AF410" s="58">
        <f t="shared" si="106"/>
        <v>0</v>
      </c>
      <c r="AG410" s="58">
        <f t="shared" si="112"/>
        <v>1591.3700000000001</v>
      </c>
      <c r="AH410" s="58" t="str">
        <f t="shared" si="113"/>
        <v>3253-253</v>
      </c>
    </row>
    <row r="411" spans="1:34" ht="13">
      <c r="A411" s="134"/>
      <c r="B411" s="470"/>
      <c r="C411" s="471"/>
      <c r="D411" s="859">
        <f>VLOOKUP(E411,'1.1a-Jaarprijzen'!B:G,6,FALSE)</f>
        <v>2</v>
      </c>
      <c r="E411" s="845" t="s">
        <v>701</v>
      </c>
      <c r="F411" s="798" t="s">
        <v>469</v>
      </c>
      <c r="G411" s="799" t="s">
        <v>624</v>
      </c>
      <c r="H411" s="573" t="s">
        <v>670</v>
      </c>
      <c r="I411" s="573" t="str">
        <f t="shared" si="100"/>
        <v>entree, gang, hal, repro, kopieer</v>
      </c>
      <c r="J411" s="694" t="s">
        <v>675</v>
      </c>
      <c r="K411" s="800">
        <v>22.09</v>
      </c>
      <c r="L411" s="800"/>
      <c r="M411" s="867">
        <v>3253</v>
      </c>
      <c r="N411" s="868"/>
      <c r="O411" s="869"/>
      <c r="P411" s="869"/>
      <c r="Q411" s="866">
        <f t="shared" si="107"/>
        <v>253</v>
      </c>
      <c r="R411" s="600">
        <v>1</v>
      </c>
      <c r="S411" s="600">
        <v>1</v>
      </c>
      <c r="T411" s="468">
        <f t="shared" si="108"/>
        <v>0</v>
      </c>
      <c r="U411" s="468">
        <f t="shared" si="109"/>
        <v>0</v>
      </c>
      <c r="V411" s="468">
        <f t="shared" si="110"/>
        <v>0</v>
      </c>
      <c r="W411" s="468">
        <f t="shared" si="111"/>
        <v>0</v>
      </c>
      <c r="X411" s="601">
        <f t="shared" si="101"/>
        <v>0</v>
      </c>
      <c r="Y411" s="601">
        <f t="shared" si="102"/>
        <v>0</v>
      </c>
      <c r="Z411" s="601">
        <f t="shared" si="103"/>
        <v>0</v>
      </c>
      <c r="AA411" s="601">
        <f t="shared" si="104"/>
        <v>0</v>
      </c>
      <c r="AB411" s="602" t="str">
        <f t="shared" si="105"/>
        <v>V</v>
      </c>
      <c r="AC411" s="847"/>
      <c r="AD411" s="603">
        <f>(T411+U411+V411)*'1.0-Contractblad'!$K$69</f>
        <v>0</v>
      </c>
      <c r="AE411" s="603"/>
      <c r="AF411" s="58">
        <f t="shared" si="106"/>
        <v>0</v>
      </c>
      <c r="AG411" s="58">
        <f t="shared" si="112"/>
        <v>5588.7699999999995</v>
      </c>
      <c r="AH411" s="58" t="str">
        <f t="shared" si="113"/>
        <v>3253-253</v>
      </c>
    </row>
    <row r="412" spans="1:34" ht="13">
      <c r="A412" s="134"/>
      <c r="B412" s="470"/>
      <c r="C412" s="471"/>
      <c r="D412" s="859">
        <f>VLOOKUP(E412,'1.1a-Jaarprijzen'!B:G,6,FALSE)</f>
        <v>2</v>
      </c>
      <c r="E412" s="845" t="s">
        <v>701</v>
      </c>
      <c r="F412" s="798" t="s">
        <v>469</v>
      </c>
      <c r="G412" s="799" t="s">
        <v>625</v>
      </c>
      <c r="H412" s="573" t="s">
        <v>549</v>
      </c>
      <c r="I412" s="573" t="str">
        <f t="shared" si="100"/>
        <v>entree, gang, hal, repro, kopieer</v>
      </c>
      <c r="J412" s="694" t="s">
        <v>675</v>
      </c>
      <c r="K412" s="800">
        <v>25.12</v>
      </c>
      <c r="L412" s="800"/>
      <c r="M412" s="867">
        <v>3253</v>
      </c>
      <c r="N412" s="868"/>
      <c r="O412" s="869"/>
      <c r="P412" s="869"/>
      <c r="Q412" s="866">
        <f t="shared" si="107"/>
        <v>253</v>
      </c>
      <c r="R412" s="600">
        <v>1</v>
      </c>
      <c r="S412" s="600">
        <v>1</v>
      </c>
      <c r="T412" s="468">
        <f t="shared" si="108"/>
        <v>0</v>
      </c>
      <c r="U412" s="468">
        <f t="shared" si="109"/>
        <v>0</v>
      </c>
      <c r="V412" s="468">
        <f t="shared" si="110"/>
        <v>0</v>
      </c>
      <c r="W412" s="468">
        <f t="shared" si="111"/>
        <v>0</v>
      </c>
      <c r="X412" s="601">
        <f t="shared" si="101"/>
        <v>0</v>
      </c>
      <c r="Y412" s="601">
        <f t="shared" si="102"/>
        <v>0</v>
      </c>
      <c r="Z412" s="601">
        <f t="shared" si="103"/>
        <v>0</v>
      </c>
      <c r="AA412" s="601">
        <f t="shared" si="104"/>
        <v>0</v>
      </c>
      <c r="AB412" s="602" t="str">
        <f t="shared" si="105"/>
        <v>V</v>
      </c>
      <c r="AC412" s="847"/>
      <c r="AD412" s="603">
        <f>(T412+U412+V412)*'1.0-Contractblad'!$K$69</f>
        <v>0</v>
      </c>
      <c r="AE412" s="603"/>
      <c r="AF412" s="58">
        <f t="shared" si="106"/>
        <v>0</v>
      </c>
      <c r="AG412" s="58">
        <f t="shared" si="112"/>
        <v>6355.3600000000006</v>
      </c>
      <c r="AH412" s="58" t="str">
        <f t="shared" si="113"/>
        <v>3253-253</v>
      </c>
    </row>
    <row r="413" spans="1:34" ht="13">
      <c r="A413" s="134"/>
      <c r="B413" s="470"/>
      <c r="C413" s="471"/>
      <c r="D413" s="859">
        <f>VLOOKUP(E413,'1.1a-Jaarprijzen'!B:G,6,FALSE)</f>
        <v>2</v>
      </c>
      <c r="E413" s="845" t="s">
        <v>701</v>
      </c>
      <c r="F413" s="798" t="s">
        <v>736</v>
      </c>
      <c r="G413" s="799" t="s">
        <v>456</v>
      </c>
      <c r="H413" s="573" t="s">
        <v>679</v>
      </c>
      <c r="I413" s="573" t="str">
        <f t="shared" si="100"/>
        <v>entree, gang, hal, repro, kopieer</v>
      </c>
      <c r="J413" s="694" t="s">
        <v>675</v>
      </c>
      <c r="K413" s="800">
        <v>25.1</v>
      </c>
      <c r="L413" s="800"/>
      <c r="M413" s="867">
        <v>3253</v>
      </c>
      <c r="N413" s="868"/>
      <c r="O413" s="869"/>
      <c r="P413" s="869"/>
      <c r="Q413" s="866">
        <f t="shared" si="107"/>
        <v>253</v>
      </c>
      <c r="R413" s="600">
        <v>1</v>
      </c>
      <c r="S413" s="600">
        <v>1</v>
      </c>
      <c r="T413" s="468">
        <f t="shared" si="108"/>
        <v>0</v>
      </c>
      <c r="U413" s="468">
        <f t="shared" si="109"/>
        <v>0</v>
      </c>
      <c r="V413" s="468">
        <f t="shared" si="110"/>
        <v>0</v>
      </c>
      <c r="W413" s="468">
        <f t="shared" si="111"/>
        <v>0</v>
      </c>
      <c r="X413" s="601">
        <f t="shared" si="101"/>
        <v>0</v>
      </c>
      <c r="Y413" s="601">
        <f t="shared" si="102"/>
        <v>0</v>
      </c>
      <c r="Z413" s="601">
        <f t="shared" si="103"/>
        <v>0</v>
      </c>
      <c r="AA413" s="601">
        <f t="shared" si="104"/>
        <v>0</v>
      </c>
      <c r="AB413" s="602" t="str">
        <f t="shared" si="105"/>
        <v>V</v>
      </c>
      <c r="AC413" s="847"/>
      <c r="AD413" s="603">
        <f>(T413+U413+V413)*'1.0-Contractblad'!$K$69</f>
        <v>0</v>
      </c>
      <c r="AE413" s="603"/>
      <c r="AF413" s="58">
        <f t="shared" si="106"/>
        <v>0</v>
      </c>
      <c r="AG413" s="58">
        <f t="shared" si="112"/>
        <v>6350.3</v>
      </c>
      <c r="AH413" s="58" t="str">
        <f t="shared" si="113"/>
        <v>3253-253</v>
      </c>
    </row>
    <row r="414" spans="1:34" ht="13">
      <c r="A414" s="134"/>
      <c r="B414" s="470"/>
      <c r="C414" s="471"/>
      <c r="D414" s="859">
        <f>VLOOKUP(E414,'1.1a-Jaarprijzen'!B:G,6,FALSE)</f>
        <v>2</v>
      </c>
      <c r="E414" s="845" t="s">
        <v>701</v>
      </c>
      <c r="F414" s="798" t="s">
        <v>736</v>
      </c>
      <c r="G414" s="799" t="s">
        <v>680</v>
      </c>
      <c r="H414" s="845" t="s">
        <v>681</v>
      </c>
      <c r="I414" s="573" t="str">
        <f t="shared" si="100"/>
        <v>administratieve -, personeels- en vergaderruimte</v>
      </c>
      <c r="J414" s="694" t="s">
        <v>455</v>
      </c>
      <c r="K414" s="800">
        <v>91.4</v>
      </c>
      <c r="L414" s="800"/>
      <c r="M414" s="867">
        <v>1253</v>
      </c>
      <c r="N414" s="868"/>
      <c r="O414" s="869"/>
      <c r="P414" s="869"/>
      <c r="Q414" s="866">
        <f t="shared" si="107"/>
        <v>253</v>
      </c>
      <c r="R414" s="600">
        <v>1</v>
      </c>
      <c r="S414" s="600">
        <v>1</v>
      </c>
      <c r="T414" s="468">
        <f t="shared" si="108"/>
        <v>0</v>
      </c>
      <c r="U414" s="468">
        <f t="shared" si="109"/>
        <v>0</v>
      </c>
      <c r="V414" s="468">
        <f t="shared" si="110"/>
        <v>0</v>
      </c>
      <c r="W414" s="468">
        <f t="shared" si="111"/>
        <v>0</v>
      </c>
      <c r="X414" s="601">
        <f t="shared" si="101"/>
        <v>0</v>
      </c>
      <c r="Y414" s="601">
        <f t="shared" si="102"/>
        <v>0</v>
      </c>
      <c r="Z414" s="601">
        <f t="shared" si="103"/>
        <v>0</v>
      </c>
      <c r="AA414" s="601">
        <f t="shared" si="104"/>
        <v>0</v>
      </c>
      <c r="AB414" s="602" t="str">
        <f t="shared" si="105"/>
        <v>B</v>
      </c>
      <c r="AC414" s="847"/>
      <c r="AD414" s="603">
        <f>(T414+U414+V414)*'1.0-Contractblad'!$K$69</f>
        <v>0</v>
      </c>
      <c r="AE414" s="603"/>
      <c r="AF414" s="58">
        <f t="shared" si="106"/>
        <v>0</v>
      </c>
      <c r="AG414" s="58">
        <f t="shared" si="112"/>
        <v>23124.2</v>
      </c>
      <c r="AH414" s="58" t="str">
        <f t="shared" si="113"/>
        <v>1253-253</v>
      </c>
    </row>
    <row r="415" spans="1:34" ht="13">
      <c r="A415" s="134"/>
      <c r="B415" s="470"/>
      <c r="C415" s="471"/>
      <c r="D415" s="859">
        <f>VLOOKUP(E415,'1.1a-Jaarprijzen'!B:G,6,FALSE)</f>
        <v>2</v>
      </c>
      <c r="E415" s="845" t="s">
        <v>701</v>
      </c>
      <c r="F415" s="798" t="s">
        <v>736</v>
      </c>
      <c r="G415" s="799" t="s">
        <v>460</v>
      </c>
      <c r="H415" s="573" t="s">
        <v>452</v>
      </c>
      <c r="I415" s="573" t="str">
        <f t="shared" si="100"/>
        <v>administratieve -, personeels- en vergaderruimte</v>
      </c>
      <c r="J415" s="694" t="s">
        <v>455</v>
      </c>
      <c r="K415" s="800">
        <v>23.33</v>
      </c>
      <c r="L415" s="800"/>
      <c r="M415" s="867">
        <v>1253</v>
      </c>
      <c r="N415" s="868"/>
      <c r="O415" s="869"/>
      <c r="P415" s="869"/>
      <c r="Q415" s="866">
        <f t="shared" si="107"/>
        <v>253</v>
      </c>
      <c r="R415" s="600">
        <v>1</v>
      </c>
      <c r="S415" s="600">
        <v>1</v>
      </c>
      <c r="T415" s="468">
        <f t="shared" si="108"/>
        <v>0</v>
      </c>
      <c r="U415" s="468">
        <f t="shared" si="109"/>
        <v>0</v>
      </c>
      <c r="V415" s="468">
        <f t="shared" si="110"/>
        <v>0</v>
      </c>
      <c r="W415" s="468">
        <f t="shared" si="111"/>
        <v>0</v>
      </c>
      <c r="X415" s="601">
        <f t="shared" si="101"/>
        <v>0</v>
      </c>
      <c r="Y415" s="601">
        <f t="shared" si="102"/>
        <v>0</v>
      </c>
      <c r="Z415" s="601">
        <f t="shared" si="103"/>
        <v>0</v>
      </c>
      <c r="AA415" s="601">
        <f t="shared" si="104"/>
        <v>0</v>
      </c>
      <c r="AB415" s="602" t="str">
        <f t="shared" si="105"/>
        <v>B</v>
      </c>
      <c r="AC415" s="847"/>
      <c r="AD415" s="603">
        <f>(T415+U415+V415)*'1.0-Contractblad'!$K$69</f>
        <v>0</v>
      </c>
      <c r="AE415" s="603"/>
      <c r="AF415" s="58">
        <f t="shared" si="106"/>
        <v>0</v>
      </c>
      <c r="AG415" s="58">
        <f t="shared" si="112"/>
        <v>5902.49</v>
      </c>
      <c r="AH415" s="58" t="str">
        <f t="shared" si="113"/>
        <v>1253-253</v>
      </c>
    </row>
    <row r="416" spans="1:34" ht="13">
      <c r="A416" s="134"/>
      <c r="B416" s="470"/>
      <c r="C416" s="471"/>
      <c r="D416" s="859">
        <f>VLOOKUP(E416,'1.1a-Jaarprijzen'!B:G,6,FALSE)</f>
        <v>2</v>
      </c>
      <c r="E416" s="845" t="s">
        <v>701</v>
      </c>
      <c r="F416" s="798" t="s">
        <v>736</v>
      </c>
      <c r="G416" s="799" t="s">
        <v>461</v>
      </c>
      <c r="H416" s="573" t="s">
        <v>452</v>
      </c>
      <c r="I416" s="573" t="str">
        <f t="shared" si="100"/>
        <v>administratieve -, personeels- en vergaderruimte</v>
      </c>
      <c r="J416" s="694" t="s">
        <v>455</v>
      </c>
      <c r="K416" s="800">
        <v>22.37</v>
      </c>
      <c r="L416" s="800"/>
      <c r="M416" s="867">
        <v>1253</v>
      </c>
      <c r="N416" s="868"/>
      <c r="O416" s="869"/>
      <c r="P416" s="869"/>
      <c r="Q416" s="866">
        <f t="shared" si="107"/>
        <v>253</v>
      </c>
      <c r="R416" s="600">
        <v>1</v>
      </c>
      <c r="S416" s="600">
        <v>1</v>
      </c>
      <c r="T416" s="468">
        <f t="shared" si="108"/>
        <v>0</v>
      </c>
      <c r="U416" s="468">
        <f t="shared" si="109"/>
        <v>0</v>
      </c>
      <c r="V416" s="468">
        <f t="shared" si="110"/>
        <v>0</v>
      </c>
      <c r="W416" s="468">
        <f t="shared" si="111"/>
        <v>0</v>
      </c>
      <c r="X416" s="601">
        <f t="shared" si="101"/>
        <v>0</v>
      </c>
      <c r="Y416" s="601">
        <f t="shared" si="102"/>
        <v>0</v>
      </c>
      <c r="Z416" s="601">
        <f t="shared" si="103"/>
        <v>0</v>
      </c>
      <c r="AA416" s="601">
        <f t="shared" si="104"/>
        <v>0</v>
      </c>
      <c r="AB416" s="602" t="str">
        <f t="shared" si="105"/>
        <v>B</v>
      </c>
      <c r="AC416" s="847"/>
      <c r="AD416" s="603">
        <f>(T416+U416+V416)*'1.0-Contractblad'!$K$69</f>
        <v>0</v>
      </c>
      <c r="AE416" s="603"/>
      <c r="AF416" s="58">
        <f t="shared" si="106"/>
        <v>0</v>
      </c>
      <c r="AG416" s="58">
        <f t="shared" si="112"/>
        <v>5659.6100000000006</v>
      </c>
      <c r="AH416" s="58" t="str">
        <f t="shared" si="113"/>
        <v>1253-253</v>
      </c>
    </row>
    <row r="417" spans="1:34" ht="13">
      <c r="A417" s="134"/>
      <c r="B417" s="470"/>
      <c r="C417" s="471"/>
      <c r="D417" s="859">
        <f>VLOOKUP(E417,'1.1a-Jaarprijzen'!B:G,6,FALSE)</f>
        <v>2</v>
      </c>
      <c r="E417" s="845" t="s">
        <v>701</v>
      </c>
      <c r="F417" s="798" t="s">
        <v>736</v>
      </c>
      <c r="G417" s="799" t="s">
        <v>682</v>
      </c>
      <c r="H417" s="845" t="s">
        <v>452</v>
      </c>
      <c r="I417" s="573" t="str">
        <f t="shared" si="100"/>
        <v>administratieve -, personeels- en vergaderruimte</v>
      </c>
      <c r="J417" s="694" t="s">
        <v>455</v>
      </c>
      <c r="K417" s="800">
        <v>30</v>
      </c>
      <c r="L417" s="800"/>
      <c r="M417" s="867">
        <v>1253</v>
      </c>
      <c r="N417" s="868"/>
      <c r="O417" s="869"/>
      <c r="P417" s="869"/>
      <c r="Q417" s="866">
        <f t="shared" si="107"/>
        <v>253</v>
      </c>
      <c r="R417" s="600">
        <v>1</v>
      </c>
      <c r="S417" s="600">
        <v>1</v>
      </c>
      <c r="T417" s="468">
        <f t="shared" si="108"/>
        <v>0</v>
      </c>
      <c r="U417" s="468">
        <f t="shared" si="109"/>
        <v>0</v>
      </c>
      <c r="V417" s="468">
        <f t="shared" si="110"/>
        <v>0</v>
      </c>
      <c r="W417" s="468">
        <f t="shared" si="111"/>
        <v>0</v>
      </c>
      <c r="X417" s="601">
        <f t="shared" si="101"/>
        <v>0</v>
      </c>
      <c r="Y417" s="601">
        <f t="shared" si="102"/>
        <v>0</v>
      </c>
      <c r="Z417" s="601">
        <f t="shared" si="103"/>
        <v>0</v>
      </c>
      <c r="AA417" s="601">
        <f t="shared" si="104"/>
        <v>0</v>
      </c>
      <c r="AB417" s="602" t="str">
        <f t="shared" si="105"/>
        <v>B</v>
      </c>
      <c r="AC417" s="847"/>
      <c r="AD417" s="603">
        <f>(T417+U417+V417)*'1.0-Contractblad'!$K$69</f>
        <v>0</v>
      </c>
      <c r="AE417" s="603"/>
      <c r="AF417" s="58">
        <f t="shared" si="106"/>
        <v>0</v>
      </c>
      <c r="AG417" s="58">
        <f t="shared" si="112"/>
        <v>7590</v>
      </c>
      <c r="AH417" s="58" t="str">
        <f t="shared" si="113"/>
        <v>1253-253</v>
      </c>
    </row>
    <row r="418" spans="1:34" ht="13">
      <c r="A418" s="134"/>
      <c r="B418" s="470"/>
      <c r="C418" s="471"/>
      <c r="D418" s="859">
        <f>VLOOKUP(E418,'1.1a-Jaarprijzen'!B:G,6,FALSE)</f>
        <v>2</v>
      </c>
      <c r="E418" s="845" t="s">
        <v>701</v>
      </c>
      <c r="F418" s="798" t="s">
        <v>736</v>
      </c>
      <c r="G418" s="799" t="s">
        <v>683</v>
      </c>
      <c r="H418" s="845" t="s">
        <v>514</v>
      </c>
      <c r="I418" s="573" t="str">
        <f t="shared" si="100"/>
        <v>administratieve -, personeels- en vergaderruimte</v>
      </c>
      <c r="J418" s="694" t="s">
        <v>455</v>
      </c>
      <c r="K418" s="800">
        <v>37.6</v>
      </c>
      <c r="L418" s="800"/>
      <c r="M418" s="867">
        <v>1253</v>
      </c>
      <c r="N418" s="868"/>
      <c r="O418" s="869"/>
      <c r="P418" s="869"/>
      <c r="Q418" s="866">
        <f t="shared" si="107"/>
        <v>253</v>
      </c>
      <c r="R418" s="600">
        <v>1</v>
      </c>
      <c r="S418" s="600">
        <v>1</v>
      </c>
      <c r="T418" s="468">
        <f t="shared" si="108"/>
        <v>0</v>
      </c>
      <c r="U418" s="468">
        <f t="shared" si="109"/>
        <v>0</v>
      </c>
      <c r="V418" s="468">
        <f t="shared" si="110"/>
        <v>0</v>
      </c>
      <c r="W418" s="468">
        <f t="shared" si="111"/>
        <v>0</v>
      </c>
      <c r="X418" s="601">
        <f t="shared" si="101"/>
        <v>0</v>
      </c>
      <c r="Y418" s="601">
        <f t="shared" si="102"/>
        <v>0</v>
      </c>
      <c r="Z418" s="601">
        <f t="shared" si="103"/>
        <v>0</v>
      </c>
      <c r="AA418" s="601">
        <f t="shared" si="104"/>
        <v>0</v>
      </c>
      <c r="AB418" s="602" t="str">
        <f t="shared" si="105"/>
        <v>B</v>
      </c>
      <c r="AC418" s="847"/>
      <c r="AD418" s="603">
        <f>(T418+U418+V418)*'1.0-Contractblad'!$K$69</f>
        <v>0</v>
      </c>
      <c r="AE418" s="603"/>
      <c r="AF418" s="58">
        <f t="shared" si="106"/>
        <v>0</v>
      </c>
      <c r="AG418" s="58">
        <f t="shared" si="112"/>
        <v>9512.8000000000011</v>
      </c>
      <c r="AH418" s="58" t="str">
        <f t="shared" si="113"/>
        <v>1253-253</v>
      </c>
    </row>
    <row r="419" spans="1:34" ht="13">
      <c r="A419" s="134"/>
      <c r="B419" s="470"/>
      <c r="C419" s="471"/>
      <c r="D419" s="859">
        <f>VLOOKUP(E419,'1.1a-Jaarprijzen'!B:G,6,FALSE)</f>
        <v>2</v>
      </c>
      <c r="E419" s="845" t="s">
        <v>701</v>
      </c>
      <c r="F419" s="798" t="s">
        <v>736</v>
      </c>
      <c r="G419" s="799" t="s">
        <v>684</v>
      </c>
      <c r="H419" s="573" t="s">
        <v>607</v>
      </c>
      <c r="I419" s="573" t="str">
        <f t="shared" si="100"/>
        <v>niet van toepassing</v>
      </c>
      <c r="J419" s="694" t="s">
        <v>455</v>
      </c>
      <c r="K419" s="800"/>
      <c r="L419" s="800">
        <v>5</v>
      </c>
      <c r="M419" s="867" t="s">
        <v>19</v>
      </c>
      <c r="N419" s="868"/>
      <c r="O419" s="869"/>
      <c r="P419" s="869"/>
      <c r="Q419" s="866">
        <f t="shared" si="107"/>
        <v>0</v>
      </c>
      <c r="R419" s="600">
        <v>1</v>
      </c>
      <c r="S419" s="600">
        <v>1</v>
      </c>
      <c r="T419" s="468">
        <f t="shared" si="108"/>
        <v>0</v>
      </c>
      <c r="U419" s="468">
        <f t="shared" si="109"/>
        <v>0</v>
      </c>
      <c r="V419" s="468">
        <f t="shared" si="110"/>
        <v>0</v>
      </c>
      <c r="W419" s="468">
        <f t="shared" si="111"/>
        <v>0</v>
      </c>
      <c r="X419" s="601">
        <f t="shared" si="101"/>
        <v>0</v>
      </c>
      <c r="Y419" s="601">
        <f t="shared" si="102"/>
        <v>0</v>
      </c>
      <c r="Z419" s="601">
        <f t="shared" si="103"/>
        <v>0</v>
      </c>
      <c r="AA419" s="601">
        <f t="shared" si="104"/>
        <v>0</v>
      </c>
      <c r="AB419" s="602">
        <f t="shared" si="105"/>
        <v>0</v>
      </c>
      <c r="AC419" s="847"/>
      <c r="AD419" s="603">
        <f>(T419+U419+V419)*'1.0-Contractblad'!$K$69</f>
        <v>0</v>
      </c>
      <c r="AE419" s="603"/>
      <c r="AF419" s="58">
        <f t="shared" si="106"/>
        <v>0</v>
      </c>
      <c r="AG419" s="58">
        <f t="shared" si="112"/>
        <v>0</v>
      </c>
      <c r="AH419" s="58" t="str">
        <f t="shared" si="113"/>
        <v>nvt-0</v>
      </c>
    </row>
    <row r="420" spans="1:34" ht="13">
      <c r="A420" s="134"/>
      <c r="B420" s="470"/>
      <c r="C420" s="471"/>
      <c r="D420" s="859">
        <f>VLOOKUP(E420,'1.1a-Jaarprijzen'!B:G,6,FALSE)</f>
        <v>2</v>
      </c>
      <c r="E420" s="845" t="s">
        <v>701</v>
      </c>
      <c r="F420" s="798" t="s">
        <v>736</v>
      </c>
      <c r="G420" s="799" t="s">
        <v>685</v>
      </c>
      <c r="H420" s="573" t="s">
        <v>502</v>
      </c>
      <c r="I420" s="573" t="str">
        <f t="shared" ref="I420:I447" si="114">IF($M420="",0,VLOOKUP($M420,Kengetal,4,FALSE))</f>
        <v>pantry, keuken, koffiecorner</v>
      </c>
      <c r="J420" s="694" t="s">
        <v>455</v>
      </c>
      <c r="K420" s="800">
        <v>49.4</v>
      </c>
      <c r="L420" s="800"/>
      <c r="M420" s="867">
        <v>5253</v>
      </c>
      <c r="N420" s="868"/>
      <c r="O420" s="869"/>
      <c r="P420" s="869"/>
      <c r="Q420" s="866">
        <f t="shared" si="107"/>
        <v>253</v>
      </c>
      <c r="R420" s="600">
        <v>1</v>
      </c>
      <c r="S420" s="600">
        <v>1</v>
      </c>
      <c r="T420" s="468">
        <f t="shared" si="108"/>
        <v>0</v>
      </c>
      <c r="U420" s="468">
        <f t="shared" si="109"/>
        <v>0</v>
      </c>
      <c r="V420" s="468">
        <f t="shared" si="110"/>
        <v>0</v>
      </c>
      <c r="W420" s="468">
        <f t="shared" si="111"/>
        <v>0</v>
      </c>
      <c r="X420" s="601">
        <f t="shared" si="101"/>
        <v>0</v>
      </c>
      <c r="Y420" s="601">
        <f t="shared" si="102"/>
        <v>0</v>
      </c>
      <c r="Z420" s="601">
        <f t="shared" si="103"/>
        <v>0</v>
      </c>
      <c r="AA420" s="601">
        <f t="shared" si="104"/>
        <v>0</v>
      </c>
      <c r="AB420" s="602" t="str">
        <f t="shared" si="105"/>
        <v>V</v>
      </c>
      <c r="AC420" s="847"/>
      <c r="AD420" s="603">
        <f>(T420+U420+V420)*'1.0-Contractblad'!$K$69</f>
        <v>0</v>
      </c>
      <c r="AE420" s="603"/>
      <c r="AF420" s="58">
        <f t="shared" si="106"/>
        <v>0</v>
      </c>
      <c r="AG420" s="58">
        <f t="shared" si="112"/>
        <v>12498.199999999999</v>
      </c>
      <c r="AH420" s="58" t="str">
        <f t="shared" si="113"/>
        <v>5253-253</v>
      </c>
    </row>
    <row r="421" spans="1:34" ht="13">
      <c r="A421" s="134"/>
      <c r="B421" s="470"/>
      <c r="C421" s="471"/>
      <c r="D421" s="859">
        <f>VLOOKUP(E421,'1.1a-Jaarprijzen'!B:G,6,FALSE)</f>
        <v>2</v>
      </c>
      <c r="E421" s="845" t="s">
        <v>700</v>
      </c>
      <c r="F421" s="798" t="s">
        <v>469</v>
      </c>
      <c r="G421" s="799" t="s">
        <v>686</v>
      </c>
      <c r="H421" s="845" t="s">
        <v>562</v>
      </c>
      <c r="I421" s="573" t="str">
        <f t="shared" si="114"/>
        <v>administratieve -, personeels- en vergaderruimte</v>
      </c>
      <c r="J421" s="694" t="s">
        <v>477</v>
      </c>
      <c r="K421" s="800">
        <v>7.74</v>
      </c>
      <c r="L421" s="800"/>
      <c r="M421" s="867">
        <v>1253</v>
      </c>
      <c r="N421" s="868"/>
      <c r="O421" s="869"/>
      <c r="P421" s="869"/>
      <c r="Q421" s="866">
        <f t="shared" si="107"/>
        <v>253</v>
      </c>
      <c r="R421" s="600">
        <v>1</v>
      </c>
      <c r="S421" s="600">
        <v>1</v>
      </c>
      <c r="T421" s="468">
        <f t="shared" si="108"/>
        <v>0</v>
      </c>
      <c r="U421" s="468">
        <f t="shared" si="109"/>
        <v>0</v>
      </c>
      <c r="V421" s="468">
        <f t="shared" si="110"/>
        <v>0</v>
      </c>
      <c r="W421" s="468">
        <f t="shared" si="111"/>
        <v>0</v>
      </c>
      <c r="X421" s="601">
        <f t="shared" si="101"/>
        <v>0</v>
      </c>
      <c r="Y421" s="601">
        <f t="shared" si="102"/>
        <v>0</v>
      </c>
      <c r="Z421" s="601">
        <f t="shared" si="103"/>
        <v>0</v>
      </c>
      <c r="AA421" s="601">
        <f t="shared" si="104"/>
        <v>0</v>
      </c>
      <c r="AB421" s="602" t="str">
        <f t="shared" si="105"/>
        <v>B</v>
      </c>
      <c r="AC421" s="847"/>
      <c r="AD421" s="603">
        <f>(T421+U421+V421)*'1.0-Contractblad'!$K$69</f>
        <v>0</v>
      </c>
      <c r="AE421" s="603"/>
      <c r="AF421" s="58">
        <f t="shared" si="106"/>
        <v>0</v>
      </c>
      <c r="AG421" s="58">
        <f t="shared" si="112"/>
        <v>1958.22</v>
      </c>
      <c r="AH421" s="58" t="str">
        <f t="shared" si="113"/>
        <v>1253-253</v>
      </c>
    </row>
    <row r="422" spans="1:34" ht="13">
      <c r="A422" s="134"/>
      <c r="B422" s="470"/>
      <c r="C422" s="471"/>
      <c r="D422" s="859">
        <f>VLOOKUP(E422,'1.1a-Jaarprijzen'!B:G,6,FALSE)</f>
        <v>2</v>
      </c>
      <c r="E422" s="845" t="s">
        <v>700</v>
      </c>
      <c r="F422" s="798" t="s">
        <v>469</v>
      </c>
      <c r="G422" s="799" t="s">
        <v>687</v>
      </c>
      <c r="H422" s="573" t="s">
        <v>562</v>
      </c>
      <c r="I422" s="573" t="str">
        <f t="shared" si="114"/>
        <v>administratieve -, personeels- en vergaderruimte</v>
      </c>
      <c r="J422" s="694" t="s">
        <v>688</v>
      </c>
      <c r="K422" s="800">
        <v>13.98</v>
      </c>
      <c r="L422" s="800"/>
      <c r="M422" s="867">
        <v>1253</v>
      </c>
      <c r="N422" s="868"/>
      <c r="O422" s="869"/>
      <c r="P422" s="869"/>
      <c r="Q422" s="866">
        <f t="shared" si="107"/>
        <v>253</v>
      </c>
      <c r="R422" s="600">
        <v>1</v>
      </c>
      <c r="S422" s="600">
        <v>1</v>
      </c>
      <c r="T422" s="468">
        <f t="shared" si="108"/>
        <v>0</v>
      </c>
      <c r="U422" s="468">
        <f t="shared" si="109"/>
        <v>0</v>
      </c>
      <c r="V422" s="468">
        <f t="shared" si="110"/>
        <v>0</v>
      </c>
      <c r="W422" s="468">
        <f t="shared" si="111"/>
        <v>0</v>
      </c>
      <c r="X422" s="601">
        <f t="shared" si="101"/>
        <v>0</v>
      </c>
      <c r="Y422" s="601">
        <f t="shared" si="102"/>
        <v>0</v>
      </c>
      <c r="Z422" s="601">
        <f t="shared" si="103"/>
        <v>0</v>
      </c>
      <c r="AA422" s="601">
        <f t="shared" si="104"/>
        <v>0</v>
      </c>
      <c r="AB422" s="602" t="str">
        <f t="shared" si="105"/>
        <v>B</v>
      </c>
      <c r="AC422" s="847"/>
      <c r="AD422" s="603">
        <f>(T422+U422+V422)*'1.0-Contractblad'!$K$69</f>
        <v>0</v>
      </c>
      <c r="AE422" s="603"/>
      <c r="AF422" s="58">
        <f t="shared" si="106"/>
        <v>0</v>
      </c>
      <c r="AG422" s="58">
        <f t="shared" si="112"/>
        <v>3536.94</v>
      </c>
      <c r="AH422" s="58" t="str">
        <f t="shared" si="113"/>
        <v>1253-253</v>
      </c>
    </row>
    <row r="423" spans="1:34" ht="13">
      <c r="A423" s="134"/>
      <c r="B423" s="470"/>
      <c r="C423" s="471"/>
      <c r="D423" s="859">
        <f>VLOOKUP(E423,'1.1a-Jaarprijzen'!B:G,6,FALSE)</f>
        <v>2</v>
      </c>
      <c r="E423" s="845" t="s">
        <v>700</v>
      </c>
      <c r="F423" s="798" t="s">
        <v>469</v>
      </c>
      <c r="G423" s="799" t="s">
        <v>689</v>
      </c>
      <c r="H423" s="573" t="s">
        <v>562</v>
      </c>
      <c r="I423" s="573" t="str">
        <f t="shared" si="114"/>
        <v>administratieve -, personeels- en vergaderruimte</v>
      </c>
      <c r="J423" s="694" t="s">
        <v>477</v>
      </c>
      <c r="K423" s="800">
        <v>67.739999999999995</v>
      </c>
      <c r="L423" s="800"/>
      <c r="M423" s="867">
        <v>1253</v>
      </c>
      <c r="N423" s="868"/>
      <c r="O423" s="869"/>
      <c r="P423" s="869"/>
      <c r="Q423" s="866">
        <f t="shared" si="107"/>
        <v>253</v>
      </c>
      <c r="R423" s="600">
        <v>1</v>
      </c>
      <c r="S423" s="600">
        <v>1</v>
      </c>
      <c r="T423" s="468">
        <f t="shared" si="108"/>
        <v>0</v>
      </c>
      <c r="U423" s="468">
        <f t="shared" si="109"/>
        <v>0</v>
      </c>
      <c r="V423" s="468">
        <f t="shared" si="110"/>
        <v>0</v>
      </c>
      <c r="W423" s="468">
        <f t="shared" si="111"/>
        <v>0</v>
      </c>
      <c r="X423" s="601">
        <f t="shared" si="101"/>
        <v>0</v>
      </c>
      <c r="Y423" s="601">
        <f t="shared" si="102"/>
        <v>0</v>
      </c>
      <c r="Z423" s="601">
        <f t="shared" si="103"/>
        <v>0</v>
      </c>
      <c r="AA423" s="601">
        <f t="shared" si="104"/>
        <v>0</v>
      </c>
      <c r="AB423" s="602" t="str">
        <f t="shared" si="105"/>
        <v>B</v>
      </c>
      <c r="AC423" s="847"/>
      <c r="AD423" s="603">
        <f>(T423+U423+V423)*'1.0-Contractblad'!$K$69</f>
        <v>0</v>
      </c>
      <c r="AE423" s="603"/>
      <c r="AF423" s="58">
        <f t="shared" si="106"/>
        <v>0</v>
      </c>
      <c r="AG423" s="58">
        <f t="shared" si="112"/>
        <v>17138.219999999998</v>
      </c>
      <c r="AH423" s="58" t="str">
        <f t="shared" si="113"/>
        <v>1253-253</v>
      </c>
    </row>
    <row r="424" spans="1:34" ht="13">
      <c r="A424" s="134"/>
      <c r="B424" s="470"/>
      <c r="C424" s="471"/>
      <c r="D424" s="859">
        <f>VLOOKUP(E424,'1.1a-Jaarprijzen'!B:G,6,FALSE)</f>
        <v>2</v>
      </c>
      <c r="E424" s="845" t="s">
        <v>700</v>
      </c>
      <c r="F424" s="798" t="s">
        <v>469</v>
      </c>
      <c r="G424" s="799" t="s">
        <v>690</v>
      </c>
      <c r="H424" s="573" t="s">
        <v>562</v>
      </c>
      <c r="I424" s="573" t="str">
        <f t="shared" si="114"/>
        <v>administratieve -, personeels- en vergaderruimte</v>
      </c>
      <c r="J424" s="694" t="s">
        <v>477</v>
      </c>
      <c r="K424" s="800">
        <v>12.73</v>
      </c>
      <c r="L424" s="800"/>
      <c r="M424" s="867">
        <v>1253</v>
      </c>
      <c r="N424" s="868"/>
      <c r="O424" s="869"/>
      <c r="P424" s="869"/>
      <c r="Q424" s="866">
        <f t="shared" si="107"/>
        <v>253</v>
      </c>
      <c r="R424" s="600">
        <v>1</v>
      </c>
      <c r="S424" s="600">
        <v>1</v>
      </c>
      <c r="T424" s="468">
        <f t="shared" si="108"/>
        <v>0</v>
      </c>
      <c r="U424" s="468">
        <f t="shared" si="109"/>
        <v>0</v>
      </c>
      <c r="V424" s="468">
        <f t="shared" si="110"/>
        <v>0</v>
      </c>
      <c r="W424" s="468">
        <f t="shared" si="111"/>
        <v>0</v>
      </c>
      <c r="X424" s="601">
        <f t="shared" si="101"/>
        <v>0</v>
      </c>
      <c r="Y424" s="601">
        <f t="shared" si="102"/>
        <v>0</v>
      </c>
      <c r="Z424" s="601">
        <f t="shared" si="103"/>
        <v>0</v>
      </c>
      <c r="AA424" s="601">
        <f t="shared" si="104"/>
        <v>0</v>
      </c>
      <c r="AB424" s="602" t="str">
        <f t="shared" si="105"/>
        <v>B</v>
      </c>
      <c r="AC424" s="847"/>
      <c r="AD424" s="603">
        <f>(T424+U424+V424)*'1.0-Contractblad'!$K$69</f>
        <v>0</v>
      </c>
      <c r="AE424" s="603"/>
      <c r="AF424" s="58">
        <f t="shared" si="106"/>
        <v>0</v>
      </c>
      <c r="AG424" s="58">
        <f t="shared" si="112"/>
        <v>3220.69</v>
      </c>
      <c r="AH424" s="58" t="str">
        <f t="shared" si="113"/>
        <v>1253-253</v>
      </c>
    </row>
    <row r="425" spans="1:34" ht="13">
      <c r="A425" s="134"/>
      <c r="B425" s="470"/>
      <c r="C425" s="471"/>
      <c r="D425" s="859">
        <f>VLOOKUP(E425,'1.1a-Jaarprijzen'!B:G,6,FALSE)</f>
        <v>2</v>
      </c>
      <c r="E425" s="845" t="s">
        <v>700</v>
      </c>
      <c r="F425" s="798" t="s">
        <v>469</v>
      </c>
      <c r="G425" s="799" t="s">
        <v>691</v>
      </c>
      <c r="H425" s="871" t="s">
        <v>562</v>
      </c>
      <c r="I425" s="573" t="str">
        <f t="shared" si="114"/>
        <v>administratieve -, personeels- en vergaderruimte</v>
      </c>
      <c r="J425" s="694" t="s">
        <v>477</v>
      </c>
      <c r="K425" s="800">
        <v>12.91</v>
      </c>
      <c r="L425" s="800"/>
      <c r="M425" s="867">
        <v>1253</v>
      </c>
      <c r="N425" s="868"/>
      <c r="O425" s="869"/>
      <c r="P425" s="869"/>
      <c r="Q425" s="866">
        <f t="shared" si="107"/>
        <v>253</v>
      </c>
      <c r="R425" s="600">
        <v>1</v>
      </c>
      <c r="S425" s="600">
        <v>1</v>
      </c>
      <c r="T425" s="468">
        <f t="shared" si="108"/>
        <v>0</v>
      </c>
      <c r="U425" s="468">
        <f t="shared" si="109"/>
        <v>0</v>
      </c>
      <c r="V425" s="468">
        <f t="shared" si="110"/>
        <v>0</v>
      </c>
      <c r="W425" s="468">
        <f t="shared" si="111"/>
        <v>0</v>
      </c>
      <c r="X425" s="601">
        <f t="shared" si="101"/>
        <v>0</v>
      </c>
      <c r="Y425" s="601">
        <f t="shared" si="102"/>
        <v>0</v>
      </c>
      <c r="Z425" s="601">
        <f t="shared" si="103"/>
        <v>0</v>
      </c>
      <c r="AA425" s="601">
        <f t="shared" si="104"/>
        <v>0</v>
      </c>
      <c r="AB425" s="602" t="str">
        <f t="shared" si="105"/>
        <v>B</v>
      </c>
      <c r="AC425" s="847"/>
      <c r="AD425" s="603">
        <f>(T425+U425+V425)*'1.0-Contractblad'!$K$69</f>
        <v>0</v>
      </c>
      <c r="AE425" s="603"/>
      <c r="AF425" s="58">
        <f t="shared" si="106"/>
        <v>0</v>
      </c>
      <c r="AG425" s="58">
        <f t="shared" si="112"/>
        <v>3266.23</v>
      </c>
      <c r="AH425" s="58" t="str">
        <f t="shared" si="113"/>
        <v>1253-253</v>
      </c>
    </row>
    <row r="426" spans="1:34" ht="13">
      <c r="A426" s="134"/>
      <c r="B426" s="470"/>
      <c r="C426" s="471"/>
      <c r="D426" s="859">
        <f>VLOOKUP(E426,'1.1a-Jaarprijzen'!B:G,6,FALSE)</f>
        <v>2</v>
      </c>
      <c r="E426" s="845" t="s">
        <v>700</v>
      </c>
      <c r="F426" s="798" t="s">
        <v>469</v>
      </c>
      <c r="G426" s="799" t="s">
        <v>570</v>
      </c>
      <c r="H426" s="573" t="s">
        <v>692</v>
      </c>
      <c r="I426" s="573" t="str">
        <f t="shared" si="114"/>
        <v>entree, gang, hal, repro, kopieer</v>
      </c>
      <c r="J426" s="694" t="s">
        <v>693</v>
      </c>
      <c r="K426" s="800">
        <v>4</v>
      </c>
      <c r="L426" s="800"/>
      <c r="M426" s="867">
        <v>3253</v>
      </c>
      <c r="N426" s="868"/>
      <c r="O426" s="869"/>
      <c r="P426" s="869"/>
      <c r="Q426" s="866">
        <f t="shared" si="107"/>
        <v>253</v>
      </c>
      <c r="R426" s="600">
        <v>1</v>
      </c>
      <c r="S426" s="600">
        <v>1</v>
      </c>
      <c r="T426" s="468">
        <f t="shared" si="108"/>
        <v>0</v>
      </c>
      <c r="U426" s="468">
        <f t="shared" si="109"/>
        <v>0</v>
      </c>
      <c r="V426" s="468">
        <f t="shared" si="110"/>
        <v>0</v>
      </c>
      <c r="W426" s="468">
        <f t="shared" si="111"/>
        <v>0</v>
      </c>
      <c r="X426" s="601">
        <f t="shared" si="101"/>
        <v>0</v>
      </c>
      <c r="Y426" s="601">
        <f t="shared" si="102"/>
        <v>0</v>
      </c>
      <c r="Z426" s="601">
        <f t="shared" si="103"/>
        <v>0</v>
      </c>
      <c r="AA426" s="601">
        <f t="shared" si="104"/>
        <v>0</v>
      </c>
      <c r="AB426" s="602" t="str">
        <f t="shared" si="105"/>
        <v>V</v>
      </c>
      <c r="AC426" s="847"/>
      <c r="AD426" s="603">
        <f>(T426+U426+V426)*'1.0-Contractblad'!$K$69</f>
        <v>0</v>
      </c>
      <c r="AE426" s="603"/>
      <c r="AF426" s="58">
        <f t="shared" si="106"/>
        <v>0</v>
      </c>
      <c r="AG426" s="58">
        <f t="shared" si="112"/>
        <v>1012</v>
      </c>
      <c r="AH426" s="58" t="str">
        <f t="shared" si="113"/>
        <v>3253-253</v>
      </c>
    </row>
    <row r="427" spans="1:34" ht="13">
      <c r="A427" s="134"/>
      <c r="B427" s="470"/>
      <c r="C427" s="471"/>
      <c r="D427" s="859">
        <f>VLOOKUP(E427,'1.1a-Jaarprijzen'!B:G,6,FALSE)</f>
        <v>2</v>
      </c>
      <c r="E427" s="845" t="s">
        <v>700</v>
      </c>
      <c r="F427" s="798" t="s">
        <v>469</v>
      </c>
      <c r="G427" s="799" t="s">
        <v>437</v>
      </c>
      <c r="H427" s="845" t="s">
        <v>694</v>
      </c>
      <c r="I427" s="573" t="str">
        <f t="shared" si="114"/>
        <v>entree, gang, hal, repro, kopieer</v>
      </c>
      <c r="J427" s="694" t="s">
        <v>675</v>
      </c>
      <c r="K427" s="800">
        <v>14.56</v>
      </c>
      <c r="L427" s="800"/>
      <c r="M427" s="867">
        <v>3253</v>
      </c>
      <c r="N427" s="868"/>
      <c r="O427" s="869"/>
      <c r="P427" s="869"/>
      <c r="Q427" s="866">
        <f t="shared" si="107"/>
        <v>253</v>
      </c>
      <c r="R427" s="600">
        <v>1</v>
      </c>
      <c r="S427" s="600">
        <v>1</v>
      </c>
      <c r="T427" s="468">
        <f t="shared" si="108"/>
        <v>0</v>
      </c>
      <c r="U427" s="468">
        <f t="shared" si="109"/>
        <v>0</v>
      </c>
      <c r="V427" s="468">
        <f t="shared" si="110"/>
        <v>0</v>
      </c>
      <c r="W427" s="468">
        <f t="shared" si="111"/>
        <v>0</v>
      </c>
      <c r="X427" s="601">
        <f t="shared" si="101"/>
        <v>0</v>
      </c>
      <c r="Y427" s="601">
        <f t="shared" si="102"/>
        <v>0</v>
      </c>
      <c r="Z427" s="601">
        <f t="shared" si="103"/>
        <v>0</v>
      </c>
      <c r="AA427" s="601">
        <f t="shared" si="104"/>
        <v>0</v>
      </c>
      <c r="AB427" s="602" t="str">
        <f t="shared" si="105"/>
        <v>V</v>
      </c>
      <c r="AC427" s="847"/>
      <c r="AD427" s="603">
        <f>(T427+U427+V427)*'1.0-Contractblad'!$K$69</f>
        <v>0</v>
      </c>
      <c r="AE427" s="603"/>
      <c r="AF427" s="58">
        <f t="shared" si="106"/>
        <v>0</v>
      </c>
      <c r="AG427" s="58">
        <f t="shared" si="112"/>
        <v>3683.6800000000003</v>
      </c>
      <c r="AH427" s="58" t="str">
        <f t="shared" si="113"/>
        <v>3253-253</v>
      </c>
    </row>
    <row r="428" spans="1:34" ht="13">
      <c r="A428" s="134"/>
      <c r="B428" s="470"/>
      <c r="C428" s="471"/>
      <c r="D428" s="859">
        <f>VLOOKUP(E428,'1.1a-Jaarprijzen'!B:G,6,FALSE)</f>
        <v>2</v>
      </c>
      <c r="E428" s="845" t="s">
        <v>700</v>
      </c>
      <c r="F428" s="798" t="s">
        <v>469</v>
      </c>
      <c r="G428" s="799" t="s">
        <v>438</v>
      </c>
      <c r="H428" s="573" t="s">
        <v>695</v>
      </c>
      <c r="I428" s="573" t="str">
        <f t="shared" si="114"/>
        <v>verblijfsruimte</v>
      </c>
      <c r="J428" s="694" t="s">
        <v>455</v>
      </c>
      <c r="K428" s="800">
        <v>20.5</v>
      </c>
      <c r="L428" s="800"/>
      <c r="M428" s="867">
        <v>15253</v>
      </c>
      <c r="N428" s="868"/>
      <c r="O428" s="869"/>
      <c r="P428" s="869"/>
      <c r="Q428" s="866">
        <f t="shared" si="107"/>
        <v>253</v>
      </c>
      <c r="R428" s="600">
        <v>1</v>
      </c>
      <c r="S428" s="600">
        <v>1</v>
      </c>
      <c r="T428" s="468">
        <f t="shared" si="108"/>
        <v>0</v>
      </c>
      <c r="U428" s="468">
        <f t="shared" si="109"/>
        <v>0</v>
      </c>
      <c r="V428" s="468">
        <f t="shared" si="110"/>
        <v>0</v>
      </c>
      <c r="W428" s="468">
        <f t="shared" si="111"/>
        <v>0</v>
      </c>
      <c r="X428" s="601">
        <f t="shared" si="101"/>
        <v>0</v>
      </c>
      <c r="Y428" s="601">
        <f t="shared" si="102"/>
        <v>0</v>
      </c>
      <c r="Z428" s="601">
        <f t="shared" si="103"/>
        <v>0</v>
      </c>
      <c r="AA428" s="601">
        <f t="shared" si="104"/>
        <v>0</v>
      </c>
      <c r="AB428" s="602" t="str">
        <f t="shared" si="105"/>
        <v>V</v>
      </c>
      <c r="AC428" s="847"/>
      <c r="AD428" s="603">
        <f>(T428+U428+V428)*'1.0-Contractblad'!$K$69</f>
        <v>0</v>
      </c>
      <c r="AE428" s="603"/>
      <c r="AF428" s="58">
        <f t="shared" si="106"/>
        <v>0</v>
      </c>
      <c r="AG428" s="58">
        <f t="shared" si="112"/>
        <v>5186.5</v>
      </c>
      <c r="AH428" s="58" t="str">
        <f t="shared" si="113"/>
        <v>15253-253</v>
      </c>
    </row>
    <row r="429" spans="1:34" ht="13">
      <c r="A429" s="134"/>
      <c r="B429" s="470"/>
      <c r="C429" s="471"/>
      <c r="D429" s="859">
        <f>VLOOKUP(E429,'1.1a-Jaarprijzen'!B:G,6,FALSE)</f>
        <v>2</v>
      </c>
      <c r="E429" s="845" t="s">
        <v>700</v>
      </c>
      <c r="F429" s="798" t="s">
        <v>469</v>
      </c>
      <c r="G429" s="799" t="s">
        <v>439</v>
      </c>
      <c r="H429" s="573" t="s">
        <v>696</v>
      </c>
      <c r="I429" s="573" t="str">
        <f t="shared" si="114"/>
        <v>administratieve -, personeels- en vergaderruimte</v>
      </c>
      <c r="J429" s="694" t="s">
        <v>455</v>
      </c>
      <c r="K429" s="800">
        <v>32.479999999999997</v>
      </c>
      <c r="L429" s="800"/>
      <c r="M429" s="867">
        <v>1253</v>
      </c>
      <c r="N429" s="868"/>
      <c r="O429" s="869"/>
      <c r="P429" s="869"/>
      <c r="Q429" s="866">
        <f t="shared" si="107"/>
        <v>253</v>
      </c>
      <c r="R429" s="600">
        <v>1</v>
      </c>
      <c r="S429" s="600">
        <v>1</v>
      </c>
      <c r="T429" s="468">
        <f t="shared" si="108"/>
        <v>0</v>
      </c>
      <c r="U429" s="468">
        <f t="shared" si="109"/>
        <v>0</v>
      </c>
      <c r="V429" s="468">
        <f t="shared" si="110"/>
        <v>0</v>
      </c>
      <c r="W429" s="468">
        <f t="shared" si="111"/>
        <v>0</v>
      </c>
      <c r="X429" s="601">
        <f t="shared" si="101"/>
        <v>0</v>
      </c>
      <c r="Y429" s="601">
        <f t="shared" si="102"/>
        <v>0</v>
      </c>
      <c r="Z429" s="601">
        <f t="shared" si="103"/>
        <v>0</v>
      </c>
      <c r="AA429" s="601">
        <f t="shared" si="104"/>
        <v>0</v>
      </c>
      <c r="AB429" s="602" t="str">
        <f t="shared" si="105"/>
        <v>B</v>
      </c>
      <c r="AC429" s="847"/>
      <c r="AD429" s="603">
        <f>(T429+U429+V429)*'1.0-Contractblad'!$K$69</f>
        <v>0</v>
      </c>
      <c r="AE429" s="603"/>
      <c r="AF429" s="58">
        <f t="shared" si="106"/>
        <v>0</v>
      </c>
      <c r="AG429" s="58">
        <f t="shared" si="112"/>
        <v>8217.4399999999987</v>
      </c>
      <c r="AH429" s="58" t="str">
        <f t="shared" si="113"/>
        <v>1253-253</v>
      </c>
    </row>
    <row r="430" spans="1:34" ht="13">
      <c r="A430" s="134"/>
      <c r="B430" s="470"/>
      <c r="C430" s="471"/>
      <c r="D430" s="859">
        <f>VLOOKUP(E430,'1.1a-Jaarprijzen'!B:G,6,FALSE)</f>
        <v>2</v>
      </c>
      <c r="E430" s="845" t="s">
        <v>700</v>
      </c>
      <c r="F430" s="798" t="s">
        <v>469</v>
      </c>
      <c r="G430" s="799" t="s">
        <v>440</v>
      </c>
      <c r="H430" s="573" t="s">
        <v>453</v>
      </c>
      <c r="I430" s="573" t="str">
        <f t="shared" si="114"/>
        <v>entree, gang, hal, repro, kopieer</v>
      </c>
      <c r="J430" s="694" t="s">
        <v>675</v>
      </c>
      <c r="K430" s="800">
        <v>6.6</v>
      </c>
      <c r="L430" s="800"/>
      <c r="M430" s="867">
        <v>3253</v>
      </c>
      <c r="N430" s="868"/>
      <c r="O430" s="869"/>
      <c r="P430" s="869"/>
      <c r="Q430" s="866">
        <f t="shared" si="107"/>
        <v>253</v>
      </c>
      <c r="R430" s="600">
        <v>1</v>
      </c>
      <c r="S430" s="600">
        <v>1</v>
      </c>
      <c r="T430" s="468">
        <f t="shared" si="108"/>
        <v>0</v>
      </c>
      <c r="U430" s="468">
        <f t="shared" si="109"/>
        <v>0</v>
      </c>
      <c r="V430" s="468">
        <f t="shared" si="110"/>
        <v>0</v>
      </c>
      <c r="W430" s="468">
        <f t="shared" si="111"/>
        <v>0</v>
      </c>
      <c r="X430" s="601">
        <f t="shared" si="101"/>
        <v>0</v>
      </c>
      <c r="Y430" s="601">
        <f t="shared" si="102"/>
        <v>0</v>
      </c>
      <c r="Z430" s="601">
        <f t="shared" si="103"/>
        <v>0</v>
      </c>
      <c r="AA430" s="601">
        <f t="shared" si="104"/>
        <v>0</v>
      </c>
      <c r="AB430" s="602" t="str">
        <f t="shared" si="105"/>
        <v>V</v>
      </c>
      <c r="AC430" s="847"/>
      <c r="AD430" s="603">
        <f>(T430+U430+V430)*'1.0-Contractblad'!$K$69</f>
        <v>0</v>
      </c>
      <c r="AE430" s="603"/>
      <c r="AF430" s="58">
        <f t="shared" si="106"/>
        <v>0</v>
      </c>
      <c r="AG430" s="58">
        <f t="shared" si="112"/>
        <v>1669.8</v>
      </c>
      <c r="AH430" s="58" t="str">
        <f t="shared" si="113"/>
        <v>3253-253</v>
      </c>
    </row>
    <row r="431" spans="1:34" ht="13">
      <c r="A431" s="134"/>
      <c r="B431" s="470"/>
      <c r="C431" s="471"/>
      <c r="D431" s="859">
        <f>VLOOKUP(E431,'1.1a-Jaarprijzen'!B:G,6,FALSE)</f>
        <v>2</v>
      </c>
      <c r="E431" s="845" t="s">
        <v>700</v>
      </c>
      <c r="F431" s="798" t="s">
        <v>469</v>
      </c>
      <c r="G431" s="799" t="s">
        <v>441</v>
      </c>
      <c r="H431" s="573" t="s">
        <v>466</v>
      </c>
      <c r="I431" s="573" t="str">
        <f t="shared" si="114"/>
        <v>sanitaire ruimte (toilet-/doucheruimte)</v>
      </c>
      <c r="J431" s="694" t="s">
        <v>675</v>
      </c>
      <c r="K431" s="800">
        <v>1.66</v>
      </c>
      <c r="L431" s="800"/>
      <c r="M431" s="867">
        <v>4253</v>
      </c>
      <c r="N431" s="868"/>
      <c r="O431" s="869"/>
      <c r="P431" s="869"/>
      <c r="Q431" s="866">
        <f t="shared" si="107"/>
        <v>253</v>
      </c>
      <c r="R431" s="600">
        <v>1</v>
      </c>
      <c r="S431" s="600">
        <v>1</v>
      </c>
      <c r="T431" s="468">
        <f t="shared" si="108"/>
        <v>0</v>
      </c>
      <c r="U431" s="468">
        <f t="shared" si="109"/>
        <v>0</v>
      </c>
      <c r="V431" s="468">
        <f t="shared" si="110"/>
        <v>0</v>
      </c>
      <c r="W431" s="468">
        <f t="shared" si="111"/>
        <v>0</v>
      </c>
      <c r="X431" s="601">
        <f t="shared" si="101"/>
        <v>0</v>
      </c>
      <c r="Y431" s="601">
        <f t="shared" si="102"/>
        <v>0</v>
      </c>
      <c r="Z431" s="601">
        <f t="shared" si="103"/>
        <v>0</v>
      </c>
      <c r="AA431" s="601">
        <f t="shared" si="104"/>
        <v>0</v>
      </c>
      <c r="AB431" s="602" t="str">
        <f t="shared" si="105"/>
        <v>S</v>
      </c>
      <c r="AC431" s="847"/>
      <c r="AD431" s="603">
        <f>(T431+U431+V431)*'1.0-Contractblad'!$K$69</f>
        <v>0</v>
      </c>
      <c r="AE431" s="603"/>
      <c r="AF431" s="58">
        <f t="shared" si="106"/>
        <v>0</v>
      </c>
      <c r="AG431" s="58">
        <f t="shared" si="112"/>
        <v>419.97999999999996</v>
      </c>
      <c r="AH431" s="58" t="str">
        <f t="shared" si="113"/>
        <v>4253-253</v>
      </c>
    </row>
    <row r="432" spans="1:34" ht="13">
      <c r="A432" s="134"/>
      <c r="B432" s="470"/>
      <c r="C432" s="471"/>
      <c r="D432" s="859">
        <f>VLOOKUP(E432,'1.1a-Jaarprijzen'!B:G,6,FALSE)</f>
        <v>2</v>
      </c>
      <c r="E432" s="845" t="s">
        <v>700</v>
      </c>
      <c r="F432" s="798" t="s">
        <v>469</v>
      </c>
      <c r="G432" s="799" t="s">
        <v>442</v>
      </c>
      <c r="H432" s="845" t="s">
        <v>697</v>
      </c>
      <c r="I432" s="573" t="str">
        <f t="shared" si="114"/>
        <v>entree, gang, hal, repro, kopieer</v>
      </c>
      <c r="J432" s="694" t="s">
        <v>698</v>
      </c>
      <c r="K432" s="800">
        <v>17.32</v>
      </c>
      <c r="L432" s="800"/>
      <c r="M432" s="867">
        <v>3253</v>
      </c>
      <c r="N432" s="868"/>
      <c r="O432" s="869"/>
      <c r="P432" s="869"/>
      <c r="Q432" s="866">
        <f t="shared" si="107"/>
        <v>253</v>
      </c>
      <c r="R432" s="600">
        <v>1</v>
      </c>
      <c r="S432" s="600">
        <v>1</v>
      </c>
      <c r="T432" s="468">
        <f t="shared" si="108"/>
        <v>0</v>
      </c>
      <c r="U432" s="468">
        <f t="shared" si="109"/>
        <v>0</v>
      </c>
      <c r="V432" s="468">
        <f t="shared" si="110"/>
        <v>0</v>
      </c>
      <c r="W432" s="468">
        <f t="shared" si="111"/>
        <v>0</v>
      </c>
      <c r="X432" s="601">
        <f t="shared" si="101"/>
        <v>0</v>
      </c>
      <c r="Y432" s="601">
        <f t="shared" si="102"/>
        <v>0</v>
      </c>
      <c r="Z432" s="601">
        <f t="shared" si="103"/>
        <v>0</v>
      </c>
      <c r="AA432" s="601">
        <f t="shared" si="104"/>
        <v>0</v>
      </c>
      <c r="AB432" s="602" t="str">
        <f t="shared" si="105"/>
        <v>V</v>
      </c>
      <c r="AC432" s="847"/>
      <c r="AD432" s="603">
        <f>(T432+U432+V432)*'1.0-Contractblad'!$K$69</f>
        <v>0</v>
      </c>
      <c r="AE432" s="603"/>
      <c r="AF432" s="58">
        <f t="shared" si="106"/>
        <v>0</v>
      </c>
      <c r="AG432" s="58">
        <f t="shared" si="112"/>
        <v>4381.96</v>
      </c>
      <c r="AH432" s="58" t="str">
        <f t="shared" si="113"/>
        <v>3253-253</v>
      </c>
    </row>
    <row r="433" spans="1:34" ht="13">
      <c r="A433" s="134"/>
      <c r="B433" s="470"/>
      <c r="C433" s="471"/>
      <c r="D433" s="859">
        <f>VLOOKUP(E433,'1.1a-Jaarprijzen'!B:G,6,FALSE)</f>
        <v>2</v>
      </c>
      <c r="E433" s="845" t="s">
        <v>700</v>
      </c>
      <c r="F433" s="798" t="s">
        <v>469</v>
      </c>
      <c r="G433" s="799" t="s">
        <v>443</v>
      </c>
      <c r="H433" s="573" t="s">
        <v>452</v>
      </c>
      <c r="I433" s="573" t="str">
        <f t="shared" si="114"/>
        <v>administratieve -, personeels- en vergaderruimte</v>
      </c>
      <c r="J433" s="694" t="s">
        <v>699</v>
      </c>
      <c r="K433" s="800">
        <v>34.799999999999997</v>
      </c>
      <c r="L433" s="800"/>
      <c r="M433" s="867">
        <v>1253</v>
      </c>
      <c r="N433" s="868"/>
      <c r="O433" s="869"/>
      <c r="P433" s="869"/>
      <c r="Q433" s="866">
        <f t="shared" si="107"/>
        <v>253</v>
      </c>
      <c r="R433" s="600">
        <v>1</v>
      </c>
      <c r="S433" s="600">
        <v>1</v>
      </c>
      <c r="T433" s="468">
        <f t="shared" si="108"/>
        <v>0</v>
      </c>
      <c r="U433" s="468">
        <f t="shared" si="109"/>
        <v>0</v>
      </c>
      <c r="V433" s="468">
        <f t="shared" si="110"/>
        <v>0</v>
      </c>
      <c r="W433" s="468">
        <f t="shared" si="111"/>
        <v>0</v>
      </c>
      <c r="X433" s="601">
        <f t="shared" si="101"/>
        <v>0</v>
      </c>
      <c r="Y433" s="601">
        <f t="shared" si="102"/>
        <v>0</v>
      </c>
      <c r="Z433" s="601">
        <f t="shared" si="103"/>
        <v>0</v>
      </c>
      <c r="AA433" s="601">
        <f t="shared" si="104"/>
        <v>0</v>
      </c>
      <c r="AB433" s="602" t="str">
        <f t="shared" si="105"/>
        <v>B</v>
      </c>
      <c r="AC433" s="847"/>
      <c r="AD433" s="603">
        <f>(T433+U433+V433)*'1.0-Contractblad'!$K$69</f>
        <v>0</v>
      </c>
      <c r="AE433" s="603"/>
      <c r="AF433" s="58">
        <f t="shared" si="106"/>
        <v>0</v>
      </c>
      <c r="AG433" s="58">
        <f t="shared" si="112"/>
        <v>8804.4</v>
      </c>
      <c r="AH433" s="58" t="str">
        <f t="shared" si="113"/>
        <v>1253-253</v>
      </c>
    </row>
    <row r="434" spans="1:34" ht="13">
      <c r="A434" s="134"/>
      <c r="B434" s="470"/>
      <c r="C434" s="471"/>
      <c r="D434" s="859">
        <f>VLOOKUP(E434,'1.1a-Jaarprijzen'!B:G,6,FALSE)</f>
        <v>2</v>
      </c>
      <c r="E434" s="845" t="s">
        <v>700</v>
      </c>
      <c r="F434" s="798" t="s">
        <v>469</v>
      </c>
      <c r="G434" s="799" t="s">
        <v>444</v>
      </c>
      <c r="H434" s="845" t="s">
        <v>452</v>
      </c>
      <c r="I434" s="573" t="str">
        <f t="shared" si="114"/>
        <v>administratieve -, personeels- en vergaderruimte</v>
      </c>
      <c r="J434" s="694" t="s">
        <v>699</v>
      </c>
      <c r="K434" s="800">
        <v>20.09</v>
      </c>
      <c r="L434" s="800"/>
      <c r="M434" s="867">
        <v>1253</v>
      </c>
      <c r="N434" s="868"/>
      <c r="O434" s="869"/>
      <c r="P434" s="869"/>
      <c r="Q434" s="866">
        <f t="shared" si="107"/>
        <v>253</v>
      </c>
      <c r="R434" s="600">
        <v>1</v>
      </c>
      <c r="S434" s="600">
        <v>1</v>
      </c>
      <c r="T434" s="468">
        <f t="shared" si="108"/>
        <v>0</v>
      </c>
      <c r="U434" s="468">
        <f t="shared" si="109"/>
        <v>0</v>
      </c>
      <c r="V434" s="468">
        <f t="shared" si="110"/>
        <v>0</v>
      </c>
      <c r="W434" s="468">
        <f t="shared" si="111"/>
        <v>0</v>
      </c>
      <c r="X434" s="601">
        <f t="shared" si="101"/>
        <v>0</v>
      </c>
      <c r="Y434" s="601">
        <f t="shared" si="102"/>
        <v>0</v>
      </c>
      <c r="Z434" s="601">
        <f t="shared" si="103"/>
        <v>0</v>
      </c>
      <c r="AA434" s="601">
        <f t="shared" si="104"/>
        <v>0</v>
      </c>
      <c r="AB434" s="602" t="str">
        <f t="shared" si="105"/>
        <v>B</v>
      </c>
      <c r="AC434" s="847"/>
      <c r="AD434" s="603">
        <f>(T434+U434+V434)*'1.0-Contractblad'!$K$69</f>
        <v>0</v>
      </c>
      <c r="AE434" s="603"/>
      <c r="AF434" s="58">
        <f t="shared" si="106"/>
        <v>0</v>
      </c>
      <c r="AG434" s="58">
        <f t="shared" si="112"/>
        <v>5082.7699999999995</v>
      </c>
      <c r="AH434" s="58" t="str">
        <f t="shared" si="113"/>
        <v>1253-253</v>
      </c>
    </row>
    <row r="435" spans="1:34" ht="13">
      <c r="A435" s="134"/>
      <c r="B435" s="470"/>
      <c r="C435" s="471"/>
      <c r="D435" s="859">
        <f>VLOOKUP(E435,'1.1a-Jaarprijzen'!B:G,6,FALSE)</f>
        <v>2</v>
      </c>
      <c r="E435" s="845" t="s">
        <v>990</v>
      </c>
      <c r="F435" s="798" t="s">
        <v>469</v>
      </c>
      <c r="G435" s="799" t="s">
        <v>570</v>
      </c>
      <c r="H435" s="845" t="s">
        <v>526</v>
      </c>
      <c r="I435" s="573" t="str">
        <f t="shared" si="114"/>
        <v>buitenbordes</v>
      </c>
      <c r="J435" s="694" t="s">
        <v>462</v>
      </c>
      <c r="K435" s="800">
        <v>1.66</v>
      </c>
      <c r="L435" s="800"/>
      <c r="M435" s="867">
        <v>16051</v>
      </c>
      <c r="N435" s="868"/>
      <c r="O435" s="869"/>
      <c r="P435" s="869"/>
      <c r="Q435" s="866">
        <f t="shared" si="107"/>
        <v>51</v>
      </c>
      <c r="R435" s="600">
        <v>1</v>
      </c>
      <c r="S435" s="600">
        <v>1</v>
      </c>
      <c r="T435" s="468">
        <f>X435*K435*R435</f>
        <v>0</v>
      </c>
      <c r="U435" s="468">
        <f t="shared" si="109"/>
        <v>0</v>
      </c>
      <c r="V435" s="468">
        <f t="shared" si="110"/>
        <v>0</v>
      </c>
      <c r="W435" s="468">
        <f t="shared" si="111"/>
        <v>0</v>
      </c>
      <c r="X435" s="601">
        <f t="shared" si="101"/>
        <v>0</v>
      </c>
      <c r="Y435" s="601">
        <f t="shared" si="102"/>
        <v>0</v>
      </c>
      <c r="Z435" s="601">
        <f t="shared" si="103"/>
        <v>0</v>
      </c>
      <c r="AA435" s="601">
        <f t="shared" si="104"/>
        <v>0</v>
      </c>
      <c r="AB435" s="602" t="str">
        <f t="shared" si="105"/>
        <v>V</v>
      </c>
      <c r="AC435" s="847" t="s">
        <v>1232</v>
      </c>
      <c r="AD435" s="603">
        <f>(T435+U435+V435)*'1.0-Contractblad'!$K$69</f>
        <v>0</v>
      </c>
      <c r="AE435" s="603"/>
      <c r="AF435" s="58">
        <f t="shared" si="106"/>
        <v>0</v>
      </c>
      <c r="AG435" s="58">
        <f t="shared" si="112"/>
        <v>84.66</v>
      </c>
      <c r="AH435" s="58" t="str">
        <f t="shared" si="113"/>
        <v>16051-51</v>
      </c>
    </row>
    <row r="436" spans="1:34" ht="13">
      <c r="A436" s="134"/>
      <c r="B436" s="470"/>
      <c r="C436" s="471"/>
      <c r="D436" s="859">
        <f>VLOOKUP(E436,'1.1a-Jaarprijzen'!B:G,6,FALSE)</f>
        <v>2</v>
      </c>
      <c r="E436" s="845" t="s">
        <v>990</v>
      </c>
      <c r="F436" s="798" t="s">
        <v>469</v>
      </c>
      <c r="G436" s="799" t="s">
        <v>437</v>
      </c>
      <c r="H436" s="573" t="s">
        <v>504</v>
      </c>
      <c r="I436" s="573" t="str">
        <f t="shared" si="114"/>
        <v>entree, gang, hal, repro, kopieer</v>
      </c>
      <c r="J436" s="694" t="s">
        <v>551</v>
      </c>
      <c r="K436" s="800">
        <v>3.67</v>
      </c>
      <c r="L436" s="800"/>
      <c r="M436" s="867">
        <v>3051</v>
      </c>
      <c r="N436" s="868"/>
      <c r="O436" s="869"/>
      <c r="P436" s="869"/>
      <c r="Q436" s="866">
        <f t="shared" si="107"/>
        <v>51</v>
      </c>
      <c r="R436" s="600">
        <v>1</v>
      </c>
      <c r="S436" s="600">
        <v>1</v>
      </c>
      <c r="T436" s="468">
        <f t="shared" si="108"/>
        <v>0</v>
      </c>
      <c r="U436" s="468">
        <f t="shared" si="109"/>
        <v>0</v>
      </c>
      <c r="V436" s="468">
        <f t="shared" si="110"/>
        <v>0</v>
      </c>
      <c r="W436" s="468">
        <f t="shared" si="111"/>
        <v>0</v>
      </c>
      <c r="X436" s="601">
        <f t="shared" si="101"/>
        <v>0</v>
      </c>
      <c r="Y436" s="601">
        <f t="shared" si="102"/>
        <v>0</v>
      </c>
      <c r="Z436" s="601">
        <f t="shared" si="103"/>
        <v>0</v>
      </c>
      <c r="AA436" s="601">
        <f t="shared" si="104"/>
        <v>0</v>
      </c>
      <c r="AB436" s="602" t="str">
        <f t="shared" si="105"/>
        <v>V</v>
      </c>
      <c r="AC436" s="847" t="s">
        <v>1232</v>
      </c>
      <c r="AD436" s="603">
        <f>(T436+U436+V436)*'1.0-Contractblad'!$K$69</f>
        <v>0</v>
      </c>
      <c r="AE436" s="603"/>
      <c r="AF436" s="58">
        <f t="shared" si="106"/>
        <v>0</v>
      </c>
      <c r="AG436" s="58">
        <f t="shared" si="112"/>
        <v>187.17</v>
      </c>
      <c r="AH436" s="58" t="str">
        <f t="shared" si="113"/>
        <v>3051-51</v>
      </c>
    </row>
    <row r="437" spans="1:34" ht="13">
      <c r="A437" s="134"/>
      <c r="B437" s="470"/>
      <c r="C437" s="471"/>
      <c r="D437" s="859">
        <f>VLOOKUP(E437,'1.1a-Jaarprijzen'!B:G,6,FALSE)</f>
        <v>2</v>
      </c>
      <c r="E437" s="845" t="s">
        <v>990</v>
      </c>
      <c r="F437" s="798" t="s">
        <v>469</v>
      </c>
      <c r="G437" s="799" t="s">
        <v>438</v>
      </c>
      <c r="H437" s="573" t="s">
        <v>453</v>
      </c>
      <c r="I437" s="573" t="str">
        <f t="shared" si="114"/>
        <v>entree, gang, hal, repro, kopieer</v>
      </c>
      <c r="J437" s="694" t="s">
        <v>455</v>
      </c>
      <c r="K437" s="800">
        <v>17.57</v>
      </c>
      <c r="L437" s="800"/>
      <c r="M437" s="867">
        <v>3051</v>
      </c>
      <c r="N437" s="868"/>
      <c r="O437" s="869"/>
      <c r="P437" s="869"/>
      <c r="Q437" s="866">
        <f t="shared" si="107"/>
        <v>51</v>
      </c>
      <c r="R437" s="600">
        <v>1</v>
      </c>
      <c r="S437" s="600">
        <v>1</v>
      </c>
      <c r="T437" s="468">
        <f t="shared" si="108"/>
        <v>0</v>
      </c>
      <c r="U437" s="468">
        <f t="shared" si="109"/>
        <v>0</v>
      </c>
      <c r="V437" s="468">
        <f t="shared" si="110"/>
        <v>0</v>
      </c>
      <c r="W437" s="468">
        <f t="shared" si="111"/>
        <v>0</v>
      </c>
      <c r="X437" s="601">
        <f t="shared" si="101"/>
        <v>0</v>
      </c>
      <c r="Y437" s="601">
        <f t="shared" si="102"/>
        <v>0</v>
      </c>
      <c r="Z437" s="601">
        <f t="shared" si="103"/>
        <v>0</v>
      </c>
      <c r="AA437" s="601">
        <f t="shared" si="104"/>
        <v>0</v>
      </c>
      <c r="AB437" s="602" t="str">
        <f t="shared" si="105"/>
        <v>V</v>
      </c>
      <c r="AC437" s="847" t="s">
        <v>1232</v>
      </c>
      <c r="AD437" s="603">
        <f>(T437+U437+V437)*'1.0-Contractblad'!$K$69</f>
        <v>0</v>
      </c>
      <c r="AE437" s="603"/>
      <c r="AF437" s="58">
        <f t="shared" si="106"/>
        <v>0</v>
      </c>
      <c r="AG437" s="58">
        <f t="shared" si="112"/>
        <v>896.07</v>
      </c>
      <c r="AH437" s="58" t="str">
        <f t="shared" si="113"/>
        <v>3051-51</v>
      </c>
    </row>
    <row r="438" spans="1:34" ht="13">
      <c r="A438" s="134"/>
      <c r="B438" s="470"/>
      <c r="C438" s="471"/>
      <c r="D438" s="859">
        <f>VLOOKUP(E438,'1.1a-Jaarprijzen'!B:G,6,FALSE)</f>
        <v>2</v>
      </c>
      <c r="E438" s="845" t="s">
        <v>990</v>
      </c>
      <c r="F438" s="798" t="s">
        <v>469</v>
      </c>
      <c r="G438" s="799" t="s">
        <v>439</v>
      </c>
      <c r="H438" s="573" t="s">
        <v>571</v>
      </c>
      <c r="I438" s="573" t="str">
        <f t="shared" si="114"/>
        <v>kleedruimten</v>
      </c>
      <c r="J438" s="694" t="s">
        <v>462</v>
      </c>
      <c r="K438" s="800">
        <v>7.29</v>
      </c>
      <c r="L438" s="800"/>
      <c r="M438" s="867">
        <v>10051</v>
      </c>
      <c r="N438" s="868"/>
      <c r="O438" s="869"/>
      <c r="P438" s="869"/>
      <c r="Q438" s="866">
        <f t="shared" si="107"/>
        <v>51</v>
      </c>
      <c r="R438" s="600">
        <v>1</v>
      </c>
      <c r="S438" s="600">
        <v>1</v>
      </c>
      <c r="T438" s="468">
        <f t="shared" si="108"/>
        <v>0</v>
      </c>
      <c r="U438" s="468">
        <f t="shared" si="109"/>
        <v>0</v>
      </c>
      <c r="V438" s="468">
        <f t="shared" si="110"/>
        <v>0</v>
      </c>
      <c r="W438" s="468">
        <f t="shared" si="111"/>
        <v>0</v>
      </c>
      <c r="X438" s="601">
        <f t="shared" si="101"/>
        <v>0</v>
      </c>
      <c r="Y438" s="601">
        <f t="shared" si="102"/>
        <v>0</v>
      </c>
      <c r="Z438" s="601">
        <f t="shared" si="103"/>
        <v>0</v>
      </c>
      <c r="AA438" s="601">
        <f t="shared" si="104"/>
        <v>0</v>
      </c>
      <c r="AB438" s="602" t="str">
        <f t="shared" si="105"/>
        <v>V</v>
      </c>
      <c r="AC438" s="847" t="s">
        <v>1232</v>
      </c>
      <c r="AD438" s="603">
        <f>(T438+U438+V438)*'1.0-Contractblad'!$K$69</f>
        <v>0</v>
      </c>
      <c r="AE438" s="603"/>
      <c r="AF438" s="58">
        <f t="shared" si="106"/>
        <v>0</v>
      </c>
      <c r="AG438" s="58">
        <f t="shared" si="112"/>
        <v>371.79</v>
      </c>
      <c r="AH438" s="58" t="str">
        <f t="shared" si="113"/>
        <v>10051-51</v>
      </c>
    </row>
    <row r="439" spans="1:34" ht="13">
      <c r="A439" s="134"/>
      <c r="B439" s="470"/>
      <c r="C439" s="471"/>
      <c r="D439" s="859">
        <f>VLOOKUP(E439,'1.1a-Jaarprijzen'!B:G,6,FALSE)</f>
        <v>2</v>
      </c>
      <c r="E439" s="845" t="s">
        <v>990</v>
      </c>
      <c r="F439" s="798" t="s">
        <v>469</v>
      </c>
      <c r="G439" s="799" t="s">
        <v>440</v>
      </c>
      <c r="H439" s="573" t="s">
        <v>466</v>
      </c>
      <c r="I439" s="573" t="str">
        <f t="shared" si="114"/>
        <v>sanitaire ruimte (toilet-/doucheruimte)</v>
      </c>
      <c r="J439" s="694" t="s">
        <v>462</v>
      </c>
      <c r="K439" s="800">
        <v>1.22</v>
      </c>
      <c r="L439" s="800"/>
      <c r="M439" s="867">
        <v>4051</v>
      </c>
      <c r="N439" s="868"/>
      <c r="O439" s="869"/>
      <c r="P439" s="869"/>
      <c r="Q439" s="866">
        <f t="shared" si="107"/>
        <v>51</v>
      </c>
      <c r="R439" s="600">
        <v>1</v>
      </c>
      <c r="S439" s="600">
        <v>1</v>
      </c>
      <c r="T439" s="468">
        <f t="shared" si="108"/>
        <v>0</v>
      </c>
      <c r="U439" s="468">
        <f t="shared" si="109"/>
        <v>0</v>
      </c>
      <c r="V439" s="468">
        <f t="shared" si="110"/>
        <v>0</v>
      </c>
      <c r="W439" s="468">
        <f t="shared" si="111"/>
        <v>0</v>
      </c>
      <c r="X439" s="601">
        <f t="shared" si="101"/>
        <v>0</v>
      </c>
      <c r="Y439" s="601">
        <f t="shared" si="102"/>
        <v>0</v>
      </c>
      <c r="Z439" s="601">
        <f t="shared" si="103"/>
        <v>0</v>
      </c>
      <c r="AA439" s="601">
        <f t="shared" si="104"/>
        <v>0</v>
      </c>
      <c r="AB439" s="602" t="str">
        <f t="shared" si="105"/>
        <v>S</v>
      </c>
      <c r="AC439" s="847" t="s">
        <v>1232</v>
      </c>
      <c r="AD439" s="603">
        <f>(T439+U439+V439)*'1.0-Contractblad'!$K$69</f>
        <v>0</v>
      </c>
      <c r="AE439" s="603"/>
      <c r="AF439" s="58">
        <f t="shared" si="106"/>
        <v>0</v>
      </c>
      <c r="AG439" s="58">
        <f t="shared" si="112"/>
        <v>62.22</v>
      </c>
      <c r="AH439" s="58" t="str">
        <f t="shared" si="113"/>
        <v>4051-51</v>
      </c>
    </row>
    <row r="440" spans="1:34" ht="13">
      <c r="A440" s="134"/>
      <c r="B440" s="470"/>
      <c r="C440" s="471"/>
      <c r="D440" s="859">
        <f>VLOOKUP(E440,'1.1a-Jaarprijzen'!B:G,6,FALSE)</f>
        <v>2</v>
      </c>
      <c r="E440" s="845" t="s">
        <v>990</v>
      </c>
      <c r="F440" s="798" t="s">
        <v>469</v>
      </c>
      <c r="G440" s="799" t="s">
        <v>441</v>
      </c>
      <c r="H440" s="573" t="s">
        <v>493</v>
      </c>
      <c r="I440" s="573" t="str">
        <f t="shared" si="114"/>
        <v>sanitaire ruimte (toilet-/doucheruimte)</v>
      </c>
      <c r="J440" s="694" t="s">
        <v>462</v>
      </c>
      <c r="K440" s="800">
        <v>2.7</v>
      </c>
      <c r="L440" s="800"/>
      <c r="M440" s="867">
        <v>4051</v>
      </c>
      <c r="N440" s="868"/>
      <c r="O440" s="869"/>
      <c r="P440" s="869"/>
      <c r="Q440" s="866">
        <f t="shared" si="107"/>
        <v>51</v>
      </c>
      <c r="R440" s="600">
        <v>1</v>
      </c>
      <c r="S440" s="600">
        <v>1</v>
      </c>
      <c r="T440" s="468">
        <f t="shared" si="108"/>
        <v>0</v>
      </c>
      <c r="U440" s="468">
        <f t="shared" si="109"/>
        <v>0</v>
      </c>
      <c r="V440" s="468">
        <f t="shared" si="110"/>
        <v>0</v>
      </c>
      <c r="W440" s="468">
        <f t="shared" si="111"/>
        <v>0</v>
      </c>
      <c r="X440" s="601">
        <f t="shared" si="101"/>
        <v>0</v>
      </c>
      <c r="Y440" s="601">
        <f t="shared" si="102"/>
        <v>0</v>
      </c>
      <c r="Z440" s="601">
        <f t="shared" si="103"/>
        <v>0</v>
      </c>
      <c r="AA440" s="601">
        <f t="shared" si="104"/>
        <v>0</v>
      </c>
      <c r="AB440" s="602" t="str">
        <f t="shared" si="105"/>
        <v>S</v>
      </c>
      <c r="AC440" s="847" t="s">
        <v>1232</v>
      </c>
      <c r="AD440" s="603">
        <f>(T440+U440+V440)*'1.0-Contractblad'!$K$69</f>
        <v>0</v>
      </c>
      <c r="AE440" s="603"/>
      <c r="AF440" s="58">
        <f t="shared" si="106"/>
        <v>0</v>
      </c>
      <c r="AG440" s="58">
        <f t="shared" si="112"/>
        <v>137.70000000000002</v>
      </c>
      <c r="AH440" s="58" t="str">
        <f t="shared" si="113"/>
        <v>4051-51</v>
      </c>
    </row>
    <row r="441" spans="1:34" ht="13">
      <c r="A441" s="134"/>
      <c r="B441" s="470"/>
      <c r="C441" s="471"/>
      <c r="D441" s="859">
        <f>VLOOKUP(E441,'1.1a-Jaarprijzen'!B:G,6,FALSE)</f>
        <v>2</v>
      </c>
      <c r="E441" s="845" t="s">
        <v>990</v>
      </c>
      <c r="F441" s="798" t="s">
        <v>469</v>
      </c>
      <c r="G441" s="799" t="s">
        <v>442</v>
      </c>
      <c r="H441" s="573" t="s">
        <v>489</v>
      </c>
      <c r="I441" s="573" t="str">
        <f t="shared" si="114"/>
        <v>niet van toepassing</v>
      </c>
      <c r="J441" s="694" t="s">
        <v>462</v>
      </c>
      <c r="K441" s="800"/>
      <c r="L441" s="800">
        <v>69.91</v>
      </c>
      <c r="M441" s="867" t="s">
        <v>19</v>
      </c>
      <c r="N441" s="868"/>
      <c r="O441" s="869"/>
      <c r="P441" s="869"/>
      <c r="Q441" s="866">
        <f t="shared" si="107"/>
        <v>0</v>
      </c>
      <c r="R441" s="600">
        <v>1</v>
      </c>
      <c r="S441" s="600">
        <v>1</v>
      </c>
      <c r="T441" s="468">
        <f t="shared" si="108"/>
        <v>0</v>
      </c>
      <c r="U441" s="468">
        <f t="shared" si="109"/>
        <v>0</v>
      </c>
      <c r="V441" s="468">
        <f t="shared" si="110"/>
        <v>0</v>
      </c>
      <c r="W441" s="468">
        <f t="shared" si="111"/>
        <v>0</v>
      </c>
      <c r="X441" s="601">
        <f t="shared" si="101"/>
        <v>0</v>
      </c>
      <c r="Y441" s="601">
        <f t="shared" si="102"/>
        <v>0</v>
      </c>
      <c r="Z441" s="601">
        <f t="shared" si="103"/>
        <v>0</v>
      </c>
      <c r="AA441" s="601">
        <f t="shared" si="104"/>
        <v>0</v>
      </c>
      <c r="AB441" s="602">
        <f t="shared" si="105"/>
        <v>0</v>
      </c>
      <c r="AC441" s="847"/>
      <c r="AD441" s="603">
        <f>(T441+U441+V441)*'1.0-Contractblad'!$K$69</f>
        <v>0</v>
      </c>
      <c r="AE441" s="603"/>
      <c r="AF441" s="58">
        <f t="shared" si="106"/>
        <v>0</v>
      </c>
      <c r="AG441" s="58">
        <f t="shared" si="112"/>
        <v>0</v>
      </c>
      <c r="AH441" s="58" t="str">
        <f t="shared" si="113"/>
        <v>nvt-0</v>
      </c>
    </row>
    <row r="442" spans="1:34" ht="13">
      <c r="A442" s="134"/>
      <c r="B442" s="470"/>
      <c r="C442" s="471"/>
      <c r="D442" s="859">
        <f>VLOOKUP(E442,'1.1a-Jaarprijzen'!B:G,6,FALSE)</f>
        <v>2</v>
      </c>
      <c r="E442" s="845" t="s">
        <v>990</v>
      </c>
      <c r="F442" s="798" t="s">
        <v>469</v>
      </c>
      <c r="G442" s="799" t="s">
        <v>445</v>
      </c>
      <c r="H442" s="573" t="s">
        <v>452</v>
      </c>
      <c r="I442" s="573" t="str">
        <f t="shared" si="114"/>
        <v>administratieve -, personeels- en vergaderruimte</v>
      </c>
      <c r="J442" s="694" t="s">
        <v>572</v>
      </c>
      <c r="K442" s="800">
        <v>21.02</v>
      </c>
      <c r="L442" s="800"/>
      <c r="M442" s="867">
        <v>1051</v>
      </c>
      <c r="N442" s="868"/>
      <c r="O442" s="869"/>
      <c r="P442" s="869"/>
      <c r="Q442" s="866">
        <f t="shared" si="107"/>
        <v>51</v>
      </c>
      <c r="R442" s="600">
        <v>1</v>
      </c>
      <c r="S442" s="600">
        <v>1</v>
      </c>
      <c r="T442" s="468">
        <f t="shared" si="108"/>
        <v>0</v>
      </c>
      <c r="U442" s="468">
        <f t="shared" si="109"/>
        <v>0</v>
      </c>
      <c r="V442" s="468">
        <f t="shared" si="110"/>
        <v>0</v>
      </c>
      <c r="W442" s="468">
        <f t="shared" si="111"/>
        <v>0</v>
      </c>
      <c r="X442" s="601">
        <f t="shared" si="101"/>
        <v>0</v>
      </c>
      <c r="Y442" s="601">
        <f t="shared" si="102"/>
        <v>0</v>
      </c>
      <c r="Z442" s="601">
        <f t="shared" si="103"/>
        <v>0</v>
      </c>
      <c r="AA442" s="601">
        <f t="shared" si="104"/>
        <v>0</v>
      </c>
      <c r="AB442" s="602" t="str">
        <f t="shared" si="105"/>
        <v>B</v>
      </c>
      <c r="AC442" s="847" t="s">
        <v>1232</v>
      </c>
      <c r="AD442" s="603">
        <f>(T442+U442+V442)*'1.0-Contractblad'!$K$69</f>
        <v>0</v>
      </c>
      <c r="AE442" s="603"/>
      <c r="AF442" s="58">
        <f t="shared" si="106"/>
        <v>0</v>
      </c>
      <c r="AG442" s="58">
        <f t="shared" si="112"/>
        <v>1072.02</v>
      </c>
      <c r="AH442" s="58" t="str">
        <f t="shared" si="113"/>
        <v>1051-51</v>
      </c>
    </row>
    <row r="443" spans="1:34" ht="13">
      <c r="A443" s="134"/>
      <c r="B443" s="470"/>
      <c r="C443" s="471"/>
      <c r="D443" s="859">
        <f>VLOOKUP(E443,'1.1a-Jaarprijzen'!B:G,6,FALSE)</f>
        <v>2</v>
      </c>
      <c r="E443" s="845" t="s">
        <v>990</v>
      </c>
      <c r="F443" s="798" t="s">
        <v>469</v>
      </c>
      <c r="G443" s="799" t="s">
        <v>446</v>
      </c>
      <c r="H443" s="573" t="s">
        <v>573</v>
      </c>
      <c r="I443" s="573" t="str">
        <f t="shared" si="114"/>
        <v>pantry, keuken, koffiecorner</v>
      </c>
      <c r="J443" s="694" t="s">
        <v>574</v>
      </c>
      <c r="K443" s="800">
        <v>30.31</v>
      </c>
      <c r="L443" s="800"/>
      <c r="M443" s="867">
        <v>5051</v>
      </c>
      <c r="N443" s="868"/>
      <c r="O443" s="869"/>
      <c r="P443" s="869"/>
      <c r="Q443" s="866">
        <f t="shared" si="107"/>
        <v>51</v>
      </c>
      <c r="R443" s="600">
        <v>1</v>
      </c>
      <c r="S443" s="600">
        <v>1</v>
      </c>
      <c r="T443" s="468">
        <f t="shared" si="108"/>
        <v>0</v>
      </c>
      <c r="U443" s="468">
        <f t="shared" si="109"/>
        <v>0</v>
      </c>
      <c r="V443" s="468">
        <f t="shared" si="110"/>
        <v>0</v>
      </c>
      <c r="W443" s="468">
        <f t="shared" si="111"/>
        <v>0</v>
      </c>
      <c r="X443" s="601">
        <f t="shared" si="101"/>
        <v>0</v>
      </c>
      <c r="Y443" s="601">
        <f t="shared" si="102"/>
        <v>0</v>
      </c>
      <c r="Z443" s="601">
        <f t="shared" si="103"/>
        <v>0</v>
      </c>
      <c r="AA443" s="601">
        <f t="shared" si="104"/>
        <v>0</v>
      </c>
      <c r="AB443" s="602" t="str">
        <f t="shared" si="105"/>
        <v>V</v>
      </c>
      <c r="AC443" s="847" t="s">
        <v>1232</v>
      </c>
      <c r="AD443" s="603">
        <f>(T443+U443+V443)*'1.0-Contractblad'!$K$69</f>
        <v>0</v>
      </c>
      <c r="AE443" s="603"/>
      <c r="AF443" s="58">
        <f t="shared" si="106"/>
        <v>0</v>
      </c>
      <c r="AG443" s="58">
        <f t="shared" si="112"/>
        <v>1545.81</v>
      </c>
      <c r="AH443" s="58" t="str">
        <f t="shared" si="113"/>
        <v>5051-51</v>
      </c>
    </row>
    <row r="444" spans="1:34" ht="13">
      <c r="A444" s="134"/>
      <c r="B444" s="470"/>
      <c r="C444" s="471"/>
      <c r="D444" s="859">
        <f>VLOOKUP(E444,'1.1a-Jaarprijzen'!B:G,6,FALSE)</f>
        <v>2</v>
      </c>
      <c r="E444" s="845" t="s">
        <v>990</v>
      </c>
      <c r="F444" s="798" t="s">
        <v>469</v>
      </c>
      <c r="G444" s="799" t="s">
        <v>447</v>
      </c>
      <c r="H444" s="573" t="s">
        <v>545</v>
      </c>
      <c r="I444" s="573" t="str">
        <f t="shared" si="114"/>
        <v>labruimte</v>
      </c>
      <c r="J444" s="694" t="s">
        <v>574</v>
      </c>
      <c r="K444" s="800">
        <v>10.23</v>
      </c>
      <c r="L444" s="800"/>
      <c r="M444" s="867">
        <v>8051</v>
      </c>
      <c r="N444" s="868"/>
      <c r="O444" s="869"/>
      <c r="P444" s="869"/>
      <c r="Q444" s="866">
        <f t="shared" si="107"/>
        <v>51</v>
      </c>
      <c r="R444" s="600">
        <v>1</v>
      </c>
      <c r="S444" s="600">
        <v>1</v>
      </c>
      <c r="T444" s="468">
        <f t="shared" si="108"/>
        <v>0</v>
      </c>
      <c r="U444" s="468">
        <f t="shared" si="109"/>
        <v>0</v>
      </c>
      <c r="V444" s="468">
        <f t="shared" si="110"/>
        <v>0</v>
      </c>
      <c r="W444" s="468">
        <f t="shared" si="111"/>
        <v>0</v>
      </c>
      <c r="X444" s="601">
        <f t="shared" si="101"/>
        <v>0</v>
      </c>
      <c r="Y444" s="601">
        <f t="shared" si="102"/>
        <v>0</v>
      </c>
      <c r="Z444" s="601">
        <f t="shared" si="103"/>
        <v>0</v>
      </c>
      <c r="AA444" s="601">
        <f t="shared" si="104"/>
        <v>0</v>
      </c>
      <c r="AB444" s="602" t="str">
        <f t="shared" si="105"/>
        <v>V</v>
      </c>
      <c r="AC444" s="847" t="s">
        <v>1232</v>
      </c>
      <c r="AD444" s="603">
        <f>(T444+U444+V444)*'1.0-Contractblad'!$K$69</f>
        <v>0</v>
      </c>
      <c r="AE444" s="603"/>
      <c r="AF444" s="58">
        <f t="shared" si="106"/>
        <v>0</v>
      </c>
      <c r="AG444" s="58">
        <f t="shared" si="112"/>
        <v>521.73</v>
      </c>
      <c r="AH444" s="58" t="str">
        <f t="shared" si="113"/>
        <v>8051-51</v>
      </c>
    </row>
    <row r="445" spans="1:34" ht="13">
      <c r="A445" s="134"/>
      <c r="B445" s="470"/>
      <c r="C445" s="471"/>
      <c r="D445" s="859">
        <f>VLOOKUP(E445,'1.1a-Jaarprijzen'!B:G,6,FALSE)</f>
        <v>2</v>
      </c>
      <c r="E445" s="845" t="s">
        <v>990</v>
      </c>
      <c r="F445" s="798" t="s">
        <v>469</v>
      </c>
      <c r="G445" s="799" t="s">
        <v>448</v>
      </c>
      <c r="H445" s="573" t="s">
        <v>452</v>
      </c>
      <c r="I445" s="573" t="str">
        <f t="shared" si="114"/>
        <v>administratieve -, personeels- en vergaderruimte</v>
      </c>
      <c r="J445" s="694" t="s">
        <v>574</v>
      </c>
      <c r="K445" s="800">
        <v>14.08</v>
      </c>
      <c r="L445" s="800"/>
      <c r="M445" s="867">
        <v>1051</v>
      </c>
      <c r="N445" s="868"/>
      <c r="O445" s="869"/>
      <c r="P445" s="869"/>
      <c r="Q445" s="866">
        <f t="shared" si="107"/>
        <v>51</v>
      </c>
      <c r="R445" s="600">
        <v>1</v>
      </c>
      <c r="S445" s="600">
        <v>1</v>
      </c>
      <c r="T445" s="468">
        <f t="shared" si="108"/>
        <v>0</v>
      </c>
      <c r="U445" s="468">
        <f t="shared" si="109"/>
        <v>0</v>
      </c>
      <c r="V445" s="468">
        <f t="shared" si="110"/>
        <v>0</v>
      </c>
      <c r="W445" s="468">
        <f t="shared" si="111"/>
        <v>0</v>
      </c>
      <c r="X445" s="601">
        <f t="shared" si="101"/>
        <v>0</v>
      </c>
      <c r="Y445" s="601">
        <f t="shared" si="102"/>
        <v>0</v>
      </c>
      <c r="Z445" s="601">
        <f t="shared" si="103"/>
        <v>0</v>
      </c>
      <c r="AA445" s="601">
        <f t="shared" si="104"/>
        <v>0</v>
      </c>
      <c r="AB445" s="602" t="str">
        <f t="shared" si="105"/>
        <v>B</v>
      </c>
      <c r="AC445" s="847" t="s">
        <v>1232</v>
      </c>
      <c r="AD445" s="603">
        <f>(T445+U445+V445)*'1.0-Contractblad'!$K$69</f>
        <v>0</v>
      </c>
      <c r="AE445" s="603"/>
      <c r="AF445" s="58">
        <f t="shared" si="106"/>
        <v>0</v>
      </c>
      <c r="AG445" s="58">
        <f t="shared" si="112"/>
        <v>718.08</v>
      </c>
      <c r="AH445" s="58" t="str">
        <f t="shared" si="113"/>
        <v>1051-51</v>
      </c>
    </row>
    <row r="446" spans="1:34" ht="13">
      <c r="A446" s="134"/>
      <c r="B446" s="470"/>
      <c r="C446" s="471"/>
      <c r="D446" s="859">
        <f>VLOOKUP(E446,'1.1a-Jaarprijzen'!B:G,6,FALSE)</f>
        <v>2</v>
      </c>
      <c r="E446" s="845" t="s">
        <v>990</v>
      </c>
      <c r="F446" s="798" t="s">
        <v>469</v>
      </c>
      <c r="G446" s="799" t="s">
        <v>449</v>
      </c>
      <c r="H446" s="573" t="s">
        <v>575</v>
      </c>
      <c r="I446" s="573" t="str">
        <f t="shared" si="114"/>
        <v>entree, gang, hal, repro, kopieer</v>
      </c>
      <c r="J446" s="694" t="s">
        <v>574</v>
      </c>
      <c r="K446" s="800">
        <v>1.83</v>
      </c>
      <c r="L446" s="800"/>
      <c r="M446" s="867">
        <v>3051</v>
      </c>
      <c r="N446" s="868"/>
      <c r="O446" s="869"/>
      <c r="P446" s="869"/>
      <c r="Q446" s="866">
        <f t="shared" si="107"/>
        <v>51</v>
      </c>
      <c r="R446" s="600">
        <v>1</v>
      </c>
      <c r="S446" s="600">
        <v>1</v>
      </c>
      <c r="T446" s="468">
        <f t="shared" si="108"/>
        <v>0</v>
      </c>
      <c r="U446" s="468">
        <f t="shared" si="109"/>
        <v>0</v>
      </c>
      <c r="V446" s="468">
        <f t="shared" si="110"/>
        <v>0</v>
      </c>
      <c r="W446" s="468">
        <f t="shared" si="111"/>
        <v>0</v>
      </c>
      <c r="X446" s="601">
        <f t="shared" si="101"/>
        <v>0</v>
      </c>
      <c r="Y446" s="601">
        <f t="shared" si="102"/>
        <v>0</v>
      </c>
      <c r="Z446" s="601">
        <f t="shared" si="103"/>
        <v>0</v>
      </c>
      <c r="AA446" s="601">
        <f t="shared" si="104"/>
        <v>0</v>
      </c>
      <c r="AB446" s="602" t="str">
        <f t="shared" si="105"/>
        <v>V</v>
      </c>
      <c r="AC446" s="847" t="s">
        <v>1232</v>
      </c>
      <c r="AD446" s="603">
        <f>(T446+U446+V446)*'1.0-Contractblad'!$K$69</f>
        <v>0</v>
      </c>
      <c r="AE446" s="603"/>
      <c r="AF446" s="58">
        <f t="shared" si="106"/>
        <v>0</v>
      </c>
      <c r="AG446" s="58">
        <f t="shared" si="112"/>
        <v>93.33</v>
      </c>
      <c r="AH446" s="58" t="str">
        <f t="shared" si="113"/>
        <v>3051-51</v>
      </c>
    </row>
    <row r="447" spans="1:34" ht="13">
      <c r="A447" s="134"/>
      <c r="B447" s="470"/>
      <c r="C447" s="471"/>
      <c r="D447" s="859">
        <f>VLOOKUP(E447,'1.1a-Jaarprijzen'!B:G,6,FALSE)</f>
        <v>2</v>
      </c>
      <c r="E447" s="845" t="s">
        <v>990</v>
      </c>
      <c r="F447" s="798" t="s">
        <v>469</v>
      </c>
      <c r="G447" s="799" t="s">
        <v>450</v>
      </c>
      <c r="H447" s="573" t="s">
        <v>466</v>
      </c>
      <c r="I447" s="573" t="str">
        <f t="shared" si="114"/>
        <v>sanitaire ruimte (toilet-/doucheruimte)</v>
      </c>
      <c r="J447" s="694" t="s">
        <v>462</v>
      </c>
      <c r="K447" s="800">
        <v>1.86</v>
      </c>
      <c r="L447" s="800"/>
      <c r="M447" s="867">
        <v>4051</v>
      </c>
      <c r="N447" s="868"/>
      <c r="O447" s="869"/>
      <c r="P447" s="869"/>
      <c r="Q447" s="866">
        <f t="shared" si="107"/>
        <v>51</v>
      </c>
      <c r="R447" s="600">
        <v>1</v>
      </c>
      <c r="S447" s="600">
        <v>1</v>
      </c>
      <c r="T447" s="468">
        <f t="shared" si="108"/>
        <v>0</v>
      </c>
      <c r="U447" s="468">
        <f t="shared" si="109"/>
        <v>0</v>
      </c>
      <c r="V447" s="468">
        <f t="shared" si="110"/>
        <v>0</v>
      </c>
      <c r="W447" s="468">
        <f t="shared" si="111"/>
        <v>0</v>
      </c>
      <c r="X447" s="601">
        <f t="shared" si="101"/>
        <v>0</v>
      </c>
      <c r="Y447" s="601">
        <f t="shared" si="102"/>
        <v>0</v>
      </c>
      <c r="Z447" s="601">
        <f t="shared" si="103"/>
        <v>0</v>
      </c>
      <c r="AA447" s="601">
        <f t="shared" si="104"/>
        <v>0</v>
      </c>
      <c r="AB447" s="602" t="str">
        <f t="shared" si="105"/>
        <v>S</v>
      </c>
      <c r="AC447" s="847" t="s">
        <v>1232</v>
      </c>
      <c r="AD447" s="603">
        <f>(T447+U447+V447)*'1.0-Contractblad'!$K$69</f>
        <v>0</v>
      </c>
      <c r="AE447" s="603"/>
      <c r="AF447" s="58">
        <f t="shared" si="106"/>
        <v>0</v>
      </c>
      <c r="AG447" s="58">
        <f t="shared" si="112"/>
        <v>94.86</v>
      </c>
      <c r="AH447" s="58" t="str">
        <f t="shared" si="113"/>
        <v>4051-51</v>
      </c>
    </row>
    <row r="448" spans="1:34" ht="13">
      <c r="A448" s="134"/>
      <c r="B448" s="470"/>
      <c r="C448" s="471"/>
      <c r="D448" s="859">
        <f>VLOOKUP(E448,'1.1a-Jaarprijzen'!B:G,6,FALSE)</f>
        <v>2</v>
      </c>
      <c r="E448" s="845" t="s">
        <v>969</v>
      </c>
      <c r="F448" s="798" t="s">
        <v>469</v>
      </c>
      <c r="G448" s="799" t="s">
        <v>437</v>
      </c>
      <c r="H448" s="573" t="s">
        <v>504</v>
      </c>
      <c r="I448" s="573" t="str">
        <f t="shared" ref="I448:I456" si="115">IF($M448="",0,VLOOKUP($M448,Kengetal,4,FALSE))</f>
        <v>entree, gang, hal, repro, kopieer</v>
      </c>
      <c r="J448" s="694" t="s">
        <v>477</v>
      </c>
      <c r="K448" s="800">
        <v>8.26</v>
      </c>
      <c r="L448" s="800"/>
      <c r="M448" s="867">
        <v>3051</v>
      </c>
      <c r="N448" s="868"/>
      <c r="O448" s="868"/>
      <c r="P448" s="869"/>
      <c r="Q448" s="866">
        <f t="shared" ref="Q448:Q451" si="116">VLOOKUP(M448,Kengetal,3,FALSE)+VLOOKUP(N448,Kengetal,3,FALSE)+VLOOKUP(O448,Kengetal,3,FALSE)</f>
        <v>51</v>
      </c>
      <c r="R448" s="600">
        <v>1</v>
      </c>
      <c r="S448" s="600">
        <v>1</v>
      </c>
      <c r="T448" s="468">
        <f t="shared" ref="T448:T451" si="117">X448*K448*R448</f>
        <v>0</v>
      </c>
      <c r="U448" s="468">
        <f t="shared" ref="U448:U451" si="118">Y448*K448*S448</f>
        <v>0</v>
      </c>
      <c r="V448" s="468">
        <f t="shared" ref="V448:V451" si="119">Z448*K448*R448</f>
        <v>0</v>
      </c>
      <c r="W448" s="468">
        <f t="shared" ref="W448:W451" si="120">AA448*K448*U448</f>
        <v>0</v>
      </c>
      <c r="X448" s="601">
        <f t="shared" ref="X448:X450" si="121">IF($M448=0,0,VLOOKUP($M448,Kengetal,6,FALSE))</f>
        <v>0</v>
      </c>
      <c r="Y448" s="601">
        <f t="shared" ref="Y448:Y450" si="122">IF($M448=0,0,VLOOKUP($M448,Kengetal,8,FALSE))</f>
        <v>0</v>
      </c>
      <c r="Z448" s="601">
        <f t="shared" ref="Z448:Z450" si="123">IF($N448=0,0,VLOOKUP($N448,Kengetal,6,FALSE))</f>
        <v>0</v>
      </c>
      <c r="AA448" s="601">
        <f t="shared" ref="AA448:AA450" si="124">IF($O448=0,0,VLOOKUP($O448,Kengetal,6,FALSE))</f>
        <v>0</v>
      </c>
      <c r="AB448" s="602" t="str">
        <f t="shared" ref="AB448:AB456" si="125">IF(M448="","",VLOOKUP(M448,Kengetal,15,FALSE))</f>
        <v>V</v>
      </c>
      <c r="AC448" s="847" t="s">
        <v>1232</v>
      </c>
      <c r="AD448" s="603">
        <f>(T448+U448+V448)*'1.0-Contractblad'!$K$69</f>
        <v>0</v>
      </c>
      <c r="AE448" s="603"/>
      <c r="AF448" s="58">
        <f t="shared" ref="AF448:AF456" si="126">IF(M448=8255,T448+U448,0)</f>
        <v>0</v>
      </c>
      <c r="AG448" s="58">
        <f t="shared" ref="AG448:AG456" si="127">K448*Q448</f>
        <v>421.26</v>
      </c>
      <c r="AH448" s="58" t="str">
        <f t="shared" ref="AH448:AH456" si="128">CONCATENATE(M448,"-",Q448)</f>
        <v>3051-51</v>
      </c>
    </row>
    <row r="449" spans="1:34" ht="13">
      <c r="A449" s="134"/>
      <c r="B449" s="470"/>
      <c r="C449" s="471"/>
      <c r="D449" s="859">
        <f>VLOOKUP(E449,'1.1a-Jaarprijzen'!B:G,6,FALSE)</f>
        <v>2</v>
      </c>
      <c r="E449" s="845" t="s">
        <v>969</v>
      </c>
      <c r="F449" s="798" t="s">
        <v>469</v>
      </c>
      <c r="G449" s="799" t="s">
        <v>438</v>
      </c>
      <c r="H449" s="573" t="s">
        <v>976</v>
      </c>
      <c r="I449" s="573" t="str">
        <f t="shared" si="115"/>
        <v>niet van toepassing</v>
      </c>
      <c r="J449" s="694" t="s">
        <v>477</v>
      </c>
      <c r="K449" s="800"/>
      <c r="L449" s="800">
        <v>2.19</v>
      </c>
      <c r="M449" s="867" t="s">
        <v>19</v>
      </c>
      <c r="N449" s="868"/>
      <c r="O449" s="868"/>
      <c r="P449" s="869"/>
      <c r="Q449" s="866">
        <f t="shared" si="116"/>
        <v>0</v>
      </c>
      <c r="R449" s="600">
        <v>1</v>
      </c>
      <c r="S449" s="600">
        <v>1</v>
      </c>
      <c r="T449" s="468">
        <f t="shared" si="117"/>
        <v>0</v>
      </c>
      <c r="U449" s="468">
        <f t="shared" si="118"/>
        <v>0</v>
      </c>
      <c r="V449" s="468">
        <f t="shared" si="119"/>
        <v>0</v>
      </c>
      <c r="W449" s="468">
        <f t="shared" si="120"/>
        <v>0</v>
      </c>
      <c r="X449" s="601">
        <f t="shared" si="121"/>
        <v>0</v>
      </c>
      <c r="Y449" s="601">
        <f t="shared" si="122"/>
        <v>0</v>
      </c>
      <c r="Z449" s="601">
        <f t="shared" si="123"/>
        <v>0</v>
      </c>
      <c r="AA449" s="601">
        <f t="shared" si="124"/>
        <v>0</v>
      </c>
      <c r="AB449" s="602">
        <f t="shared" si="125"/>
        <v>0</v>
      </c>
      <c r="AC449" s="847"/>
      <c r="AD449" s="603">
        <f>(T449+U449+V449)*'1.0-Contractblad'!$K$69</f>
        <v>0</v>
      </c>
      <c r="AE449" s="603"/>
      <c r="AF449" s="58">
        <f t="shared" si="126"/>
        <v>0</v>
      </c>
      <c r="AG449" s="58">
        <f t="shared" si="127"/>
        <v>0</v>
      </c>
      <c r="AH449" s="58" t="str">
        <f t="shared" si="128"/>
        <v>nvt-0</v>
      </c>
    </row>
    <row r="450" spans="1:34" ht="13">
      <c r="A450" s="134"/>
      <c r="B450" s="470"/>
      <c r="C450" s="471"/>
      <c r="D450" s="859">
        <f>VLOOKUP(E450,'1.1a-Jaarprijzen'!B:G,6,FALSE)</f>
        <v>2</v>
      </c>
      <c r="E450" s="845" t="s">
        <v>969</v>
      </c>
      <c r="F450" s="798" t="s">
        <v>469</v>
      </c>
      <c r="G450" s="799" t="s">
        <v>439</v>
      </c>
      <c r="H450" s="573" t="s">
        <v>769</v>
      </c>
      <c r="I450" s="573" t="str">
        <f t="shared" si="115"/>
        <v>labruimte</v>
      </c>
      <c r="J450" s="694" t="s">
        <v>477</v>
      </c>
      <c r="K450" s="800">
        <v>7.87</v>
      </c>
      <c r="L450" s="800"/>
      <c r="M450" s="867">
        <v>8051</v>
      </c>
      <c r="N450" s="868"/>
      <c r="O450" s="868"/>
      <c r="P450" s="869"/>
      <c r="Q450" s="866">
        <f t="shared" si="116"/>
        <v>51</v>
      </c>
      <c r="R450" s="600">
        <v>1</v>
      </c>
      <c r="S450" s="600">
        <v>1</v>
      </c>
      <c r="T450" s="468">
        <f t="shared" si="117"/>
        <v>0</v>
      </c>
      <c r="U450" s="468">
        <f t="shared" si="118"/>
        <v>0</v>
      </c>
      <c r="V450" s="468">
        <f t="shared" si="119"/>
        <v>0</v>
      </c>
      <c r="W450" s="468">
        <f t="shared" si="120"/>
        <v>0</v>
      </c>
      <c r="X450" s="601">
        <f t="shared" si="121"/>
        <v>0</v>
      </c>
      <c r="Y450" s="601">
        <f t="shared" si="122"/>
        <v>0</v>
      </c>
      <c r="Z450" s="601">
        <f t="shared" si="123"/>
        <v>0</v>
      </c>
      <c r="AA450" s="601">
        <f t="shared" si="124"/>
        <v>0</v>
      </c>
      <c r="AB450" s="602" t="str">
        <f t="shared" si="125"/>
        <v>V</v>
      </c>
      <c r="AC450" s="847" t="s">
        <v>1232</v>
      </c>
      <c r="AD450" s="603">
        <f>(T450+U450+V450)*'1.0-Contractblad'!$K$69</f>
        <v>0</v>
      </c>
      <c r="AE450" s="603"/>
      <c r="AF450" s="58">
        <f t="shared" si="126"/>
        <v>0</v>
      </c>
      <c r="AG450" s="58">
        <f t="shared" si="127"/>
        <v>401.37</v>
      </c>
      <c r="AH450" s="58" t="str">
        <f t="shared" si="128"/>
        <v>8051-51</v>
      </c>
    </row>
    <row r="451" spans="1:34" ht="13">
      <c r="A451" s="134"/>
      <c r="B451" s="470"/>
      <c r="C451" s="471"/>
      <c r="D451" s="859">
        <f>VLOOKUP(E451,'1.1a-Jaarprijzen'!B:G,6,FALSE)</f>
        <v>2</v>
      </c>
      <c r="E451" s="845" t="s">
        <v>969</v>
      </c>
      <c r="F451" s="798" t="s">
        <v>469</v>
      </c>
      <c r="G451" s="799" t="s">
        <v>440</v>
      </c>
      <c r="H451" s="573" t="s">
        <v>977</v>
      </c>
      <c r="I451" s="573" t="str">
        <f t="shared" si="115"/>
        <v>kleedruimten</v>
      </c>
      <c r="J451" s="694" t="s">
        <v>462</v>
      </c>
      <c r="K451" s="800">
        <v>4.9000000000000004</v>
      </c>
      <c r="L451" s="800"/>
      <c r="M451" s="867">
        <v>10051</v>
      </c>
      <c r="N451" s="868"/>
      <c r="O451" s="868"/>
      <c r="P451" s="869"/>
      <c r="Q451" s="866">
        <f t="shared" si="116"/>
        <v>51</v>
      </c>
      <c r="R451" s="600">
        <v>1</v>
      </c>
      <c r="S451" s="600">
        <v>1</v>
      </c>
      <c r="T451" s="468">
        <f t="shared" si="117"/>
        <v>0</v>
      </c>
      <c r="U451" s="468">
        <f t="shared" si="118"/>
        <v>0</v>
      </c>
      <c r="V451" s="468">
        <f t="shared" si="119"/>
        <v>0</v>
      </c>
      <c r="W451" s="468">
        <f t="shared" si="120"/>
        <v>0</v>
      </c>
      <c r="X451" s="601">
        <f t="shared" ref="X451:X456" si="129">IF($M451=0,0,VLOOKUP($M451,Kengetal,6,FALSE))</f>
        <v>0</v>
      </c>
      <c r="Y451" s="601">
        <f t="shared" ref="Y451:Y456" si="130">IF($M451=0,0,VLOOKUP($M451,Kengetal,8,FALSE))</f>
        <v>0</v>
      </c>
      <c r="Z451" s="601">
        <f t="shared" ref="Z451:Z456" si="131">IF($N451=0,0,VLOOKUP($N451,Kengetal,6,FALSE))</f>
        <v>0</v>
      </c>
      <c r="AA451" s="601">
        <f t="shared" ref="AA451:AA456" si="132">IF($O451=0,0,VLOOKUP($O451,Kengetal,6,FALSE))</f>
        <v>0</v>
      </c>
      <c r="AB451" s="602" t="str">
        <f t="shared" si="125"/>
        <v>V</v>
      </c>
      <c r="AC451" s="847" t="s">
        <v>1232</v>
      </c>
      <c r="AD451" s="603">
        <f>(T451+U451+V451)*'1.0-Contractblad'!$K$69</f>
        <v>0</v>
      </c>
      <c r="AE451" s="603"/>
      <c r="AF451" s="58">
        <f t="shared" si="126"/>
        <v>0</v>
      </c>
      <c r="AG451" s="58">
        <f t="shared" si="127"/>
        <v>249.9</v>
      </c>
      <c r="AH451" s="58" t="str">
        <f t="shared" si="128"/>
        <v>10051-51</v>
      </c>
    </row>
    <row r="452" spans="1:34" ht="13">
      <c r="A452" s="134"/>
      <c r="B452" s="470"/>
      <c r="C452" s="471"/>
      <c r="D452" s="859">
        <f>VLOOKUP(E452,'1.1a-Jaarprijzen'!B:G,6,FALSE)</f>
        <v>2</v>
      </c>
      <c r="E452" s="845" t="s">
        <v>969</v>
      </c>
      <c r="F452" s="798" t="s">
        <v>469</v>
      </c>
      <c r="G452" s="799" t="s">
        <v>441</v>
      </c>
      <c r="H452" s="573" t="s">
        <v>978</v>
      </c>
      <c r="I452" s="573" t="str">
        <f t="shared" si="115"/>
        <v>kleedruimten</v>
      </c>
      <c r="J452" s="694" t="s">
        <v>462</v>
      </c>
      <c r="K452" s="800">
        <v>4.34</v>
      </c>
      <c r="L452" s="800"/>
      <c r="M452" s="867">
        <v>10051</v>
      </c>
      <c r="N452" s="868"/>
      <c r="O452" s="868"/>
      <c r="P452" s="869"/>
      <c r="Q452" s="866">
        <f t="shared" ref="Q452:Q456" si="133">VLOOKUP(M452,Kengetal,3,FALSE)+VLOOKUP(N452,Kengetal,3,FALSE)+VLOOKUP(O452,Kengetal,3,FALSE)</f>
        <v>51</v>
      </c>
      <c r="R452" s="600">
        <v>1</v>
      </c>
      <c r="S452" s="600">
        <v>1</v>
      </c>
      <c r="T452" s="468">
        <f t="shared" ref="T452:T456" si="134">X452*K452*R452</f>
        <v>0</v>
      </c>
      <c r="U452" s="468">
        <f t="shared" ref="U452:U456" si="135">Y452*K452*S452</f>
        <v>0</v>
      </c>
      <c r="V452" s="468">
        <f t="shared" ref="V452:V456" si="136">Z452*K452*R452</f>
        <v>0</v>
      </c>
      <c r="W452" s="468">
        <f t="shared" ref="W452:W456" si="137">AA452*K452*U452</f>
        <v>0</v>
      </c>
      <c r="X452" s="601">
        <f t="shared" si="129"/>
        <v>0</v>
      </c>
      <c r="Y452" s="601">
        <f t="shared" si="130"/>
        <v>0</v>
      </c>
      <c r="Z452" s="601">
        <f t="shared" si="131"/>
        <v>0</v>
      </c>
      <c r="AA452" s="601">
        <f t="shared" si="132"/>
        <v>0</v>
      </c>
      <c r="AB452" s="602" t="str">
        <f t="shared" si="125"/>
        <v>V</v>
      </c>
      <c r="AC452" s="847" t="s">
        <v>1232</v>
      </c>
      <c r="AD452" s="603">
        <f>(T452+U452+V452)*'1.0-Contractblad'!$K$69</f>
        <v>0</v>
      </c>
      <c r="AE452" s="603"/>
      <c r="AF452" s="58">
        <f t="shared" si="126"/>
        <v>0</v>
      </c>
      <c r="AG452" s="58">
        <f t="shared" si="127"/>
        <v>221.34</v>
      </c>
      <c r="AH452" s="58" t="str">
        <f t="shared" si="128"/>
        <v>10051-51</v>
      </c>
    </row>
    <row r="453" spans="1:34" ht="13">
      <c r="A453" s="134"/>
      <c r="B453" s="470"/>
      <c r="C453" s="471"/>
      <c r="D453" s="859">
        <f>VLOOKUP(E453,'1.1a-Jaarprijzen'!B:G,6,FALSE)</f>
        <v>2</v>
      </c>
      <c r="E453" s="845" t="s">
        <v>969</v>
      </c>
      <c r="F453" s="798" t="s">
        <v>469</v>
      </c>
      <c r="G453" s="799" t="s">
        <v>442</v>
      </c>
      <c r="H453" s="573" t="s">
        <v>493</v>
      </c>
      <c r="I453" s="573" t="str">
        <f t="shared" si="115"/>
        <v>sanitaire ruimte (toilet-/doucheruimte)</v>
      </c>
      <c r="J453" s="694" t="s">
        <v>462</v>
      </c>
      <c r="K453" s="800">
        <v>2.48</v>
      </c>
      <c r="L453" s="800"/>
      <c r="M453" s="867">
        <v>4051</v>
      </c>
      <c r="N453" s="868"/>
      <c r="O453" s="868"/>
      <c r="P453" s="869"/>
      <c r="Q453" s="866">
        <f t="shared" si="133"/>
        <v>51</v>
      </c>
      <c r="R453" s="600">
        <v>1</v>
      </c>
      <c r="S453" s="600">
        <v>1</v>
      </c>
      <c r="T453" s="468">
        <f t="shared" si="134"/>
        <v>0</v>
      </c>
      <c r="U453" s="468">
        <f t="shared" si="135"/>
        <v>0</v>
      </c>
      <c r="V453" s="468">
        <f t="shared" si="136"/>
        <v>0</v>
      </c>
      <c r="W453" s="468">
        <f t="shared" si="137"/>
        <v>0</v>
      </c>
      <c r="X453" s="601">
        <f t="shared" si="129"/>
        <v>0</v>
      </c>
      <c r="Y453" s="601">
        <f t="shared" si="130"/>
        <v>0</v>
      </c>
      <c r="Z453" s="601">
        <f t="shared" si="131"/>
        <v>0</v>
      </c>
      <c r="AA453" s="601">
        <f t="shared" si="132"/>
        <v>0</v>
      </c>
      <c r="AB453" s="602" t="str">
        <f t="shared" si="125"/>
        <v>S</v>
      </c>
      <c r="AC453" s="847" t="s">
        <v>1232</v>
      </c>
      <c r="AD453" s="603">
        <f>(T453+U453+V453)*'1.0-Contractblad'!$K$69</f>
        <v>0</v>
      </c>
      <c r="AE453" s="603"/>
      <c r="AF453" s="58">
        <f t="shared" si="126"/>
        <v>0</v>
      </c>
      <c r="AG453" s="58">
        <f t="shared" si="127"/>
        <v>126.48</v>
      </c>
      <c r="AH453" s="58" t="str">
        <f t="shared" si="128"/>
        <v>4051-51</v>
      </c>
    </row>
    <row r="454" spans="1:34" ht="13">
      <c r="A454" s="134"/>
      <c r="B454" s="470"/>
      <c r="C454" s="471"/>
      <c r="D454" s="859">
        <f>VLOOKUP(E454,'1.1a-Jaarprijzen'!B:G,6,FALSE)</f>
        <v>2</v>
      </c>
      <c r="E454" s="845" t="s">
        <v>969</v>
      </c>
      <c r="F454" s="798" t="s">
        <v>469</v>
      </c>
      <c r="G454" s="799" t="s">
        <v>443</v>
      </c>
      <c r="H454" s="573" t="s">
        <v>979</v>
      </c>
      <c r="I454" s="573" t="str">
        <f t="shared" si="115"/>
        <v>niet van toepassing</v>
      </c>
      <c r="J454" s="694" t="s">
        <v>340</v>
      </c>
      <c r="K454" s="800"/>
      <c r="L454" s="800">
        <v>3.21</v>
      </c>
      <c r="M454" s="867" t="s">
        <v>19</v>
      </c>
      <c r="N454" s="868"/>
      <c r="O454" s="868"/>
      <c r="P454" s="869"/>
      <c r="Q454" s="866">
        <f t="shared" si="133"/>
        <v>0</v>
      </c>
      <c r="R454" s="600">
        <v>1</v>
      </c>
      <c r="S454" s="600">
        <v>1</v>
      </c>
      <c r="T454" s="468">
        <f t="shared" si="134"/>
        <v>0</v>
      </c>
      <c r="U454" s="468">
        <f t="shared" si="135"/>
        <v>0</v>
      </c>
      <c r="V454" s="468">
        <f t="shared" si="136"/>
        <v>0</v>
      </c>
      <c r="W454" s="468">
        <f t="shared" si="137"/>
        <v>0</v>
      </c>
      <c r="X454" s="601">
        <f t="shared" si="129"/>
        <v>0</v>
      </c>
      <c r="Y454" s="601">
        <f t="shared" si="130"/>
        <v>0</v>
      </c>
      <c r="Z454" s="601">
        <f t="shared" si="131"/>
        <v>0</v>
      </c>
      <c r="AA454" s="601">
        <f t="shared" si="132"/>
        <v>0</v>
      </c>
      <c r="AB454" s="602">
        <f t="shared" si="125"/>
        <v>0</v>
      </c>
      <c r="AC454" s="847"/>
      <c r="AD454" s="603">
        <f>(T454+U454+V454)*'1.0-Contractblad'!$K$69</f>
        <v>0</v>
      </c>
      <c r="AE454" s="603"/>
      <c r="AF454" s="58">
        <f t="shared" si="126"/>
        <v>0</v>
      </c>
      <c r="AG454" s="58">
        <f t="shared" si="127"/>
        <v>0</v>
      </c>
      <c r="AH454" s="58" t="str">
        <f t="shared" si="128"/>
        <v>nvt-0</v>
      </c>
    </row>
    <row r="455" spans="1:34" ht="13">
      <c r="A455" s="134"/>
      <c r="B455" s="470"/>
      <c r="C455" s="471"/>
      <c r="D455" s="859">
        <f>VLOOKUP(E455,'1.1a-Jaarprijzen'!B:G,6,FALSE)</f>
        <v>2</v>
      </c>
      <c r="E455" s="845" t="s">
        <v>969</v>
      </c>
      <c r="F455" s="798" t="s">
        <v>469</v>
      </c>
      <c r="G455" s="799" t="s">
        <v>444</v>
      </c>
      <c r="H455" s="573" t="s">
        <v>452</v>
      </c>
      <c r="I455" s="573" t="str">
        <f t="shared" si="115"/>
        <v>administratieve -, personeels- en vergaderruimte</v>
      </c>
      <c r="J455" s="694" t="s">
        <v>477</v>
      </c>
      <c r="K455" s="800">
        <v>18.5</v>
      </c>
      <c r="L455" s="800"/>
      <c r="M455" s="867">
        <v>1051</v>
      </c>
      <c r="N455" s="868"/>
      <c r="O455" s="868"/>
      <c r="P455" s="869"/>
      <c r="Q455" s="866">
        <f t="shared" si="133"/>
        <v>51</v>
      </c>
      <c r="R455" s="600">
        <v>1</v>
      </c>
      <c r="S455" s="600">
        <v>1</v>
      </c>
      <c r="T455" s="468">
        <f t="shared" si="134"/>
        <v>0</v>
      </c>
      <c r="U455" s="468">
        <f t="shared" si="135"/>
        <v>0</v>
      </c>
      <c r="V455" s="468">
        <f t="shared" si="136"/>
        <v>0</v>
      </c>
      <c r="W455" s="468">
        <f t="shared" si="137"/>
        <v>0</v>
      </c>
      <c r="X455" s="601">
        <f t="shared" si="129"/>
        <v>0</v>
      </c>
      <c r="Y455" s="601">
        <f t="shared" si="130"/>
        <v>0</v>
      </c>
      <c r="Z455" s="601">
        <f t="shared" si="131"/>
        <v>0</v>
      </c>
      <c r="AA455" s="601">
        <f t="shared" si="132"/>
        <v>0</v>
      </c>
      <c r="AB455" s="602" t="str">
        <f t="shared" si="125"/>
        <v>B</v>
      </c>
      <c r="AC455" s="847" t="s">
        <v>1232</v>
      </c>
      <c r="AD455" s="603">
        <f>(T455+U455+V455)*'1.0-Contractblad'!$K$69</f>
        <v>0</v>
      </c>
      <c r="AE455" s="603"/>
      <c r="AF455" s="58">
        <f t="shared" si="126"/>
        <v>0</v>
      </c>
      <c r="AG455" s="58">
        <f t="shared" si="127"/>
        <v>943.5</v>
      </c>
      <c r="AH455" s="58" t="str">
        <f t="shared" si="128"/>
        <v>1051-51</v>
      </c>
    </row>
    <row r="456" spans="1:34" ht="13">
      <c r="A456" s="134"/>
      <c r="B456" s="470"/>
      <c r="C456" s="471"/>
      <c r="D456" s="859">
        <f>VLOOKUP(E456,'1.1a-Jaarprijzen'!B:G,6,FALSE)</f>
        <v>2</v>
      </c>
      <c r="E456" s="845" t="s">
        <v>969</v>
      </c>
      <c r="F456" s="798" t="s">
        <v>469</v>
      </c>
      <c r="G456" s="799" t="s">
        <v>445</v>
      </c>
      <c r="H456" s="573" t="s">
        <v>466</v>
      </c>
      <c r="I456" s="573" t="str">
        <f t="shared" si="115"/>
        <v>sanitaire ruimte (toilet-/doucheruimte)</v>
      </c>
      <c r="J456" s="694" t="s">
        <v>462</v>
      </c>
      <c r="K456" s="800">
        <v>3.21</v>
      </c>
      <c r="L456" s="800"/>
      <c r="M456" s="867">
        <v>4051</v>
      </c>
      <c r="N456" s="868"/>
      <c r="O456" s="868"/>
      <c r="P456" s="869"/>
      <c r="Q456" s="866">
        <f t="shared" si="133"/>
        <v>51</v>
      </c>
      <c r="R456" s="600">
        <v>1</v>
      </c>
      <c r="S456" s="600">
        <v>1</v>
      </c>
      <c r="T456" s="468">
        <f t="shared" si="134"/>
        <v>0</v>
      </c>
      <c r="U456" s="468">
        <f t="shared" si="135"/>
        <v>0</v>
      </c>
      <c r="V456" s="468">
        <f t="shared" si="136"/>
        <v>0</v>
      </c>
      <c r="W456" s="468">
        <f t="shared" si="137"/>
        <v>0</v>
      </c>
      <c r="X456" s="601">
        <f t="shared" si="129"/>
        <v>0</v>
      </c>
      <c r="Y456" s="601">
        <f t="shared" si="130"/>
        <v>0</v>
      </c>
      <c r="Z456" s="601">
        <f t="shared" si="131"/>
        <v>0</v>
      </c>
      <c r="AA456" s="601">
        <f t="shared" si="132"/>
        <v>0</v>
      </c>
      <c r="AB456" s="602" t="str">
        <f t="shared" si="125"/>
        <v>S</v>
      </c>
      <c r="AC456" s="847" t="s">
        <v>1232</v>
      </c>
      <c r="AD456" s="603">
        <f>(T456+U456+V456)*'1.0-Contractblad'!$K$69</f>
        <v>0</v>
      </c>
      <c r="AE456" s="603"/>
      <c r="AF456" s="58">
        <f t="shared" si="126"/>
        <v>0</v>
      </c>
      <c r="AG456" s="58">
        <f t="shared" si="127"/>
        <v>163.71</v>
      </c>
      <c r="AH456" s="58" t="str">
        <f t="shared" si="128"/>
        <v>4051-51</v>
      </c>
    </row>
  </sheetData>
  <mergeCells count="1">
    <mergeCell ref="G8:H8"/>
  </mergeCells>
  <phoneticPr fontId="14" type="noConversion"/>
  <conditionalFormatting sqref="T11:AA456 AD11:AE456">
    <cfRule type="cellIs" dxfId="326" priority="575" operator="greaterThan">
      <formula>0</formula>
    </cfRule>
  </conditionalFormatting>
  <conditionalFormatting sqref="J4">
    <cfRule type="cellIs" dxfId="325" priority="503" operator="greaterThan">
      <formula>0</formula>
    </cfRule>
  </conditionalFormatting>
  <conditionalFormatting sqref="J5">
    <cfRule type="cellIs" dxfId="324" priority="502" operator="greaterThan">
      <formula>0</formula>
    </cfRule>
  </conditionalFormatting>
  <conditionalFormatting sqref="T7:AB7">
    <cfRule type="cellIs" dxfId="323" priority="16" operator="greaterThan">
      <formula>0</formula>
    </cfRule>
  </conditionalFormatting>
  <dataValidations disablePrompts="1"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4" xr:uid="{00000000-0002-0000-0500-000000000000}"/>
  </dataValidations>
  <printOptions gridLinesSet="0"/>
  <pageMargins left="0" right="0" top="0.59" bottom="0.79" header="0.39" footer="0.2"/>
  <pageSetup paperSize="9" scale="34" pageOrder="overThenDown" orientation="landscape"/>
  <headerFooter>
    <oddHeader>&amp;L&amp;C&amp;R</oddHeader>
    <oddFooter>&amp;L&amp;"Verdana,Standaard"&amp;K000000&amp;F-&amp;A
&amp;R&amp;"Verdana,Standaard"&amp;K000000printversie &amp;D</oddFooter>
  </headerFooter>
  <picture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6299-C58B-924C-8EEF-88C1C5FA95AD}">
  <sheetPr codeName="Blad3"/>
  <dimension ref="A1:AC53"/>
  <sheetViews>
    <sheetView showGridLines="0" showZeros="0" showOutlineSymbols="0" topLeftCell="B1" zoomScale="91" zoomScaleNormal="91" zoomScaleSheetLayoutView="65" zoomScalePageLayoutView="90" workbookViewId="0">
      <selection activeCell="J31" sqref="J31"/>
    </sheetView>
  </sheetViews>
  <sheetFormatPr baseColWidth="10" defaultColWidth="8.796875" defaultRowHeight="16" customHeight="1"/>
  <cols>
    <col min="1" max="1" width="7.19921875" style="58" hidden="1" customWidth="1"/>
    <col min="2" max="2" width="17.19921875" style="206" bestFit="1" customWidth="1"/>
    <col min="3" max="3" width="13.796875" style="544" customWidth="1"/>
    <col min="4" max="4" width="10.19921875" style="58" customWidth="1"/>
    <col min="5" max="5" width="51" style="444" bestFit="1" customWidth="1"/>
    <col min="6" max="6" width="11.19921875" style="134" customWidth="1"/>
    <col min="7" max="7" width="12.796875" style="427" customWidth="1"/>
    <col min="8" max="8" width="38.796875" style="58" customWidth="1"/>
    <col min="9" max="9" width="57.19921875" style="207" customWidth="1"/>
    <col min="10" max="10" width="13.796875" style="134" customWidth="1"/>
    <col min="11" max="11" width="15.19921875" style="429" bestFit="1" customWidth="1"/>
    <col min="12" max="12" width="14.19921875" style="208" customWidth="1"/>
    <col min="13" max="13" width="23.3984375" style="59" bestFit="1" customWidth="1"/>
    <col min="14" max="14" width="22.3984375" style="206" hidden="1" customWidth="1"/>
    <col min="15" max="15" width="16.19921875" style="59" hidden="1" customWidth="1"/>
    <col min="16" max="16" width="0.19921875" style="59" hidden="1" customWidth="1"/>
    <col min="17" max="17" width="18.19921875" style="134" bestFit="1" customWidth="1"/>
    <col min="18" max="19" width="14.19921875" style="59" customWidth="1"/>
    <col min="20" max="20" width="16.796875" style="318" customWidth="1"/>
    <col min="21" max="21" width="20" style="318" customWidth="1"/>
    <col min="22" max="22" width="9.3984375" style="58" hidden="1" customWidth="1"/>
    <col min="23" max="23" width="20" style="134" bestFit="1" customWidth="1"/>
    <col min="24" max="24" width="19.59765625" style="134" customWidth="1"/>
    <col min="25" max="25" width="20" style="58" hidden="1" customWidth="1"/>
    <col min="26" max="26" width="11.3984375" style="58" customWidth="1"/>
    <col min="27" max="27" width="33.3984375" style="453" customWidth="1"/>
    <col min="28" max="28" width="20.796875" style="134" customWidth="1"/>
    <col min="29" max="29" width="21.59765625" style="134" bestFit="1" customWidth="1"/>
    <col min="30" max="30" width="8.796875" style="58" bestFit="1" customWidth="1"/>
    <col min="31" max="31" width="16.796875" style="58" bestFit="1" customWidth="1"/>
    <col min="32" max="32" width="14" style="58" bestFit="1" customWidth="1"/>
    <col min="33" max="33" width="25.19921875" style="58" bestFit="1" customWidth="1"/>
    <col min="34" max="16384" width="8.796875" style="58"/>
  </cols>
  <sheetData>
    <row r="1" spans="1:29" ht="18" customHeight="1">
      <c r="A1" s="134"/>
      <c r="C1" s="542"/>
      <c r="D1" s="134"/>
      <c r="E1" s="436"/>
      <c r="F1" s="209"/>
      <c r="G1" s="210"/>
      <c r="H1" s="437"/>
      <c r="I1" s="211"/>
      <c r="J1" s="135"/>
      <c r="K1" s="428"/>
      <c r="L1" s="154"/>
      <c r="M1" s="60"/>
      <c r="N1" s="210"/>
      <c r="O1" s="154"/>
      <c r="P1" s="154"/>
      <c r="Q1" s="154"/>
      <c r="R1" s="154"/>
      <c r="S1" s="154"/>
      <c r="T1" s="457"/>
      <c r="U1" s="458"/>
      <c r="V1" s="438"/>
      <c r="W1" s="212"/>
      <c r="X1" s="212"/>
      <c r="Y1" s="438"/>
      <c r="Z1" s="518"/>
      <c r="AA1" s="450"/>
      <c r="AB1" s="213"/>
    </row>
    <row r="2" spans="1:29" ht="18" customHeight="1">
      <c r="A2" s="134"/>
      <c r="C2" s="542"/>
      <c r="D2" s="134"/>
      <c r="E2" s="89" t="str">
        <f>'1.2-Kengetal'!C2</f>
        <v>Omschrijving blad</v>
      </c>
      <c r="F2" s="214"/>
      <c r="G2" s="149" t="s">
        <v>432</v>
      </c>
      <c r="H2" s="439"/>
      <c r="I2" s="211"/>
      <c r="J2" s="135"/>
      <c r="K2" s="428"/>
      <c r="L2" s="154"/>
      <c r="M2" s="60"/>
      <c r="N2" s="210"/>
      <c r="O2" s="154"/>
      <c r="P2" s="154"/>
      <c r="Q2" s="154"/>
      <c r="R2" s="154"/>
      <c r="S2" s="154"/>
      <c r="T2" s="457"/>
      <c r="U2" s="458"/>
      <c r="V2" s="438"/>
      <c r="W2" s="212"/>
      <c r="X2" s="212"/>
      <c r="Y2" s="438"/>
      <c r="Z2" s="519"/>
      <c r="AA2" s="451"/>
      <c r="AB2" s="135"/>
    </row>
    <row r="3" spans="1:29" ht="18" customHeight="1">
      <c r="A3" s="134"/>
      <c r="C3" s="542"/>
      <c r="D3" s="134"/>
      <c r="E3" s="223" t="s">
        <v>101</v>
      </c>
      <c r="G3" s="224" t="str">
        <f>Voorblad!$E$16</f>
        <v>Hoogheemraadschap Hollands Noorderkwartier Perceel 2</v>
      </c>
      <c r="H3" s="439"/>
      <c r="I3" s="61"/>
      <c r="J3" s="135"/>
      <c r="K3" s="428"/>
      <c r="L3" s="154"/>
      <c r="M3" s="60"/>
      <c r="N3" s="210"/>
      <c r="O3" s="60"/>
      <c r="P3" s="60"/>
      <c r="Q3" s="135"/>
      <c r="R3" s="60"/>
      <c r="S3" s="60"/>
      <c r="T3" s="457"/>
      <c r="U3" s="458"/>
      <c r="V3" s="438"/>
      <c r="W3" s="212"/>
      <c r="X3" s="212"/>
      <c r="Y3" s="430"/>
      <c r="Z3" s="519"/>
      <c r="AA3" s="451"/>
      <c r="AB3" s="135"/>
    </row>
    <row r="4" spans="1:29" ht="18" customHeight="1">
      <c r="A4" s="134"/>
      <c r="C4" s="542"/>
      <c r="D4" s="134"/>
      <c r="E4" s="223" t="s">
        <v>36</v>
      </c>
      <c r="G4" s="224" t="str">
        <f>'1.0-Contractblad'!$D$4</f>
        <v>Heerhugowaard</v>
      </c>
      <c r="H4" s="439"/>
      <c r="I4" s="58"/>
      <c r="J4" s="441" t="s">
        <v>243</v>
      </c>
      <c r="K4" s="442"/>
      <c r="M4" s="60"/>
      <c r="N4" s="210"/>
      <c r="O4" s="60"/>
      <c r="P4" s="60"/>
      <c r="Q4" s="209"/>
      <c r="U4" s="458"/>
      <c r="V4" s="438"/>
      <c r="W4" s="212"/>
      <c r="X4" s="212"/>
      <c r="Y4" s="438"/>
      <c r="Z4" s="519"/>
      <c r="AA4" s="451"/>
      <c r="AB4" s="135"/>
    </row>
    <row r="5" spans="1:29" ht="18" customHeight="1">
      <c r="A5" s="134"/>
      <c r="C5" s="542"/>
      <c r="D5" s="134"/>
      <c r="E5" s="223" t="s">
        <v>137</v>
      </c>
      <c r="G5" s="240" t="str">
        <f>Voorblad!$E$24</f>
        <v>1112-10-2019</v>
      </c>
      <c r="H5" s="439"/>
      <c r="J5" s="441">
        <v>0</v>
      </c>
      <c r="K5" s="443" t="s">
        <v>235</v>
      </c>
      <c r="L5" s="154"/>
      <c r="M5" s="60"/>
      <c r="Z5" s="519"/>
      <c r="AA5" s="451"/>
      <c r="AB5" s="135"/>
    </row>
    <row r="6" spans="1:29" ht="18" customHeight="1">
      <c r="A6" s="134"/>
      <c r="C6" s="542"/>
      <c r="D6" s="134"/>
      <c r="E6" s="223" t="s">
        <v>222</v>
      </c>
      <c r="G6" s="536" t="str">
        <f>Voorblad!$E$26</f>
        <v>V1 12-mrt-2020</v>
      </c>
      <c r="H6" s="439"/>
      <c r="J6" s="135"/>
      <c r="K6" s="428"/>
      <c r="L6" s="154"/>
      <c r="M6" s="60"/>
      <c r="Q6" s="908" t="s">
        <v>274</v>
      </c>
      <c r="R6" s="908"/>
      <c r="S6" s="908"/>
      <c r="T6" s="908"/>
      <c r="U6" s="908"/>
      <c r="V6" s="908"/>
      <c r="W6" s="908"/>
      <c r="X6" s="908"/>
      <c r="Y6" s="908"/>
      <c r="Z6" s="519"/>
      <c r="AA6" s="451"/>
      <c r="AB6" s="135"/>
    </row>
    <row r="7" spans="1:29" ht="31" customHeight="1">
      <c r="A7" s="134"/>
      <c r="C7" s="542"/>
      <c r="D7" s="134"/>
      <c r="E7" s="223" t="s">
        <v>99</v>
      </c>
      <c r="G7" s="224" t="str">
        <f>Voorblad!$E$19</f>
        <v>[voer naam in]</v>
      </c>
      <c r="H7" s="242"/>
      <c r="I7" s="150"/>
      <c r="J7" s="135"/>
      <c r="K7" s="428"/>
      <c r="L7" s="154"/>
      <c r="M7" s="60"/>
      <c r="Q7" s="909" t="s">
        <v>275</v>
      </c>
      <c r="R7" s="909"/>
      <c r="Z7" s="519"/>
      <c r="AA7" s="451"/>
      <c r="AB7" s="135"/>
    </row>
    <row r="8" spans="1:29" ht="18" customHeight="1">
      <c r="A8" s="134"/>
      <c r="C8" s="542"/>
      <c r="D8" s="134"/>
      <c r="E8" s="223" t="s">
        <v>6</v>
      </c>
      <c r="G8" s="907">
        <f>Voorblad!$E$22</f>
        <v>44013</v>
      </c>
      <c r="H8" s="907"/>
      <c r="I8" s="150"/>
      <c r="J8" s="135"/>
      <c r="K8" s="428"/>
      <c r="L8" s="154"/>
      <c r="M8" s="60"/>
      <c r="N8" s="210"/>
      <c r="O8" s="60"/>
      <c r="P8" s="60"/>
      <c r="Q8" s="314"/>
      <c r="R8" s="314"/>
      <c r="S8" s="314" t="s">
        <v>204</v>
      </c>
      <c r="T8" s="310" t="s">
        <v>276</v>
      </c>
      <c r="U8" s="311" t="s">
        <v>277</v>
      </c>
      <c r="V8" s="438"/>
      <c r="W8" s="312" t="s">
        <v>278</v>
      </c>
      <c r="X8" s="313" t="s">
        <v>279</v>
      </c>
      <c r="Y8" s="438"/>
      <c r="Z8" s="520"/>
      <c r="AA8" s="451"/>
      <c r="AB8" s="135"/>
    </row>
    <row r="9" spans="1:29" ht="18" customHeight="1">
      <c r="A9" s="134"/>
      <c r="C9" s="542"/>
      <c r="D9" s="134"/>
      <c r="E9" s="223"/>
      <c r="G9" s="535"/>
      <c r="H9" s="535"/>
      <c r="I9" s="150"/>
      <c r="J9" s="135"/>
      <c r="K9" s="428"/>
      <c r="L9" s="154"/>
      <c r="M9" s="60"/>
      <c r="N9" s="210"/>
      <c r="O9" s="60"/>
      <c r="P9" s="60"/>
      <c r="Q9" s="135"/>
      <c r="R9" s="309"/>
      <c r="S9" s="263"/>
      <c r="T9" s="310"/>
      <c r="U9" s="315">
        <f>IF(S9=0,0,$R$9-S9)</f>
        <v>0</v>
      </c>
      <c r="V9" s="438"/>
      <c r="W9" s="316">
        <f>SUMIF(B:B,T9,AB:AB)</f>
        <v>0</v>
      </c>
      <c r="X9" s="317">
        <f>W9/200*U9</f>
        <v>0</v>
      </c>
      <c r="Y9" s="438"/>
      <c r="Z9" s="520"/>
      <c r="AA9" s="451"/>
      <c r="AB9" s="135"/>
    </row>
    <row r="10" spans="1:29" ht="18" customHeight="1">
      <c r="A10" s="134"/>
      <c r="C10" s="542"/>
      <c r="D10" s="134"/>
      <c r="E10" s="223"/>
      <c r="G10" s="535"/>
      <c r="H10" s="535"/>
      <c r="I10" s="150"/>
      <c r="J10" s="135"/>
      <c r="K10" s="428"/>
      <c r="L10" s="154"/>
      <c r="M10" s="60"/>
      <c r="N10" s="210"/>
      <c r="O10" s="60"/>
      <c r="P10" s="60"/>
      <c r="Q10" s="135"/>
      <c r="U10" s="458"/>
      <c r="V10" s="438"/>
      <c r="W10" s="212"/>
      <c r="X10" s="212"/>
      <c r="Y10" s="438"/>
      <c r="AA10" s="58"/>
      <c r="AB10" s="58"/>
      <c r="AC10" s="58"/>
    </row>
    <row r="11" spans="1:29" ht="13">
      <c r="A11" s="134"/>
      <c r="C11" s="542"/>
      <c r="D11" s="134"/>
      <c r="E11" s="436"/>
      <c r="F11" s="209"/>
      <c r="G11" s="210"/>
      <c r="H11" s="437"/>
      <c r="I11" s="211"/>
      <c r="J11" s="135"/>
      <c r="K11" s="428"/>
      <c r="L11" s="154"/>
      <c r="M11" s="60"/>
      <c r="N11" s="210"/>
      <c r="O11" s="60"/>
      <c r="P11" s="60"/>
      <c r="Q11" s="135"/>
      <c r="U11" s="458"/>
      <c r="V11" s="438"/>
      <c r="W11" s="212"/>
      <c r="X11" s="212"/>
      <c r="Y11" s="438"/>
      <c r="Z11" s="437"/>
      <c r="AA11" s="451"/>
      <c r="AB11" s="135"/>
    </row>
    <row r="12" spans="1:29" s="215" customFormat="1" ht="63" customHeight="1">
      <c r="A12" s="537"/>
      <c r="B12" s="262" t="s">
        <v>203</v>
      </c>
      <c r="C12" s="543" t="s">
        <v>204</v>
      </c>
      <c r="D12" s="184" t="s">
        <v>77</v>
      </c>
      <c r="E12" s="184" t="s">
        <v>129</v>
      </c>
      <c r="F12" s="185" t="s">
        <v>26</v>
      </c>
      <c r="G12" s="454" t="s">
        <v>34</v>
      </c>
      <c r="H12" s="184" t="s">
        <v>141</v>
      </c>
      <c r="I12" s="217" t="s">
        <v>59</v>
      </c>
      <c r="J12" s="222" t="s">
        <v>112</v>
      </c>
      <c r="K12" s="455" t="s">
        <v>91</v>
      </c>
      <c r="L12" s="218" t="s">
        <v>55</v>
      </c>
      <c r="M12" s="219" t="s">
        <v>387</v>
      </c>
      <c r="N12" s="219" t="s">
        <v>388</v>
      </c>
      <c r="O12" s="219" t="s">
        <v>389</v>
      </c>
      <c r="P12" s="219" t="s">
        <v>390</v>
      </c>
      <c r="Q12" s="220" t="s">
        <v>25</v>
      </c>
      <c r="R12" s="219" t="s">
        <v>322</v>
      </c>
      <c r="S12" s="219" t="s">
        <v>323</v>
      </c>
      <c r="T12" s="459" t="s">
        <v>383</v>
      </c>
      <c r="U12" s="459" t="s">
        <v>382</v>
      </c>
      <c r="V12" s="220" t="s">
        <v>404</v>
      </c>
      <c r="W12" s="221" t="s">
        <v>384</v>
      </c>
      <c r="X12" s="220" t="s">
        <v>381</v>
      </c>
      <c r="Y12" s="220" t="s">
        <v>403</v>
      </c>
      <c r="Z12" s="184" t="s">
        <v>78</v>
      </c>
      <c r="AA12" s="456" t="s">
        <v>350</v>
      </c>
      <c r="AB12" s="222" t="s">
        <v>385</v>
      </c>
      <c r="AC12" s="222" t="s">
        <v>386</v>
      </c>
    </row>
    <row r="13" spans="1:29" ht="16" customHeight="1">
      <c r="A13" s="134"/>
      <c r="B13" s="470"/>
      <c r="C13" s="263"/>
      <c r="D13" s="264"/>
      <c r="E13" s="265"/>
      <c r="F13" s="266"/>
      <c r="G13" s="463"/>
      <c r="H13" s="268"/>
      <c r="I13" s="268"/>
      <c r="J13" s="266"/>
      <c r="K13" s="538"/>
      <c r="L13" s="465"/>
      <c r="M13" s="466"/>
      <c r="N13" s="267"/>
      <c r="O13" s="467"/>
      <c r="P13" s="467"/>
      <c r="Q13" s="269"/>
      <c r="R13" s="523"/>
      <c r="S13" s="523"/>
      <c r="T13" s="540"/>
      <c r="U13" s="540"/>
      <c r="V13" s="472"/>
      <c r="W13" s="469"/>
      <c r="X13" s="469"/>
      <c r="Y13" s="473"/>
      <c r="Z13" s="270"/>
      <c r="AA13" s="452"/>
      <c r="AB13" s="539"/>
      <c r="AC13" s="271"/>
    </row>
    <row r="14" spans="1:29" ht="16" customHeight="1">
      <c r="A14" s="134"/>
      <c r="B14" s="470"/>
      <c r="C14" s="263"/>
      <c r="D14" s="264"/>
      <c r="E14" s="265"/>
      <c r="F14" s="266"/>
      <c r="G14" s="463"/>
      <c r="H14" s="268"/>
      <c r="I14" s="268"/>
      <c r="J14" s="266"/>
      <c r="K14" s="538"/>
      <c r="L14" s="465"/>
      <c r="M14" s="466"/>
      <c r="N14" s="267"/>
      <c r="O14" s="467"/>
      <c r="P14" s="467"/>
      <c r="Q14" s="269"/>
      <c r="R14" s="523"/>
      <c r="S14" s="523"/>
      <c r="T14" s="540"/>
      <c r="U14" s="540"/>
      <c r="V14" s="472"/>
      <c r="W14" s="469"/>
      <c r="X14" s="469"/>
      <c r="Y14" s="473"/>
      <c r="Z14" s="270"/>
      <c r="AA14" s="452"/>
      <c r="AB14" s="539"/>
      <c r="AC14" s="271"/>
    </row>
    <row r="15" spans="1:29" ht="16" customHeight="1">
      <c r="A15" s="134"/>
      <c r="B15" s="470"/>
      <c r="C15" s="263"/>
      <c r="D15" s="264"/>
      <c r="E15" s="265"/>
      <c r="F15" s="266"/>
      <c r="G15" s="463"/>
      <c r="H15" s="268"/>
      <c r="I15" s="268"/>
      <c r="J15" s="266"/>
      <c r="K15" s="538"/>
      <c r="L15" s="465"/>
      <c r="M15" s="466"/>
      <c r="N15" s="267"/>
      <c r="O15" s="467"/>
      <c r="P15" s="467"/>
      <c r="Q15" s="269"/>
      <c r="R15" s="523"/>
      <c r="S15" s="523"/>
      <c r="T15" s="540"/>
      <c r="U15" s="540"/>
      <c r="V15" s="472"/>
      <c r="W15" s="469"/>
      <c r="X15" s="469"/>
      <c r="Y15" s="473"/>
      <c r="Z15" s="270"/>
      <c r="AA15" s="452"/>
      <c r="AB15" s="539"/>
      <c r="AC15" s="271"/>
    </row>
    <row r="16" spans="1:29" ht="16" customHeight="1">
      <c r="A16" s="134"/>
      <c r="B16" s="470"/>
      <c r="C16" s="263"/>
      <c r="D16" s="264"/>
      <c r="E16" s="265"/>
      <c r="F16" s="266"/>
      <c r="G16" s="463"/>
      <c r="H16" s="268"/>
      <c r="I16" s="268"/>
      <c r="J16" s="266"/>
      <c r="K16" s="538"/>
      <c r="L16" s="465"/>
      <c r="M16" s="466"/>
      <c r="N16" s="267"/>
      <c r="O16" s="467"/>
      <c r="P16" s="467"/>
      <c r="Q16" s="269"/>
      <c r="R16" s="523"/>
      <c r="S16" s="523"/>
      <c r="T16" s="540"/>
      <c r="U16" s="540"/>
      <c r="V16" s="472"/>
      <c r="W16" s="469"/>
      <c r="X16" s="469"/>
      <c r="Y16" s="473"/>
      <c r="Z16" s="270"/>
      <c r="AA16" s="452"/>
      <c r="AB16" s="539"/>
      <c r="AC16" s="271"/>
    </row>
    <row r="17" spans="1:29" ht="16" customHeight="1">
      <c r="A17" s="134"/>
      <c r="B17" s="470"/>
      <c r="C17" s="263"/>
      <c r="D17" s="264"/>
      <c r="E17" s="265"/>
      <c r="F17" s="266"/>
      <c r="G17" s="463"/>
      <c r="H17" s="268"/>
      <c r="I17" s="268"/>
      <c r="J17" s="266"/>
      <c r="K17" s="538"/>
      <c r="L17" s="465"/>
      <c r="M17" s="466"/>
      <c r="N17" s="267"/>
      <c r="O17" s="467"/>
      <c r="P17" s="467"/>
      <c r="Q17" s="269"/>
      <c r="R17" s="523"/>
      <c r="S17" s="523"/>
      <c r="T17" s="540"/>
      <c r="U17" s="540"/>
      <c r="V17" s="472"/>
      <c r="W17" s="469"/>
      <c r="X17" s="469"/>
      <c r="Y17" s="473"/>
      <c r="Z17" s="270"/>
      <c r="AA17" s="452"/>
      <c r="AB17" s="539"/>
      <c r="AC17" s="271"/>
    </row>
    <row r="18" spans="1:29" ht="16" customHeight="1">
      <c r="A18" s="134"/>
      <c r="B18" s="470"/>
      <c r="C18" s="263"/>
      <c r="D18" s="264"/>
      <c r="E18" s="265"/>
      <c r="F18" s="266"/>
      <c r="G18" s="463"/>
      <c r="H18" s="268"/>
      <c r="I18" s="268"/>
      <c r="J18" s="266"/>
      <c r="K18" s="538"/>
      <c r="L18" s="465"/>
      <c r="M18" s="466"/>
      <c r="N18" s="267"/>
      <c r="O18" s="467"/>
      <c r="P18" s="467"/>
      <c r="Q18" s="269"/>
      <c r="R18" s="523"/>
      <c r="S18" s="523"/>
      <c r="T18" s="540"/>
      <c r="U18" s="540"/>
      <c r="V18" s="472"/>
      <c r="W18" s="469"/>
      <c r="X18" s="469"/>
      <c r="Y18" s="473"/>
      <c r="Z18" s="270"/>
      <c r="AA18" s="452"/>
      <c r="AB18" s="539"/>
      <c r="AC18" s="271"/>
    </row>
    <row r="19" spans="1:29" ht="16" customHeight="1">
      <c r="A19" s="134"/>
      <c r="B19" s="470"/>
      <c r="C19" s="263"/>
      <c r="D19" s="264"/>
      <c r="E19" s="265"/>
      <c r="F19" s="266"/>
      <c r="G19" s="463"/>
      <c r="H19" s="268"/>
      <c r="I19" s="268"/>
      <c r="J19" s="266"/>
      <c r="K19" s="538"/>
      <c r="L19" s="465"/>
      <c r="M19" s="466"/>
      <c r="N19" s="267"/>
      <c r="O19" s="467"/>
      <c r="P19" s="467"/>
      <c r="Q19" s="269"/>
      <c r="R19" s="523"/>
      <c r="S19" s="523"/>
      <c r="T19" s="540"/>
      <c r="U19" s="540"/>
      <c r="V19" s="472"/>
      <c r="W19" s="469"/>
      <c r="X19" s="469"/>
      <c r="Y19" s="473"/>
      <c r="Z19" s="270"/>
      <c r="AA19" s="452"/>
      <c r="AB19" s="539"/>
      <c r="AC19" s="271"/>
    </row>
    <row r="20" spans="1:29" ht="16" customHeight="1">
      <c r="A20" s="134"/>
      <c r="B20" s="470"/>
      <c r="C20" s="263"/>
      <c r="D20" s="264"/>
      <c r="E20" s="265"/>
      <c r="F20" s="266"/>
      <c r="G20" s="463"/>
      <c r="H20" s="268"/>
      <c r="I20" s="268"/>
      <c r="J20" s="266"/>
      <c r="K20" s="538"/>
      <c r="L20" s="465"/>
      <c r="M20" s="466"/>
      <c r="N20" s="267"/>
      <c r="O20" s="467"/>
      <c r="P20" s="467"/>
      <c r="Q20" s="269"/>
      <c r="R20" s="523"/>
      <c r="S20" s="523"/>
      <c r="T20" s="540"/>
      <c r="U20" s="540"/>
      <c r="V20" s="472"/>
      <c r="W20" s="469"/>
      <c r="X20" s="469"/>
      <c r="Y20" s="473"/>
      <c r="Z20" s="270"/>
      <c r="AA20" s="452"/>
      <c r="AB20" s="539"/>
      <c r="AC20" s="271"/>
    </row>
    <row r="21" spans="1:29" ht="16" customHeight="1">
      <c r="A21" s="134"/>
      <c r="B21" s="470"/>
      <c r="C21" s="263"/>
      <c r="D21" s="264"/>
      <c r="E21" s="265"/>
      <c r="F21" s="266"/>
      <c r="G21" s="463"/>
      <c r="H21" s="268"/>
      <c r="I21" s="268"/>
      <c r="J21" s="266"/>
      <c r="K21" s="538"/>
      <c r="L21" s="465"/>
      <c r="M21" s="466"/>
      <c r="N21" s="267"/>
      <c r="O21" s="467"/>
      <c r="P21" s="467"/>
      <c r="Q21" s="269"/>
      <c r="R21" s="523"/>
      <c r="S21" s="523"/>
      <c r="T21" s="540"/>
      <c r="U21" s="540"/>
      <c r="V21" s="472"/>
      <c r="W21" s="469"/>
      <c r="X21" s="469"/>
      <c r="Y21" s="473"/>
      <c r="Z21" s="270"/>
      <c r="AA21" s="452"/>
      <c r="AB21" s="539"/>
      <c r="AC21" s="271"/>
    </row>
    <row r="22" spans="1:29" ht="16" customHeight="1">
      <c r="A22" s="134"/>
      <c r="B22" s="470"/>
      <c r="C22" s="263"/>
      <c r="D22" s="264"/>
      <c r="E22" s="265"/>
      <c r="F22" s="266"/>
      <c r="G22" s="463"/>
      <c r="H22" s="268"/>
      <c r="I22" s="268"/>
      <c r="J22" s="266"/>
      <c r="K22" s="538"/>
      <c r="L22" s="465"/>
      <c r="M22" s="466"/>
      <c r="N22" s="267"/>
      <c r="O22" s="467"/>
      <c r="P22" s="467"/>
      <c r="Q22" s="269"/>
      <c r="R22" s="523"/>
      <c r="S22" s="523"/>
      <c r="T22" s="540"/>
      <c r="U22" s="540"/>
      <c r="V22" s="472"/>
      <c r="W22" s="469"/>
      <c r="X22" s="469"/>
      <c r="Y22" s="473"/>
      <c r="Z22" s="270"/>
      <c r="AA22" s="452"/>
      <c r="AB22" s="539"/>
      <c r="AC22" s="271"/>
    </row>
    <row r="23" spans="1:29" ht="16" customHeight="1">
      <c r="A23" s="134"/>
      <c r="B23" s="470"/>
      <c r="C23" s="263"/>
      <c r="D23" s="264"/>
      <c r="E23" s="265"/>
      <c r="F23" s="266"/>
      <c r="G23" s="463"/>
      <c r="H23" s="268"/>
      <c r="I23" s="268"/>
      <c r="J23" s="266"/>
      <c r="K23" s="538"/>
      <c r="L23" s="465"/>
      <c r="M23" s="466"/>
      <c r="N23" s="267"/>
      <c r="O23" s="467"/>
      <c r="P23" s="467"/>
      <c r="Q23" s="269"/>
      <c r="R23" s="523"/>
      <c r="S23" s="523"/>
      <c r="T23" s="540"/>
      <c r="U23" s="540"/>
      <c r="V23" s="472"/>
      <c r="W23" s="469"/>
      <c r="X23" s="469"/>
      <c r="Y23" s="473"/>
      <c r="Z23" s="270"/>
      <c r="AA23" s="452"/>
      <c r="AB23" s="539"/>
      <c r="AC23" s="271"/>
    </row>
    <row r="24" spans="1:29" ht="16" customHeight="1">
      <c r="A24" s="134"/>
      <c r="B24" s="470"/>
      <c r="C24" s="263"/>
      <c r="D24" s="264"/>
      <c r="E24" s="265"/>
      <c r="F24" s="266"/>
      <c r="G24" s="463"/>
      <c r="H24" s="268"/>
      <c r="I24" s="268"/>
      <c r="J24" s="266"/>
      <c r="K24" s="538"/>
      <c r="L24" s="465"/>
      <c r="M24" s="466"/>
      <c r="N24" s="267"/>
      <c r="O24" s="467"/>
      <c r="P24" s="467"/>
      <c r="Q24" s="269"/>
      <c r="R24" s="523"/>
      <c r="S24" s="523"/>
      <c r="T24" s="540"/>
      <c r="U24" s="540"/>
      <c r="V24" s="472"/>
      <c r="W24" s="469"/>
      <c r="X24" s="469"/>
      <c r="Y24" s="473"/>
      <c r="Z24" s="270"/>
      <c r="AA24" s="452"/>
      <c r="AB24" s="539"/>
      <c r="AC24" s="271"/>
    </row>
    <row r="25" spans="1:29" ht="16" customHeight="1">
      <c r="A25" s="134"/>
      <c r="B25" s="470"/>
      <c r="C25" s="263"/>
      <c r="D25" s="264"/>
      <c r="E25" s="265"/>
      <c r="F25" s="266"/>
      <c r="G25" s="463"/>
      <c r="H25" s="268"/>
      <c r="I25" s="268"/>
      <c r="J25" s="266"/>
      <c r="K25" s="538"/>
      <c r="L25" s="465"/>
      <c r="M25" s="466"/>
      <c r="N25" s="267"/>
      <c r="O25" s="467"/>
      <c r="P25" s="467"/>
      <c r="Q25" s="269"/>
      <c r="R25" s="523"/>
      <c r="S25" s="523"/>
      <c r="T25" s="540"/>
      <c r="U25" s="540"/>
      <c r="V25" s="472"/>
      <c r="W25" s="469"/>
      <c r="X25" s="469"/>
      <c r="Y25" s="473"/>
      <c r="Z25" s="270"/>
      <c r="AA25" s="452"/>
      <c r="AB25" s="539"/>
      <c r="AC25" s="271"/>
    </row>
    <row r="26" spans="1:29" ht="16" customHeight="1">
      <c r="A26" s="134"/>
      <c r="B26" s="470"/>
      <c r="C26" s="263"/>
      <c r="D26" s="264"/>
      <c r="E26" s="265"/>
      <c r="F26" s="266"/>
      <c r="G26" s="463"/>
      <c r="H26" s="268"/>
      <c r="I26" s="268"/>
      <c r="J26" s="266"/>
      <c r="K26" s="538"/>
      <c r="L26" s="465"/>
      <c r="M26" s="466"/>
      <c r="N26" s="267"/>
      <c r="O26" s="467"/>
      <c r="P26" s="467"/>
      <c r="Q26" s="269"/>
      <c r="R26" s="523"/>
      <c r="S26" s="523"/>
      <c r="T26" s="540"/>
      <c r="U26" s="540"/>
      <c r="V26" s="472"/>
      <c r="W26" s="469"/>
      <c r="X26" s="469"/>
      <c r="Y26" s="473"/>
      <c r="Z26" s="270"/>
      <c r="AA26" s="452"/>
      <c r="AB26" s="539"/>
      <c r="AC26" s="271"/>
    </row>
    <row r="27" spans="1:29" ht="16" customHeight="1">
      <c r="A27" s="134"/>
      <c r="B27" s="470"/>
      <c r="C27" s="263"/>
      <c r="D27" s="264"/>
      <c r="E27" s="265"/>
      <c r="F27" s="266"/>
      <c r="G27" s="463"/>
      <c r="H27" s="268"/>
      <c r="I27" s="268"/>
      <c r="J27" s="266"/>
      <c r="K27" s="538"/>
      <c r="L27" s="465"/>
      <c r="M27" s="466"/>
      <c r="N27" s="267"/>
      <c r="O27" s="467"/>
      <c r="P27" s="467"/>
      <c r="Q27" s="269"/>
      <c r="R27" s="523"/>
      <c r="S27" s="523"/>
      <c r="T27" s="540"/>
      <c r="U27" s="540"/>
      <c r="V27" s="472"/>
      <c r="W27" s="469"/>
      <c r="X27" s="469"/>
      <c r="Y27" s="473"/>
      <c r="Z27" s="270"/>
      <c r="AA27" s="452"/>
      <c r="AB27" s="539"/>
      <c r="AC27" s="271"/>
    </row>
    <row r="28" spans="1:29" ht="16" customHeight="1">
      <c r="A28" s="134"/>
      <c r="B28" s="470"/>
      <c r="C28" s="263"/>
      <c r="D28" s="264"/>
      <c r="E28" s="265"/>
      <c r="F28" s="266"/>
      <c r="G28" s="463"/>
      <c r="H28" s="268"/>
      <c r="I28" s="268"/>
      <c r="J28" s="266"/>
      <c r="K28" s="538"/>
      <c r="L28" s="465"/>
      <c r="M28" s="466"/>
      <c r="N28" s="267"/>
      <c r="O28" s="467"/>
      <c r="P28" s="467"/>
      <c r="Q28" s="269"/>
      <c r="R28" s="523"/>
      <c r="S28" s="523"/>
      <c r="T28" s="540"/>
      <c r="U28" s="540"/>
      <c r="V28" s="472"/>
      <c r="W28" s="469"/>
      <c r="X28" s="469"/>
      <c r="Y28" s="473"/>
      <c r="Z28" s="270"/>
      <c r="AA28" s="452"/>
      <c r="AB28" s="539"/>
      <c r="AC28" s="271"/>
    </row>
    <row r="29" spans="1:29" ht="16" customHeight="1">
      <c r="A29" s="134"/>
      <c r="B29" s="470"/>
      <c r="C29" s="263"/>
      <c r="D29" s="264"/>
      <c r="E29" s="265"/>
      <c r="F29" s="266"/>
      <c r="G29" s="463"/>
      <c r="H29" s="268"/>
      <c r="I29" s="268"/>
      <c r="J29" s="266"/>
      <c r="K29" s="538"/>
      <c r="L29" s="465"/>
      <c r="M29" s="466"/>
      <c r="N29" s="267"/>
      <c r="O29" s="467"/>
      <c r="P29" s="467"/>
      <c r="Q29" s="269"/>
      <c r="R29" s="523"/>
      <c r="S29" s="523"/>
      <c r="T29" s="540"/>
      <c r="U29" s="540"/>
      <c r="V29" s="472"/>
      <c r="W29" s="469"/>
      <c r="X29" s="469"/>
      <c r="Y29" s="473"/>
      <c r="Z29" s="270"/>
      <c r="AA29" s="452"/>
      <c r="AB29" s="539"/>
      <c r="AC29" s="271"/>
    </row>
    <row r="30" spans="1:29" ht="16" customHeight="1">
      <c r="A30" s="134"/>
      <c r="B30" s="470"/>
      <c r="C30" s="263"/>
      <c r="D30" s="264"/>
      <c r="E30" s="265"/>
      <c r="F30" s="266"/>
      <c r="G30" s="463"/>
      <c r="H30" s="268"/>
      <c r="I30" s="268"/>
      <c r="J30" s="266"/>
      <c r="K30" s="538"/>
      <c r="L30" s="465"/>
      <c r="M30" s="466"/>
      <c r="N30" s="267"/>
      <c r="O30" s="467"/>
      <c r="P30" s="467"/>
      <c r="Q30" s="269"/>
      <c r="R30" s="523"/>
      <c r="S30" s="523"/>
      <c r="T30" s="540"/>
      <c r="U30" s="540"/>
      <c r="V30" s="472"/>
      <c r="W30" s="469"/>
      <c r="X30" s="469"/>
      <c r="Y30" s="473"/>
      <c r="Z30" s="270"/>
      <c r="AA30" s="452"/>
      <c r="AB30" s="539"/>
      <c r="AC30" s="271"/>
    </row>
    <row r="31" spans="1:29" ht="16" customHeight="1">
      <c r="A31" s="134"/>
      <c r="B31" s="470"/>
      <c r="C31" s="263"/>
      <c r="D31" s="264"/>
      <c r="E31" s="265"/>
      <c r="F31" s="266"/>
      <c r="G31" s="463"/>
      <c r="H31" s="268"/>
      <c r="I31" s="268"/>
      <c r="J31" s="266"/>
      <c r="K31" s="538"/>
      <c r="L31" s="465"/>
      <c r="M31" s="466"/>
      <c r="N31" s="267"/>
      <c r="O31" s="467"/>
      <c r="P31" s="467"/>
      <c r="Q31" s="269"/>
      <c r="R31" s="523"/>
      <c r="S31" s="523"/>
      <c r="T31" s="540"/>
      <c r="U31" s="540"/>
      <c r="V31" s="472"/>
      <c r="W31" s="469"/>
      <c r="X31" s="469"/>
      <c r="Y31" s="473"/>
      <c r="Z31" s="270"/>
      <c r="AA31" s="452"/>
      <c r="AB31" s="539"/>
      <c r="AC31" s="271"/>
    </row>
    <row r="32" spans="1:29" ht="16" customHeight="1">
      <c r="A32" s="134"/>
      <c r="B32" s="470"/>
      <c r="C32" s="263"/>
      <c r="D32" s="264"/>
      <c r="E32" s="265"/>
      <c r="F32" s="266"/>
      <c r="G32" s="463"/>
      <c r="H32" s="268"/>
      <c r="I32" s="268"/>
      <c r="J32" s="266"/>
      <c r="K32" s="464"/>
      <c r="L32" s="465"/>
      <c r="M32" s="466"/>
      <c r="N32" s="267"/>
      <c r="O32" s="467"/>
      <c r="P32" s="467"/>
      <c r="Q32" s="269"/>
      <c r="R32" s="523"/>
      <c r="S32" s="523"/>
      <c r="T32" s="468"/>
      <c r="U32" s="468"/>
      <c r="V32" s="472"/>
      <c r="W32" s="469"/>
      <c r="X32" s="469"/>
      <c r="Y32" s="473"/>
      <c r="Z32" s="270"/>
      <c r="AA32" s="452"/>
      <c r="AB32" s="271"/>
      <c r="AC32" s="271"/>
    </row>
    <row r="33" spans="1:29" ht="16" customHeight="1">
      <c r="A33" s="134"/>
      <c r="B33" s="470"/>
      <c r="C33" s="263"/>
      <c r="D33" s="264"/>
      <c r="E33" s="265"/>
      <c r="F33" s="266"/>
      <c r="G33" s="463"/>
      <c r="H33" s="268"/>
      <c r="I33" s="268"/>
      <c r="J33" s="266"/>
      <c r="K33" s="464"/>
      <c r="L33" s="465"/>
      <c r="M33" s="466"/>
      <c r="N33" s="269"/>
      <c r="O33" s="467"/>
      <c r="P33" s="467"/>
      <c r="Q33" s="269"/>
      <c r="R33" s="523"/>
      <c r="S33" s="523"/>
      <c r="T33" s="468"/>
      <c r="U33" s="468"/>
      <c r="V33" s="472"/>
      <c r="W33" s="469"/>
      <c r="X33" s="469"/>
      <c r="Y33" s="473"/>
      <c r="Z33" s="270"/>
      <c r="AA33" s="452"/>
      <c r="AB33" s="271"/>
      <c r="AC33" s="271"/>
    </row>
    <row r="34" spans="1:29" ht="16" customHeight="1">
      <c r="A34" s="134"/>
      <c r="B34" s="470"/>
      <c r="C34" s="263"/>
      <c r="D34" s="264"/>
      <c r="E34" s="265"/>
      <c r="F34" s="266"/>
      <c r="G34" s="463"/>
      <c r="H34" s="268"/>
      <c r="I34" s="268"/>
      <c r="J34" s="266"/>
      <c r="K34" s="464"/>
      <c r="L34" s="465"/>
      <c r="M34" s="466"/>
      <c r="N34" s="269"/>
      <c r="O34" s="467"/>
      <c r="P34" s="467"/>
      <c r="Q34" s="269"/>
      <c r="R34" s="523"/>
      <c r="S34" s="523"/>
      <c r="T34" s="468"/>
      <c r="U34" s="468"/>
      <c r="V34" s="472"/>
      <c r="W34" s="469"/>
      <c r="X34" s="469"/>
      <c r="Y34" s="473"/>
      <c r="Z34" s="270"/>
      <c r="AA34" s="452"/>
      <c r="AB34" s="271"/>
      <c r="AC34" s="271"/>
    </row>
    <row r="35" spans="1:29" ht="16" customHeight="1">
      <c r="A35" s="134"/>
      <c r="B35" s="470"/>
      <c r="C35" s="263"/>
      <c r="D35" s="264"/>
      <c r="E35" s="265"/>
      <c r="F35" s="266"/>
      <c r="G35" s="463"/>
      <c r="H35" s="268"/>
      <c r="I35" s="268"/>
      <c r="J35" s="266"/>
      <c r="K35" s="464"/>
      <c r="L35" s="465"/>
      <c r="M35" s="466"/>
      <c r="N35" s="269"/>
      <c r="O35" s="467"/>
      <c r="P35" s="467"/>
      <c r="Q35" s="269"/>
      <c r="R35" s="523"/>
      <c r="S35" s="523"/>
      <c r="T35" s="468"/>
      <c r="U35" s="468"/>
      <c r="V35" s="469"/>
      <c r="W35" s="469"/>
      <c r="X35" s="469"/>
      <c r="Y35" s="452"/>
      <c r="Z35" s="270"/>
      <c r="AA35" s="452"/>
      <c r="AB35" s="271"/>
      <c r="AC35" s="271"/>
    </row>
    <row r="36" spans="1:29" ht="16" customHeight="1">
      <c r="A36" s="134"/>
      <c r="B36" s="470"/>
      <c r="C36" s="263"/>
      <c r="D36" s="264"/>
      <c r="E36" s="265"/>
      <c r="F36" s="266"/>
      <c r="G36" s="463"/>
      <c r="H36" s="268"/>
      <c r="I36" s="268"/>
      <c r="J36" s="266"/>
      <c r="K36" s="464"/>
      <c r="L36" s="464"/>
      <c r="M36" s="466"/>
      <c r="N36" s="269"/>
      <c r="O36" s="467"/>
      <c r="P36" s="467"/>
      <c r="Q36" s="269"/>
      <c r="R36" s="523"/>
      <c r="S36" s="523"/>
      <c r="T36" s="468"/>
      <c r="U36" s="468"/>
      <c r="V36" s="472"/>
      <c r="W36" s="469"/>
      <c r="X36" s="469"/>
      <c r="Y36" s="473"/>
      <c r="Z36" s="270"/>
      <c r="AA36" s="452"/>
      <c r="AB36" s="271"/>
      <c r="AC36" s="271"/>
    </row>
    <row r="37" spans="1:29" ht="16" customHeight="1">
      <c r="A37" s="134"/>
      <c r="B37" s="470"/>
      <c r="C37" s="263"/>
      <c r="D37" s="264"/>
      <c r="E37" s="265"/>
      <c r="F37" s="266"/>
      <c r="G37" s="463"/>
      <c r="H37" s="268"/>
      <c r="I37" s="268"/>
      <c r="J37" s="266"/>
      <c r="K37" s="464"/>
      <c r="L37" s="465"/>
      <c r="M37" s="466"/>
      <c r="N37" s="269"/>
      <c r="O37" s="467"/>
      <c r="P37" s="467"/>
      <c r="Q37" s="269"/>
      <c r="R37" s="523"/>
      <c r="S37" s="523"/>
      <c r="T37" s="468"/>
      <c r="U37" s="468"/>
      <c r="V37" s="472"/>
      <c r="W37" s="469"/>
      <c r="X37" s="469"/>
      <c r="Y37" s="473"/>
      <c r="Z37" s="270"/>
      <c r="AA37" s="452"/>
      <c r="AB37" s="271"/>
      <c r="AC37" s="271"/>
    </row>
    <row r="38" spans="1:29" ht="16" customHeight="1">
      <c r="A38" s="134"/>
      <c r="B38" s="470"/>
      <c r="C38" s="263"/>
      <c r="D38" s="264"/>
      <c r="E38" s="265"/>
      <c r="F38" s="266"/>
      <c r="G38" s="463"/>
      <c r="H38" s="541"/>
      <c r="I38" s="268"/>
      <c r="J38" s="266"/>
      <c r="K38" s="464"/>
      <c r="L38" s="465"/>
      <c r="M38" s="466"/>
      <c r="N38" s="269"/>
      <c r="O38" s="467"/>
      <c r="P38" s="467"/>
      <c r="Q38" s="269"/>
      <c r="R38" s="523"/>
      <c r="S38" s="523"/>
      <c r="T38" s="468"/>
      <c r="U38" s="468"/>
      <c r="V38" s="472"/>
      <c r="W38" s="469"/>
      <c r="X38" s="469"/>
      <c r="Y38" s="473"/>
      <c r="Z38" s="270"/>
      <c r="AA38" s="452"/>
      <c r="AB38" s="271"/>
      <c r="AC38" s="271"/>
    </row>
    <row r="39" spans="1:29" ht="16" customHeight="1">
      <c r="A39" s="134"/>
      <c r="B39" s="470"/>
      <c r="C39" s="263"/>
      <c r="D39" s="264"/>
      <c r="E39" s="265"/>
      <c r="F39" s="266"/>
      <c r="G39" s="463"/>
      <c r="H39" s="268"/>
      <c r="I39" s="268"/>
      <c r="J39" s="266"/>
      <c r="K39" s="464"/>
      <c r="L39" s="465"/>
      <c r="M39" s="466"/>
      <c r="N39" s="269"/>
      <c r="O39" s="467"/>
      <c r="P39" s="467"/>
      <c r="Q39" s="269"/>
      <c r="R39" s="523"/>
      <c r="S39" s="523"/>
      <c r="T39" s="468"/>
      <c r="U39" s="468"/>
      <c r="V39" s="472"/>
      <c r="W39" s="469"/>
      <c r="X39" s="469"/>
      <c r="Y39" s="473"/>
      <c r="Z39" s="270"/>
      <c r="AA39" s="452"/>
      <c r="AB39" s="271"/>
      <c r="AC39" s="271"/>
    </row>
    <row r="40" spans="1:29" ht="16" customHeight="1">
      <c r="A40" s="134"/>
      <c r="B40" s="470"/>
      <c r="C40" s="263"/>
      <c r="D40" s="264"/>
      <c r="E40" s="265"/>
      <c r="F40" s="266"/>
      <c r="G40" s="463"/>
      <c r="H40" s="268"/>
      <c r="I40" s="268"/>
      <c r="J40" s="266"/>
      <c r="K40" s="464"/>
      <c r="L40" s="465"/>
      <c r="M40" s="466"/>
      <c r="N40" s="269"/>
      <c r="O40" s="467"/>
      <c r="P40" s="467"/>
      <c r="Q40" s="269"/>
      <c r="R40" s="523"/>
      <c r="S40" s="523"/>
      <c r="T40" s="468"/>
      <c r="U40" s="468"/>
      <c r="V40" s="472"/>
      <c r="W40" s="469"/>
      <c r="X40" s="469"/>
      <c r="Y40" s="473"/>
      <c r="Z40" s="270"/>
      <c r="AA40" s="452"/>
      <c r="AB40" s="271"/>
      <c r="AC40" s="271"/>
    </row>
    <row r="41" spans="1:29" ht="16" customHeight="1">
      <c r="A41" s="134"/>
      <c r="B41" s="470"/>
      <c r="C41" s="263"/>
      <c r="D41" s="264"/>
      <c r="E41" s="265"/>
      <c r="F41" s="266"/>
      <c r="G41" s="463"/>
      <c r="H41" s="268"/>
      <c r="I41" s="268"/>
      <c r="J41" s="266"/>
      <c r="K41" s="464"/>
      <c r="L41" s="465"/>
      <c r="M41" s="466"/>
      <c r="N41" s="269"/>
      <c r="O41" s="467"/>
      <c r="P41" s="467"/>
      <c r="Q41" s="269"/>
      <c r="R41" s="523"/>
      <c r="S41" s="523"/>
      <c r="T41" s="468"/>
      <c r="U41" s="468"/>
      <c r="V41" s="472"/>
      <c r="W41" s="469"/>
      <c r="X41" s="469"/>
      <c r="Y41" s="473"/>
      <c r="Z41" s="270"/>
      <c r="AA41" s="452"/>
      <c r="AB41" s="271"/>
      <c r="AC41" s="271"/>
    </row>
    <row r="42" spans="1:29" ht="16" customHeight="1">
      <c r="A42" s="134"/>
      <c r="B42" s="470"/>
      <c r="C42" s="263"/>
      <c r="D42" s="264"/>
      <c r="E42" s="265"/>
      <c r="F42" s="266"/>
      <c r="G42" s="463"/>
      <c r="H42" s="268"/>
      <c r="I42" s="268"/>
      <c r="J42" s="266"/>
      <c r="K42" s="464"/>
      <c r="L42" s="465"/>
      <c r="M42" s="466"/>
      <c r="N42" s="269"/>
      <c r="O42" s="467"/>
      <c r="P42" s="467"/>
      <c r="Q42" s="269"/>
      <c r="R42" s="523"/>
      <c r="S42" s="523"/>
      <c r="T42" s="468"/>
      <c r="U42" s="468"/>
      <c r="V42" s="472"/>
      <c r="W42" s="469"/>
      <c r="X42" s="469"/>
      <c r="Y42" s="473"/>
      <c r="Z42" s="270"/>
      <c r="AA42" s="452"/>
      <c r="AB42" s="271"/>
      <c r="AC42" s="271"/>
    </row>
    <row r="43" spans="1:29" ht="16" customHeight="1">
      <c r="A43" s="134"/>
      <c r="B43" s="470"/>
      <c r="C43" s="263"/>
      <c r="D43" s="264"/>
      <c r="E43" s="265"/>
      <c r="F43" s="266"/>
      <c r="G43" s="463"/>
      <c r="H43" s="268"/>
      <c r="I43" s="268"/>
      <c r="J43" s="266"/>
      <c r="K43" s="464"/>
      <c r="L43" s="465"/>
      <c r="M43" s="466"/>
      <c r="N43" s="269"/>
      <c r="O43" s="467"/>
      <c r="P43" s="467"/>
      <c r="Q43" s="269"/>
      <c r="R43" s="523"/>
      <c r="S43" s="523"/>
      <c r="T43" s="468"/>
      <c r="U43" s="468"/>
      <c r="V43" s="472"/>
      <c r="W43" s="469"/>
      <c r="X43" s="469"/>
      <c r="Y43" s="473"/>
      <c r="Z43" s="270"/>
      <c r="AA43" s="452"/>
      <c r="AB43" s="271"/>
      <c r="AC43" s="271"/>
    </row>
    <row r="44" spans="1:29" ht="16" customHeight="1">
      <c r="A44" s="134"/>
      <c r="B44" s="470"/>
      <c r="C44" s="263"/>
      <c r="D44" s="264"/>
      <c r="E44" s="265"/>
      <c r="F44" s="266"/>
      <c r="G44" s="463"/>
      <c r="H44" s="268"/>
      <c r="I44" s="268"/>
      <c r="J44" s="266"/>
      <c r="K44" s="464"/>
      <c r="L44" s="465"/>
      <c r="M44" s="466"/>
      <c r="N44" s="269"/>
      <c r="O44" s="467"/>
      <c r="P44" s="467"/>
      <c r="Q44" s="269"/>
      <c r="R44" s="523"/>
      <c r="S44" s="523"/>
      <c r="T44" s="468"/>
      <c r="U44" s="468"/>
      <c r="V44" s="472"/>
      <c r="W44" s="469"/>
      <c r="X44" s="469"/>
      <c r="Y44" s="473"/>
      <c r="Z44" s="270"/>
      <c r="AA44" s="452"/>
      <c r="AB44" s="271"/>
      <c r="AC44" s="271"/>
    </row>
    <row r="45" spans="1:29" ht="16" customHeight="1">
      <c r="A45" s="134"/>
      <c r="B45" s="470"/>
      <c r="C45" s="263"/>
      <c r="D45" s="264"/>
      <c r="E45" s="265"/>
      <c r="F45" s="266"/>
      <c r="G45" s="463"/>
      <c r="H45" s="268"/>
      <c r="I45" s="268"/>
      <c r="J45" s="266"/>
      <c r="K45" s="464"/>
      <c r="L45" s="465"/>
      <c r="M45" s="466"/>
      <c r="N45" s="269"/>
      <c r="O45" s="467"/>
      <c r="P45" s="467"/>
      <c r="Q45" s="269"/>
      <c r="R45" s="523"/>
      <c r="S45" s="523"/>
      <c r="T45" s="468"/>
      <c r="U45" s="468"/>
      <c r="V45" s="472"/>
      <c r="W45" s="469"/>
      <c r="X45" s="469"/>
      <c r="Y45" s="473"/>
      <c r="Z45" s="270"/>
      <c r="AA45" s="452"/>
      <c r="AB45" s="271"/>
      <c r="AC45" s="271"/>
    </row>
    <row r="46" spans="1:29" ht="16" customHeight="1">
      <c r="A46" s="134"/>
      <c r="B46" s="470"/>
      <c r="C46" s="263"/>
      <c r="D46" s="264"/>
      <c r="E46" s="265"/>
      <c r="F46" s="266"/>
      <c r="G46" s="463"/>
      <c r="H46" s="268"/>
      <c r="I46" s="268"/>
      <c r="J46" s="266"/>
      <c r="K46" s="464"/>
      <c r="L46" s="465"/>
      <c r="M46" s="466"/>
      <c r="N46" s="269"/>
      <c r="O46" s="467"/>
      <c r="P46" s="467"/>
      <c r="Q46" s="269"/>
      <c r="R46" s="523"/>
      <c r="S46" s="523"/>
      <c r="T46" s="468"/>
      <c r="U46" s="468"/>
      <c r="V46" s="472"/>
      <c r="W46" s="469"/>
      <c r="X46" s="469"/>
      <c r="Y46" s="473"/>
      <c r="Z46" s="270"/>
      <c r="AA46" s="452"/>
      <c r="AB46" s="271"/>
      <c r="AC46" s="271"/>
    </row>
    <row r="47" spans="1:29" ht="16" customHeight="1">
      <c r="A47" s="134"/>
      <c r="B47" s="470"/>
      <c r="C47" s="263"/>
      <c r="D47" s="264"/>
      <c r="E47" s="265"/>
      <c r="F47" s="266"/>
      <c r="G47" s="463"/>
      <c r="H47" s="268"/>
      <c r="I47" s="268"/>
      <c r="J47" s="266"/>
      <c r="K47" s="464"/>
      <c r="L47" s="465"/>
      <c r="M47" s="466"/>
      <c r="N47" s="269"/>
      <c r="O47" s="467"/>
      <c r="P47" s="467"/>
      <c r="Q47" s="269"/>
      <c r="R47" s="523"/>
      <c r="S47" s="523"/>
      <c r="T47" s="468"/>
      <c r="U47" s="468"/>
      <c r="V47" s="472"/>
      <c r="W47" s="469"/>
      <c r="X47" s="469"/>
      <c r="Y47" s="473"/>
      <c r="Z47" s="270"/>
      <c r="AA47" s="452"/>
      <c r="AB47" s="271"/>
      <c r="AC47" s="271"/>
    </row>
    <row r="48" spans="1:29" ht="16" customHeight="1">
      <c r="A48" s="134"/>
      <c r="B48" s="470"/>
      <c r="C48" s="263"/>
      <c r="D48" s="264"/>
      <c r="E48" s="265"/>
      <c r="F48" s="266"/>
      <c r="G48" s="463"/>
      <c r="H48" s="268"/>
      <c r="I48" s="268"/>
      <c r="J48" s="266"/>
      <c r="K48" s="464"/>
      <c r="L48" s="465"/>
      <c r="M48" s="466"/>
      <c r="N48" s="269"/>
      <c r="O48" s="467"/>
      <c r="P48" s="467"/>
      <c r="Q48" s="269"/>
      <c r="R48" s="523"/>
      <c r="S48" s="523"/>
      <c r="T48" s="468"/>
      <c r="U48" s="468"/>
      <c r="V48" s="472"/>
      <c r="W48" s="469"/>
      <c r="X48" s="469"/>
      <c r="Y48" s="473"/>
      <c r="Z48" s="270"/>
      <c r="AA48" s="452"/>
      <c r="AB48" s="271"/>
      <c r="AC48" s="271"/>
    </row>
    <row r="49" spans="1:29" ht="16" customHeight="1">
      <c r="A49" s="134"/>
      <c r="B49" s="470"/>
      <c r="C49" s="263"/>
      <c r="D49" s="264"/>
      <c r="E49" s="265"/>
      <c r="F49" s="266"/>
      <c r="G49" s="463"/>
      <c r="H49" s="268"/>
      <c r="I49" s="268"/>
      <c r="J49" s="266"/>
      <c r="K49" s="464"/>
      <c r="L49" s="465"/>
      <c r="M49" s="466"/>
      <c r="N49" s="269"/>
      <c r="O49" s="467"/>
      <c r="P49" s="467"/>
      <c r="Q49" s="269"/>
      <c r="R49" s="523"/>
      <c r="S49" s="523"/>
      <c r="T49" s="468"/>
      <c r="U49" s="468"/>
      <c r="V49" s="472"/>
      <c r="W49" s="469"/>
      <c r="X49" s="469"/>
      <c r="Y49" s="473"/>
      <c r="Z49" s="270"/>
      <c r="AA49" s="452"/>
      <c r="AB49" s="271"/>
      <c r="AC49" s="271"/>
    </row>
    <row r="50" spans="1:29" ht="16" customHeight="1">
      <c r="A50" s="134"/>
      <c r="B50" s="470"/>
      <c r="C50" s="263"/>
      <c r="D50" s="264"/>
      <c r="E50" s="265"/>
      <c r="F50" s="266"/>
      <c r="G50" s="463"/>
      <c r="H50" s="268"/>
      <c r="I50" s="268"/>
      <c r="J50" s="266"/>
      <c r="K50" s="464"/>
      <c r="L50" s="465"/>
      <c r="M50" s="466"/>
      <c r="N50" s="269"/>
      <c r="O50" s="467"/>
      <c r="P50" s="467"/>
      <c r="Q50" s="269"/>
      <c r="R50" s="523"/>
      <c r="S50" s="523"/>
      <c r="T50" s="468"/>
      <c r="U50" s="468"/>
      <c r="V50" s="472"/>
      <c r="W50" s="469"/>
      <c r="X50" s="469"/>
      <c r="Y50" s="473"/>
      <c r="Z50" s="270"/>
      <c r="AA50" s="452"/>
      <c r="AB50" s="271"/>
      <c r="AC50" s="271"/>
    </row>
    <row r="51" spans="1:29" ht="16" customHeight="1">
      <c r="A51" s="134"/>
      <c r="B51" s="470"/>
      <c r="C51" s="263"/>
      <c r="D51" s="264"/>
      <c r="E51" s="265"/>
      <c r="F51" s="266"/>
      <c r="G51" s="463"/>
      <c r="H51" s="268"/>
      <c r="I51" s="268"/>
      <c r="J51" s="266"/>
      <c r="K51" s="464"/>
      <c r="L51" s="465"/>
      <c r="M51" s="466"/>
      <c r="N51" s="269"/>
      <c r="O51" s="467"/>
      <c r="P51" s="467"/>
      <c r="Q51" s="269"/>
      <c r="R51" s="523"/>
      <c r="S51" s="523"/>
      <c r="T51" s="468"/>
      <c r="U51" s="468"/>
      <c r="V51" s="472"/>
      <c r="W51" s="469"/>
      <c r="X51" s="469"/>
      <c r="Y51" s="473"/>
      <c r="Z51" s="270"/>
      <c r="AA51" s="452"/>
      <c r="AB51" s="271"/>
      <c r="AC51" s="271"/>
    </row>
    <row r="52" spans="1:29" ht="16" customHeight="1">
      <c r="A52" s="134"/>
      <c r="B52" s="470"/>
      <c r="C52" s="263"/>
      <c r="D52" s="264"/>
      <c r="E52" s="265"/>
      <c r="F52" s="266"/>
      <c r="G52" s="463"/>
      <c r="H52" s="268"/>
      <c r="I52" s="268"/>
      <c r="J52" s="266"/>
      <c r="K52" s="464"/>
      <c r="L52" s="465"/>
      <c r="M52" s="466"/>
      <c r="N52" s="269"/>
      <c r="O52" s="467"/>
      <c r="P52" s="467"/>
      <c r="Q52" s="269"/>
      <c r="R52" s="523"/>
      <c r="S52" s="523"/>
      <c r="T52" s="468"/>
      <c r="U52" s="468"/>
      <c r="V52" s="472"/>
      <c r="W52" s="469"/>
      <c r="X52" s="469"/>
      <c r="Y52" s="473"/>
      <c r="Z52" s="270"/>
      <c r="AA52" s="452"/>
      <c r="AB52" s="271"/>
      <c r="AC52" s="271"/>
    </row>
    <row r="53" spans="1:29" ht="16" customHeight="1">
      <c r="A53" s="134"/>
      <c r="B53" s="470"/>
      <c r="C53" s="263"/>
      <c r="D53" s="264"/>
      <c r="E53" s="265"/>
      <c r="F53" s="266"/>
      <c r="G53" s="463"/>
      <c r="H53" s="268"/>
      <c r="I53" s="268"/>
      <c r="J53" s="266"/>
      <c r="K53" s="464"/>
      <c r="L53" s="465"/>
      <c r="M53" s="466"/>
      <c r="N53" s="269"/>
      <c r="O53" s="467"/>
      <c r="P53" s="467"/>
      <c r="Q53" s="269"/>
      <c r="R53" s="523"/>
      <c r="S53" s="523"/>
      <c r="T53" s="468"/>
      <c r="U53" s="468"/>
      <c r="V53" s="472"/>
      <c r="W53" s="469"/>
      <c r="X53" s="469"/>
      <c r="Y53" s="473"/>
      <c r="Z53" s="270"/>
      <c r="AA53" s="452"/>
      <c r="AB53" s="271"/>
      <c r="AC53" s="271"/>
    </row>
  </sheetData>
  <autoFilter ref="B12:AC53" xr:uid="{8B379F64-4E44-A846-8142-8185C2E9CEC5}"/>
  <mergeCells count="3">
    <mergeCell ref="G8:H8"/>
    <mergeCell ref="Q6:Y6"/>
    <mergeCell ref="Q7:R7"/>
  </mergeCells>
  <conditionalFormatting sqref="V36:V53 Y36:Y53 AB36:AC53 AC35 V32:V34 W32:X53 Y13:Y34 V13:X31 AB13:AC34 T13:U53">
    <cfRule type="cellIs" dxfId="322" priority="12" operator="greaterThan">
      <formula>0</formula>
    </cfRule>
  </conditionalFormatting>
  <conditionalFormatting sqref="J4">
    <cfRule type="cellIs" dxfId="321" priority="11" operator="greaterThan">
      <formula>0</formula>
    </cfRule>
  </conditionalFormatting>
  <conditionalFormatting sqref="J5">
    <cfRule type="cellIs" dxfId="320" priority="10" operator="greaterThan">
      <formula>0</formula>
    </cfRule>
  </conditionalFormatting>
  <conditionalFormatting sqref="V35">
    <cfRule type="cellIs" dxfId="319" priority="2" operator="greaterThan">
      <formula>0</formula>
    </cfRule>
  </conditionalFormatting>
  <conditionalFormatting sqref="AB35">
    <cfRule type="cellIs" dxfId="318" priority="1" operator="greaterThan">
      <formula>0</formula>
    </cfRule>
  </conditionalFormatting>
  <dataValidations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4" xr:uid="{94EBF87A-7745-3A40-96B3-B97C38BF5C9C}"/>
  </dataValidations>
  <printOptions gridLinesSet="0"/>
  <pageMargins left="0" right="0" top="0.59" bottom="0.79" header="0.39" footer="0.2"/>
  <pageSetup paperSize="9" scale="34" pageOrder="overThenDown" orientation="portrait"/>
  <headerFooter>
    <oddHeader>&amp;L&amp;C&amp;R</oddHeader>
    <oddFooter>&amp;L&amp;"Verdana,Standaard"&amp;K000000&amp;F-&amp;A
&amp;R&amp;"Verdana,Standaard"&amp;K000000printversie &amp;D</oddFooter>
  </headerFooter>
  <picture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baseColWidth="10" defaultColWidth="10.796875" defaultRowHeight="13"/>
  <cols>
    <col min="1" max="2" width="10.796875" style="1"/>
    <col min="3" max="4" width="11.19921875" style="1" customWidth="1"/>
    <col min="5" max="5" width="8.19921875" style="1" customWidth="1"/>
    <col min="6" max="6" width="16.796875" style="1" customWidth="1"/>
    <col min="7" max="7" width="12.19921875" style="1" customWidth="1"/>
    <col min="8" max="8" width="13" style="168" bestFit="1" customWidth="1"/>
    <col min="9" max="9" width="14" style="1" bestFit="1" customWidth="1"/>
    <col min="10" max="10" width="15.19921875" style="1" bestFit="1" customWidth="1"/>
    <col min="11" max="16384" width="10.796875" style="1"/>
  </cols>
  <sheetData>
    <row r="7" spans="3:10" ht="48" customHeight="1">
      <c r="C7" s="159" t="s">
        <v>203</v>
      </c>
      <c r="D7" s="159" t="s">
        <v>204</v>
      </c>
      <c r="E7" s="159" t="s">
        <v>154</v>
      </c>
      <c r="F7" s="159" t="s">
        <v>129</v>
      </c>
      <c r="G7" s="159" t="s">
        <v>236</v>
      </c>
      <c r="H7" s="159" t="s">
        <v>237</v>
      </c>
      <c r="I7" s="159" t="s">
        <v>238</v>
      </c>
      <c r="J7" s="166" t="s">
        <v>239</v>
      </c>
    </row>
    <row r="8" spans="3:10" s="121" customFormat="1" ht="24" customHeight="1">
      <c r="C8" s="160"/>
      <c r="D8" s="161"/>
      <c r="E8" s="162"/>
      <c r="F8" s="153"/>
      <c r="G8" s="163"/>
      <c r="H8" s="167">
        <f>D8-G8</f>
        <v>0</v>
      </c>
      <c r="I8" s="164"/>
      <c r="J8" s="165"/>
    </row>
    <row r="9" spans="3:10" s="121" customFormat="1" ht="24" customHeight="1">
      <c r="C9" s="160"/>
      <c r="D9" s="161"/>
      <c r="E9" s="162"/>
      <c r="F9" s="153"/>
      <c r="G9" s="163"/>
      <c r="H9" s="167">
        <f>G9-D9</f>
        <v>0</v>
      </c>
      <c r="I9" s="164"/>
      <c r="J9" s="165"/>
    </row>
    <row r="10" spans="3:10" s="121" customFormat="1" ht="24" customHeight="1">
      <c r="C10" s="160"/>
      <c r="D10" s="161"/>
      <c r="E10" s="162"/>
      <c r="F10" s="153"/>
      <c r="G10" s="163"/>
      <c r="H10" s="167">
        <f>G10-D10</f>
        <v>0</v>
      </c>
      <c r="I10" s="164"/>
      <c r="J10" s="165"/>
    </row>
    <row r="16" spans="3:10">
      <c r="J16" s="169"/>
    </row>
    <row r="17" spans="10:10">
      <c r="J17" s="169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831D-BB35-9F40-A2E1-7F3708882598}">
  <sheetPr>
    <pageSetUpPr fitToPage="1"/>
  </sheetPr>
  <dimension ref="B1:AS76"/>
  <sheetViews>
    <sheetView showGridLines="0" showRowColHeaders="0" showZeros="0" zoomScaleNormal="100" workbookViewId="0"/>
  </sheetViews>
  <sheetFormatPr baseColWidth="10" defaultColWidth="7.59765625" defaultRowHeight="13"/>
  <cols>
    <col min="1" max="1" width="6.3984375" style="806" customWidth="1"/>
    <col min="2" max="2" width="4.19921875" style="806" customWidth="1"/>
    <col min="3" max="3" width="4.3984375" style="806" customWidth="1"/>
    <col min="4" max="4" width="3.796875" style="806" hidden="1" customWidth="1"/>
    <col min="5" max="10" width="4.3984375" style="806" customWidth="1"/>
    <col min="11" max="11" width="3.796875" style="806" hidden="1" customWidth="1"/>
    <col min="12" max="12" width="6" style="806" customWidth="1"/>
    <col min="13" max="13" width="4.3984375" style="806" customWidth="1"/>
    <col min="14" max="14" width="3.796875" style="806" hidden="1" customWidth="1"/>
    <col min="15" max="20" width="4.3984375" style="806" customWidth="1"/>
    <col min="21" max="21" width="4.19921875" style="806" hidden="1" customWidth="1"/>
    <col min="22" max="22" width="1.796875" style="806" customWidth="1"/>
    <col min="23" max="23" width="0.3984375" style="806" customWidth="1"/>
    <col min="24" max="24" width="4.19921875" style="806" customWidth="1"/>
    <col min="25" max="25" width="19.796875" style="806" customWidth="1"/>
    <col min="26" max="26" width="16.19921875" style="806" customWidth="1"/>
    <col min="27" max="27" width="12.3984375" style="806" bestFit="1" customWidth="1"/>
    <col min="28" max="28" width="0.3984375" style="806" customWidth="1"/>
    <col min="29" max="29" width="2.796875" style="806" hidden="1" customWidth="1"/>
    <col min="30" max="31" width="10.3984375" style="806" hidden="1" customWidth="1"/>
    <col min="32" max="32" width="10.19921875" style="806" hidden="1" customWidth="1"/>
    <col min="33" max="33" width="6.796875" style="806" hidden="1" customWidth="1"/>
    <col min="34" max="34" width="4.796875" style="806" hidden="1" customWidth="1"/>
    <col min="35" max="35" width="10.3984375" style="806" hidden="1" customWidth="1"/>
    <col min="36" max="36" width="10.19921875" style="806" hidden="1" customWidth="1"/>
    <col min="37" max="37" width="8" style="806" hidden="1" customWidth="1"/>
    <col min="38" max="38" width="12.796875" style="807" hidden="1" customWidth="1"/>
    <col min="39" max="40" width="10.3984375" style="806" hidden="1" customWidth="1"/>
    <col min="41" max="41" width="10.3984375" style="806" customWidth="1"/>
    <col min="42" max="45" width="7.3984375" style="806" hidden="1" customWidth="1"/>
    <col min="46" max="46" width="0" style="806" hidden="1" customWidth="1"/>
    <col min="47" max="16384" width="7.59765625" style="806"/>
  </cols>
  <sheetData>
    <row r="1" spans="2:45" ht="30" customHeight="1">
      <c r="B1" s="802"/>
      <c r="C1" s="910">
        <v>2020</v>
      </c>
      <c r="D1" s="910"/>
      <c r="E1" s="910"/>
      <c r="F1" s="910"/>
      <c r="G1" s="910"/>
      <c r="H1" s="803"/>
      <c r="I1" s="840" t="s">
        <v>1218</v>
      </c>
      <c r="J1" s="804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2"/>
      <c r="X1" s="802"/>
      <c r="Y1" s="803"/>
      <c r="Z1" s="802"/>
      <c r="AA1" s="802"/>
      <c r="AB1" s="802"/>
      <c r="AC1" s="805"/>
      <c r="AD1" s="805"/>
      <c r="AE1" s="805"/>
    </row>
    <row r="2" spans="2:45" ht="15" customHeight="1">
      <c r="W2" s="802"/>
      <c r="AB2" s="802"/>
      <c r="AJ2" s="806" t="s">
        <v>1121</v>
      </c>
      <c r="AK2" s="806" t="s">
        <v>1122</v>
      </c>
      <c r="AL2" s="807">
        <v>43466</v>
      </c>
    </row>
    <row r="3" spans="2:45" ht="15" customHeight="1">
      <c r="C3" s="808" t="s">
        <v>1123</v>
      </c>
      <c r="D3" s="808"/>
      <c r="E3" s="809"/>
      <c r="F3" s="809"/>
      <c r="G3" s="809"/>
      <c r="H3" s="809"/>
      <c r="I3" s="809"/>
      <c r="J3" s="809"/>
      <c r="K3" s="809"/>
      <c r="L3" s="809"/>
      <c r="M3" s="809" t="s">
        <v>1124</v>
      </c>
      <c r="N3" s="809"/>
      <c r="O3" s="809"/>
      <c r="P3" s="810"/>
      <c r="Q3" s="810"/>
      <c r="R3" s="810"/>
      <c r="S3" s="810"/>
      <c r="T3" s="810"/>
      <c r="U3" s="810"/>
      <c r="W3" s="802"/>
      <c r="AB3" s="802"/>
      <c r="AJ3" s="806" t="s">
        <v>1125</v>
      </c>
      <c r="AK3" s="806" t="s">
        <v>1126</v>
      </c>
      <c r="AL3" s="807">
        <v>43574</v>
      </c>
    </row>
    <row r="4" spans="2:45" ht="15" customHeight="1">
      <c r="C4" s="811" t="s">
        <v>404</v>
      </c>
      <c r="D4" s="811"/>
      <c r="E4" s="811" t="s">
        <v>1127</v>
      </c>
      <c r="F4" s="811" t="s">
        <v>1128</v>
      </c>
      <c r="G4" s="811" t="s">
        <v>1129</v>
      </c>
      <c r="H4" s="811" t="s">
        <v>1128</v>
      </c>
      <c r="I4" s="811" t="s">
        <v>53</v>
      </c>
      <c r="J4" s="811" t="s">
        <v>404</v>
      </c>
      <c r="K4" s="811"/>
      <c r="L4" s="812"/>
      <c r="M4" s="811" t="s">
        <v>404</v>
      </c>
      <c r="N4" s="811"/>
      <c r="O4" s="811" t="s">
        <v>1127</v>
      </c>
      <c r="P4" s="811" t="s">
        <v>1128</v>
      </c>
      <c r="Q4" s="811" t="s">
        <v>1129</v>
      </c>
      <c r="R4" s="811" t="s">
        <v>1128</v>
      </c>
      <c r="S4" s="811" t="s">
        <v>53</v>
      </c>
      <c r="T4" s="811" t="s">
        <v>404</v>
      </c>
      <c r="U4" s="811"/>
      <c r="W4" s="802"/>
      <c r="Y4" s="813" t="s">
        <v>1130</v>
      </c>
      <c r="AB4" s="802"/>
      <c r="AJ4" s="806" t="s">
        <v>1131</v>
      </c>
      <c r="AK4" s="806" t="s">
        <v>1132</v>
      </c>
      <c r="AL4" s="807">
        <v>43576</v>
      </c>
    </row>
    <row r="5" spans="2:45" ht="15" customHeight="1">
      <c r="C5" s="814" t="str">
        <f>IF(DAY(JanSun1)=1,"",IF(AND(YEAR(JanSun1+1)=CalendarYear,MONTH(JanSun1+1)=1),JanSun1+1,""))</f>
        <v/>
      </c>
      <c r="D5" s="815" t="str">
        <f t="shared" ref="D5:D10" si="0">IF(ISTEXT(C5),"","w")</f>
        <v/>
      </c>
      <c r="E5" s="814" t="str">
        <f>IF(DAY(JanSun1)=1,"",IF(AND(YEAR(JanSun1+2)=CalendarYear,MONTH(JanSun1+2)=1),JanSun1+2,""))</f>
        <v/>
      </c>
      <c r="F5" s="814">
        <f>IF(DAY(JanSun1)=1,"",IF(AND(YEAR(JanSun1+3)=CalendarYear,MONTH(JanSun1+3)=1),JanSun1+3,""))</f>
        <v>43831</v>
      </c>
      <c r="G5" s="814">
        <f>IF(DAY(JanSun1)=1,"",IF(AND(YEAR(JanSun1+4)=CalendarYear,MONTH(JanSun1+4)=1),JanSun1+4,""))</f>
        <v>43832</v>
      </c>
      <c r="H5" s="814">
        <f>IF(DAY(JanSun1)=1,"",IF(AND(YEAR(JanSun1+5)=CalendarYear,MONTH(JanSun1+5)=1),JanSun1+5,""))</f>
        <v>43833</v>
      </c>
      <c r="I5" s="814">
        <f>IF(DAY(JanSun1)=1,"",IF(AND(YEAR(JanSun1+6)=CalendarYear,MONTH(JanSun1+6)=1),JanSun1+6,""))</f>
        <v>43834</v>
      </c>
      <c r="J5" s="814">
        <f>IF(DAY(JanSun1)=1,IF(AND(YEAR(JanSun1)=CalendarYear,MONTH(JanSun1)=1),JanSun1,""),IF(AND(YEAR(JanSun1+7)=CalendarYear,MONTH(JanSun1+7)=1),JanSun1+7,""))</f>
        <v>43835</v>
      </c>
      <c r="K5" s="815" t="str">
        <f t="shared" ref="K5:K10" si="1">IF(ISTEXT(J5),"","w")</f>
        <v>w</v>
      </c>
      <c r="L5" s="814"/>
      <c r="M5" s="814" t="str">
        <f>IF(DAY(FebSun1)=1,"",IF(AND(YEAR(FebSun1+1)=CalendarYear,MONTH(FebSun1+1)=2),FebSun1+1,""))</f>
        <v/>
      </c>
      <c r="N5" s="815" t="str">
        <f t="shared" ref="N5:N10" si="2">IF(ISTEXT(M5),"","w")</f>
        <v/>
      </c>
      <c r="O5" s="814" t="str">
        <f>IF(DAY(FebSun1)=1,"",IF(AND(YEAR(FebSun1+2)=CalendarYear,MONTH(FebSun1+2)=2),FebSun1+2,""))</f>
        <v/>
      </c>
      <c r="P5" s="814" t="str">
        <f>IF(DAY(FebSun1)=1,"",IF(AND(YEAR(FebSun1+3)=CalendarYear,MONTH(FebSun1+3)=2),FebSun1+3,""))</f>
        <v/>
      </c>
      <c r="Q5" s="814" t="str">
        <f>IF(DAY(FebSun1)=1,"",IF(AND(YEAR(FebSun1+4)=CalendarYear,MONTH(FebSun1+4)=2),FebSun1+4,""))</f>
        <v/>
      </c>
      <c r="R5" s="814" t="str">
        <f>IF(DAY(FebSun1)=1,"",IF(AND(YEAR(FebSun1+5)=CalendarYear,MONTH(FebSun1+5)=2),FebSun1+5,""))</f>
        <v/>
      </c>
      <c r="S5" s="814">
        <f>IF(DAY(FebSun1)=1,"",IF(AND(YEAR(FebSun1+6)=CalendarYear,MONTH(FebSun1+6)=2),FebSun1+6,""))</f>
        <v>43862</v>
      </c>
      <c r="T5" s="814">
        <f>IF(DAY(FebSun1)=1,IF(AND(YEAR(FebSun1)=CalendarYear,MONTH(FebSun1)=2),FebSun1,""),IF(AND(YEAR(FebSun1+7)=CalendarYear,MONTH(FebSun1+7)=2),FebSun1+7,""))</f>
        <v>43863</v>
      </c>
      <c r="U5" s="815" t="str">
        <f t="shared" ref="U5:U10" si="3">IF(ISTEXT(T5),"","w")</f>
        <v>w</v>
      </c>
      <c r="W5" s="802"/>
      <c r="Y5" s="816">
        <f>IF(C1=2020,366-Y8-Y11,365-Y8-Y11)</f>
        <v>257</v>
      </c>
      <c r="AB5" s="802"/>
      <c r="AJ5" s="806" t="s">
        <v>1133</v>
      </c>
      <c r="AK5" s="806" t="s">
        <v>1134</v>
      </c>
      <c r="AL5" s="807">
        <v>43577</v>
      </c>
    </row>
    <row r="6" spans="2:45" ht="15" customHeight="1">
      <c r="C6" s="814">
        <f>IF(DAY(JanSun1)=1,IF(AND(YEAR(JanSun1+1)=CalendarYear,MONTH(JanSun1+1)=1),JanSun1+1,""),IF(AND(YEAR(JanSun1+8)=CalendarYear,MONTH(JanSun1+8)=1),JanSun1+8,""))</f>
        <v>43836</v>
      </c>
      <c r="D6" s="815" t="str">
        <f t="shared" si="0"/>
        <v>w</v>
      </c>
      <c r="E6" s="814">
        <f>IF(DAY(JanSun1)=1,IF(AND(YEAR(JanSun1+2)=CalendarYear,MONTH(JanSun1+2)=1),JanSun1+2,""),IF(AND(YEAR(JanSun1+9)=CalendarYear,MONTH(JanSun1+9)=1),JanSun1+9,""))</f>
        <v>43837</v>
      </c>
      <c r="F6" s="814">
        <f>IF(DAY(JanSun1)=1,IF(AND(YEAR(JanSun1+3)=CalendarYear,MONTH(JanSun1+3)=1),JanSun1+3,""),IF(AND(YEAR(JanSun1+10)=CalendarYear,MONTH(JanSun1+10)=1),JanSun1+10,""))</f>
        <v>43838</v>
      </c>
      <c r="G6" s="814">
        <f>IF(DAY(JanSun1)=1,IF(AND(YEAR(JanSun1+4)=CalendarYear,MONTH(JanSun1+4)=1),JanSun1+4,""),IF(AND(YEAR(JanSun1+11)=CalendarYear,MONTH(JanSun1+11)=1),JanSun1+11,""))</f>
        <v>43839</v>
      </c>
      <c r="H6" s="814">
        <f>IF(DAY(JanSun1)=1,IF(AND(YEAR(JanSun1+5)=CalendarYear,MONTH(JanSun1+5)=1),JanSun1+5,""),IF(AND(YEAR(JanSun1+12)=CalendarYear,MONTH(JanSun1+12)=1),JanSun1+12,""))</f>
        <v>43840</v>
      </c>
      <c r="I6" s="814">
        <f>IF(DAY(JanSun1)=1,IF(AND(YEAR(JanSun1+6)=CalendarYear,MONTH(JanSun1+6)=1),JanSun1+6,""),IF(AND(YEAR(JanSun1+13)=CalendarYear,MONTH(JanSun1+13)=1),JanSun1+13,""))</f>
        <v>43841</v>
      </c>
      <c r="J6" s="814">
        <f>IF(DAY(JanSun1)=1,IF(AND(YEAR(JanSun1+7)=CalendarYear,MONTH(JanSun1+7)=1),JanSun1+7,""),IF(AND(YEAR(JanSun1+14)=CalendarYear,MONTH(JanSun1+14)=1),JanSun1+14,""))</f>
        <v>43842</v>
      </c>
      <c r="K6" s="815" t="str">
        <f t="shared" si="1"/>
        <v>w</v>
      </c>
      <c r="L6" s="814"/>
      <c r="M6" s="814">
        <f>IF(DAY(FebSun1)=1,IF(AND(YEAR(FebSun1+1)=CalendarYear,MONTH(FebSun1+1)=2),FebSun1+1,""),IF(AND(YEAR(FebSun1+8)=CalendarYear,MONTH(FebSun1+8)=2),FebSun1+8,""))</f>
        <v>43864</v>
      </c>
      <c r="N6" s="815" t="str">
        <f t="shared" si="2"/>
        <v>w</v>
      </c>
      <c r="O6" s="814">
        <f>IF(DAY(FebSun1)=1,IF(AND(YEAR(FebSun1+2)=CalendarYear,MONTH(FebSun1+2)=2),FebSun1+2,""),IF(AND(YEAR(FebSun1+9)=CalendarYear,MONTH(FebSun1+9)=2),FebSun1+9,""))</f>
        <v>43865</v>
      </c>
      <c r="P6" s="814">
        <f>IF(DAY(FebSun1)=1,IF(AND(YEAR(FebSun1+3)=CalendarYear,MONTH(FebSun1+3)=2),FebSun1+3,""),IF(AND(YEAR(FebSun1+10)=CalendarYear,MONTH(FebSun1+10)=2),FebSun1+10,""))</f>
        <v>43866</v>
      </c>
      <c r="Q6" s="814">
        <f>IF(DAY(FebSun1)=1,IF(AND(YEAR(FebSun1+4)=CalendarYear,MONTH(FebSun1+4)=2),FebSun1+4,""),IF(AND(YEAR(FebSun1+11)=CalendarYear,MONTH(FebSun1+11)=2),FebSun1+11,""))</f>
        <v>43867</v>
      </c>
      <c r="R6" s="814">
        <f>IF(DAY(FebSun1)=1,IF(AND(YEAR(FebSun1+5)=CalendarYear,MONTH(FebSun1+5)=2),FebSun1+5,""),IF(AND(YEAR(FebSun1+12)=CalendarYear,MONTH(FebSun1+12)=2),FebSun1+12,""))</f>
        <v>43868</v>
      </c>
      <c r="S6" s="814">
        <f>IF(DAY(FebSun1)=1,IF(AND(YEAR(FebSun1+6)=CalendarYear,MONTH(FebSun1+6)=2),FebSun1+6,""),IF(AND(YEAR(FebSun1+13)=CalendarYear,MONTH(FebSun1+13)=2),FebSun1+13,""))</f>
        <v>43869</v>
      </c>
      <c r="T6" s="814">
        <f>IF(DAY(FebSun1)=1,IF(AND(YEAR(FebSun1+7)=CalendarYear,MONTH(FebSun1+7)=2),FebSun1+7,""),IF(AND(YEAR(FebSun1+14)=CalendarYear,MONTH(FebSun1+14)=2),FebSun1+14,""))</f>
        <v>43870</v>
      </c>
      <c r="U6" s="815" t="str">
        <f t="shared" si="3"/>
        <v>w</v>
      </c>
      <c r="W6" s="802"/>
      <c r="Y6" s="812"/>
      <c r="AB6" s="802"/>
      <c r="AJ6" s="806" t="s">
        <v>1135</v>
      </c>
      <c r="AK6" s="806" t="s">
        <v>1136</v>
      </c>
      <c r="AL6" s="807">
        <v>43582</v>
      </c>
    </row>
    <row r="7" spans="2:45" ht="15" customHeight="1">
      <c r="C7" s="814">
        <f>IF(DAY(JanSun1)=1,IF(AND(YEAR(JanSun1+8)=CalendarYear,MONTH(JanSun1+8)=1),JanSun1+8,""),IF(AND(YEAR(JanSun1+15)=CalendarYear,MONTH(JanSun1+15)=1),JanSun1+15,""))</f>
        <v>43843</v>
      </c>
      <c r="D7" s="815" t="str">
        <f t="shared" si="0"/>
        <v>w</v>
      </c>
      <c r="E7" s="814">
        <f>IF(DAY(JanSun1)=1,IF(AND(YEAR(JanSun1+9)=CalendarYear,MONTH(JanSun1+9)=1),JanSun1+9,""),IF(AND(YEAR(JanSun1+16)=CalendarYear,MONTH(JanSun1+16)=1),JanSun1+16,""))</f>
        <v>43844</v>
      </c>
      <c r="F7" s="814">
        <f>IF(DAY(JanSun1)=1,IF(AND(YEAR(JanSun1+10)=CalendarYear,MONTH(JanSun1+10)=1),JanSun1+10,""),IF(AND(YEAR(JanSun1+17)=CalendarYear,MONTH(JanSun1+17)=1),JanSun1+17,""))</f>
        <v>43845</v>
      </c>
      <c r="G7" s="814">
        <f>IF(DAY(JanSun1)=1,IF(AND(YEAR(JanSun1+11)=CalendarYear,MONTH(JanSun1+11)=1),JanSun1+11,""),IF(AND(YEAR(JanSun1+18)=CalendarYear,MONTH(JanSun1+18)=1),JanSun1+18,""))</f>
        <v>43846</v>
      </c>
      <c r="H7" s="814">
        <f>IF(DAY(JanSun1)=1,IF(AND(YEAR(JanSun1+12)=CalendarYear,MONTH(JanSun1+12)=1),JanSun1+12,""),IF(AND(YEAR(JanSun1+19)=CalendarYear,MONTH(JanSun1+19)=1),JanSun1+19,""))</f>
        <v>43847</v>
      </c>
      <c r="I7" s="814">
        <f>IF(DAY(JanSun1)=1,IF(AND(YEAR(JanSun1+13)=CalendarYear,MONTH(JanSun1+13)=1),JanSun1+13,""),IF(AND(YEAR(JanSun1+20)=CalendarYear,MONTH(JanSun1+20)=1),JanSun1+20,""))</f>
        <v>43848</v>
      </c>
      <c r="J7" s="814">
        <f>IF(DAY(JanSun1)=1,IF(AND(YEAR(JanSun1+14)=CalendarYear,MONTH(JanSun1+14)=1),JanSun1+14,""),IF(AND(YEAR(JanSun1+21)=CalendarYear,MONTH(JanSun1+21)=1),JanSun1+21,""))</f>
        <v>43849</v>
      </c>
      <c r="K7" s="815" t="str">
        <f t="shared" si="1"/>
        <v>w</v>
      </c>
      <c r="L7" s="814"/>
      <c r="M7" s="814">
        <f>IF(DAY(FebSun1)=1,IF(AND(YEAR(FebSun1+8)=CalendarYear,MONTH(FebSun1+8)=2),FebSun1+8,""),IF(AND(YEAR(FebSun1+15)=CalendarYear,MONTH(FebSun1+15)=2),FebSun1+15,""))</f>
        <v>43871</v>
      </c>
      <c r="N7" s="815" t="str">
        <f t="shared" si="2"/>
        <v>w</v>
      </c>
      <c r="O7" s="814">
        <f>IF(DAY(FebSun1)=1,IF(AND(YEAR(FebSun1+9)=CalendarYear,MONTH(FebSun1+9)=2),FebSun1+9,""),IF(AND(YEAR(FebSun1+16)=CalendarYear,MONTH(FebSun1+16)=2),FebSun1+16,""))</f>
        <v>43872</v>
      </c>
      <c r="P7" s="814">
        <f>IF(DAY(FebSun1)=1,IF(AND(YEAR(FebSun1+10)=CalendarYear,MONTH(FebSun1+10)=2),FebSun1+10,""),IF(AND(YEAR(FebSun1+17)=CalendarYear,MONTH(FebSun1+17)=2),FebSun1+17,""))</f>
        <v>43873</v>
      </c>
      <c r="Q7" s="814">
        <f>IF(DAY(FebSun1)=1,IF(AND(YEAR(FebSun1+11)=CalendarYear,MONTH(FebSun1+11)=2),FebSun1+11,""),IF(AND(YEAR(FebSun1+18)=CalendarYear,MONTH(FebSun1+18)=2),FebSun1+18,""))</f>
        <v>43874</v>
      </c>
      <c r="R7" s="814">
        <f>IF(DAY(FebSun1)=1,IF(AND(YEAR(FebSun1+12)=CalendarYear,MONTH(FebSun1+12)=2),FebSun1+12,""),IF(AND(YEAR(FebSun1+19)=CalendarYear,MONTH(FebSun1+19)=2),FebSun1+19,""))</f>
        <v>43875</v>
      </c>
      <c r="S7" s="814">
        <f>IF(DAY(FebSun1)=1,IF(AND(YEAR(FebSun1+13)=CalendarYear,MONTH(FebSun1+13)=2),FebSun1+13,""),IF(AND(YEAR(FebSun1+20)=CalendarYear,MONTH(FebSun1+20)=2),FebSun1+20,""))</f>
        <v>43876</v>
      </c>
      <c r="T7" s="814">
        <f>IF(DAY(FebSun1)=1,IF(AND(YEAR(FebSun1+14)=CalendarYear,MONTH(FebSun1+14)=2),FebSun1+14,""),IF(AND(YEAR(FebSun1+21)=CalendarYear,MONTH(FebSun1+21)=2),FebSun1+21,""))</f>
        <v>43877</v>
      </c>
      <c r="U7" s="815" t="str">
        <f t="shared" si="3"/>
        <v>w</v>
      </c>
      <c r="W7" s="802"/>
      <c r="Y7" s="813" t="s">
        <v>1137</v>
      </c>
      <c r="AB7" s="802"/>
      <c r="AJ7" s="806" t="s">
        <v>1138</v>
      </c>
      <c r="AK7" s="806" t="s">
        <v>1139</v>
      </c>
      <c r="AL7" s="807">
        <v>43615</v>
      </c>
    </row>
    <row r="8" spans="2:45" ht="15" customHeight="1">
      <c r="C8" s="814">
        <f>IF(DAY(JanSun1)=1,IF(AND(YEAR(JanSun1+15)=CalendarYear,MONTH(JanSun1+15)=1),JanSun1+15,""),IF(AND(YEAR(JanSun1+22)=CalendarYear,MONTH(JanSun1+22)=1),JanSun1+22,""))</f>
        <v>43850</v>
      </c>
      <c r="D8" s="815" t="str">
        <f t="shared" si="0"/>
        <v>w</v>
      </c>
      <c r="E8" s="814">
        <f>IF(DAY(JanSun1)=1,IF(AND(YEAR(JanSun1+16)=CalendarYear,MONTH(JanSun1+16)=1),JanSun1+16,""),IF(AND(YEAR(JanSun1+23)=CalendarYear,MONTH(JanSun1+23)=1),JanSun1+23,""))</f>
        <v>43851</v>
      </c>
      <c r="F8" s="814">
        <f>IF(DAY(JanSun1)=1,IF(AND(YEAR(JanSun1+17)=CalendarYear,MONTH(JanSun1+17)=1),JanSun1+17,""),IF(AND(YEAR(JanSun1+24)=CalendarYear,MONTH(JanSun1+24)=1),JanSun1+24,""))</f>
        <v>43852</v>
      </c>
      <c r="G8" s="814">
        <f>IF(DAY(JanSun1)=1,IF(AND(YEAR(JanSun1+18)=CalendarYear,MONTH(JanSun1+18)=1),JanSun1+18,""),IF(AND(YEAR(JanSun1+25)=CalendarYear,MONTH(JanSun1+25)=1),JanSun1+25,""))</f>
        <v>43853</v>
      </c>
      <c r="H8" s="814">
        <f>IF(DAY(JanSun1)=1,IF(AND(YEAR(JanSun1+19)=CalendarYear,MONTH(JanSun1+19)=1),JanSun1+19,""),IF(AND(YEAR(JanSun1+26)=CalendarYear,MONTH(JanSun1+26)=1),JanSun1+26,""))</f>
        <v>43854</v>
      </c>
      <c r="I8" s="814">
        <f>IF(DAY(JanSun1)=1,IF(AND(YEAR(JanSun1+20)=CalendarYear,MONTH(JanSun1+20)=1),JanSun1+20,""),IF(AND(YEAR(JanSun1+27)=CalendarYear,MONTH(JanSun1+27)=1),JanSun1+27,""))</f>
        <v>43855</v>
      </c>
      <c r="J8" s="814">
        <f>IF(DAY(JanSun1)=1,IF(AND(YEAR(JanSun1+21)=CalendarYear,MONTH(JanSun1+21)=1),JanSun1+21,""),IF(AND(YEAR(JanSun1+28)=CalendarYear,MONTH(JanSun1+28)=1),JanSun1+28,""))</f>
        <v>43856</v>
      </c>
      <c r="K8" s="815" t="str">
        <f t="shared" si="1"/>
        <v>w</v>
      </c>
      <c r="L8" s="814"/>
      <c r="M8" s="814">
        <f>IF(DAY(FebSun1)=1,IF(AND(YEAR(FebSun1+15)=CalendarYear,MONTH(FebSun1+15)=2),FebSun1+15,""),IF(AND(YEAR(FebSun1+22)=CalendarYear,MONTH(FebSun1+22)=2),FebSun1+22,""))</f>
        <v>43878</v>
      </c>
      <c r="N8" s="815" t="str">
        <f t="shared" si="2"/>
        <v>w</v>
      </c>
      <c r="O8" s="814">
        <f>IF(DAY(FebSun1)=1,IF(AND(YEAR(FebSun1+16)=CalendarYear,MONTH(FebSun1+16)=2),FebSun1+16,""),IF(AND(YEAR(FebSun1+23)=CalendarYear,MONTH(FebSun1+23)=2),FebSun1+23,""))</f>
        <v>43879</v>
      </c>
      <c r="P8" s="814">
        <f>IF(DAY(FebSun1)=1,IF(AND(YEAR(FebSun1+17)=CalendarYear,MONTH(FebSun1+17)=2),FebSun1+17,""),IF(AND(YEAR(FebSun1+24)=CalendarYear,MONTH(FebSun1+24)=2),FebSun1+24,""))</f>
        <v>43880</v>
      </c>
      <c r="Q8" s="814">
        <f>IF(DAY(FebSun1)=1,IF(AND(YEAR(FebSun1+18)=CalendarYear,MONTH(FebSun1+18)=2),FebSun1+18,""),IF(AND(YEAR(FebSun1+25)=CalendarYear,MONTH(FebSun1+25)=2),FebSun1+25,""))</f>
        <v>43881</v>
      </c>
      <c r="R8" s="814">
        <f>IF(DAY(FebSun1)=1,IF(AND(YEAR(FebSun1+19)=CalendarYear,MONTH(FebSun1+19)=2),FebSun1+19,""),IF(AND(YEAR(FebSun1+26)=CalendarYear,MONTH(FebSun1+26)=2),FebSun1+26,""))</f>
        <v>43882</v>
      </c>
      <c r="S8" s="814">
        <f>IF(DAY(FebSun1)=1,IF(AND(YEAR(FebSun1+20)=CalendarYear,MONTH(FebSun1+20)=2),FebSun1+20,""),IF(AND(YEAR(FebSun1+27)=CalendarYear,MONTH(FebSun1+27)=2),FebSun1+27,""))</f>
        <v>43883</v>
      </c>
      <c r="T8" s="814">
        <f>IF(DAY(FebSun1)=1,IF(AND(YEAR(FebSun1+21)=CalendarYear,MONTH(FebSun1+21)=2),FebSun1+21,""),IF(AND(YEAR(FebSun1+28)=CalendarYear,MONTH(FebSun1+28)=2),FebSun1+28,""))</f>
        <v>43884</v>
      </c>
      <c r="U8" s="815" t="str">
        <f t="shared" si="3"/>
        <v>w</v>
      </c>
      <c r="W8" s="802"/>
      <c r="Y8" s="817">
        <f>SUM(C57:U57)-SUM(AC13:AC26)</f>
        <v>98</v>
      </c>
      <c r="AB8" s="802"/>
      <c r="AC8" s="818"/>
      <c r="AD8" s="818"/>
      <c r="AE8" s="818"/>
      <c r="AJ8" s="806" t="s">
        <v>1140</v>
      </c>
      <c r="AK8" s="806" t="s">
        <v>1141</v>
      </c>
      <c r="AL8" s="807">
        <v>43625</v>
      </c>
    </row>
    <row r="9" spans="2:45" ht="15" customHeight="1">
      <c r="C9" s="814">
        <f>IF(DAY(JanSun1)=1,IF(AND(YEAR(JanSun1+22)=CalendarYear,MONTH(JanSun1+22)=1),JanSun1+22,""),IF(AND(YEAR(JanSun1+29)=CalendarYear,MONTH(JanSun1+29)=1),JanSun1+29,""))</f>
        <v>43857</v>
      </c>
      <c r="D9" s="815" t="str">
        <f t="shared" si="0"/>
        <v>w</v>
      </c>
      <c r="E9" s="814">
        <f>IF(DAY(JanSun1)=1,IF(AND(YEAR(JanSun1+23)=CalendarYear,MONTH(JanSun1+23)=1),JanSun1+23,""),IF(AND(YEAR(JanSun1+30)=CalendarYear,MONTH(JanSun1+30)=1),JanSun1+30,""))</f>
        <v>43858</v>
      </c>
      <c r="F9" s="814">
        <f>IF(DAY(JanSun1)=1,IF(AND(YEAR(JanSun1+24)=CalendarYear,MONTH(JanSun1+24)=1),JanSun1+24,""),IF(AND(YEAR(JanSun1+31)=CalendarYear,MONTH(JanSun1+31)=1),JanSun1+31,""))</f>
        <v>43859</v>
      </c>
      <c r="G9" s="814">
        <f>IF(DAY(JanSun1)=1,IF(AND(YEAR(JanSun1+25)=CalendarYear,MONTH(JanSun1+25)=1),JanSun1+25,""),IF(AND(YEAR(JanSun1+32)=CalendarYear,MONTH(JanSun1+32)=1),JanSun1+32,""))</f>
        <v>43860</v>
      </c>
      <c r="H9" s="819">
        <f>IF(DAY(JanSun1)=1,IF(AND(YEAR(JanSun1+26)=CalendarYear,MONTH(JanSun1+26)=1),JanSun1+26,""),IF(AND(YEAR(JanSun1+33)=CalendarYear,MONTH(JanSun1+33)=1),JanSun1+33,""))</f>
        <v>43861</v>
      </c>
      <c r="I9" s="814" t="str">
        <f>IF(DAY(JanSun1)=1,IF(AND(YEAR(JanSun1+27)=CalendarYear,MONTH(JanSun1+27)=1),JanSun1+27,""),IF(AND(YEAR(JanSun1+34)=CalendarYear,MONTH(JanSun1+34)=1),JanSun1+34,""))</f>
        <v/>
      </c>
      <c r="J9" s="814" t="str">
        <f>IF(DAY(JanSun1)=1,IF(AND(YEAR(JanSun1+28)=CalendarYear,MONTH(JanSun1+28)=1),JanSun1+28,""),IF(AND(YEAR(JanSun1+35)=CalendarYear,MONTH(JanSun1+35)=1),JanSun1+35,""))</f>
        <v/>
      </c>
      <c r="K9" s="815" t="str">
        <f t="shared" si="1"/>
        <v/>
      </c>
      <c r="L9" s="814"/>
      <c r="M9" s="814">
        <f>IF(DAY(FebSun1)=1,IF(AND(YEAR(FebSun1+22)=CalendarYear,MONTH(FebSun1+22)=2),FebSun1+22,""),IF(AND(YEAR(FebSun1+29)=CalendarYear,MONTH(FebSun1+29)=2),FebSun1+29,""))</f>
        <v>43885</v>
      </c>
      <c r="N9" s="815" t="str">
        <f t="shared" si="2"/>
        <v>w</v>
      </c>
      <c r="O9" s="814">
        <f>IF(DAY(FebSun1)=1,IF(AND(YEAR(FebSun1+23)=CalendarYear,MONTH(FebSun1+23)=2),FebSun1+23,""),IF(AND(YEAR(FebSun1+30)=CalendarYear,MONTH(FebSun1+30)=2),FebSun1+30,""))</f>
        <v>43886</v>
      </c>
      <c r="P9" s="814">
        <f>IF(DAY(FebSun1)=1,IF(AND(YEAR(FebSun1+24)=CalendarYear,MONTH(FebSun1+24)=2),FebSun1+24,""),IF(AND(YEAR(FebSun1+31)=CalendarYear,MONTH(FebSun1+31)=2),FebSun1+31,""))</f>
        <v>43887</v>
      </c>
      <c r="Q9" s="814">
        <f>IF(DAY(FebSun1)=1,IF(AND(YEAR(FebSun1+25)=CalendarYear,MONTH(FebSun1+25)=2),FebSun1+25,""),IF(AND(YEAR(FebSun1+32)=CalendarYear,MONTH(FebSun1+32)=2),FebSun1+32,""))</f>
        <v>43888</v>
      </c>
      <c r="R9" s="814">
        <f>IF(DAY(FebSun1)=1,IF(AND(YEAR(FebSun1+26)=CalendarYear,MONTH(FebSun1+26)=2),FebSun1+26,""),IF(AND(YEAR(FebSun1+33)=CalendarYear,MONTH(FebSun1+33)=2),FebSun1+33,""))</f>
        <v>43889</v>
      </c>
      <c r="S9" s="814">
        <f>IF(DAY(FebSun1)=1,IF(AND(YEAR(FebSun1+27)=CalendarYear,MONTH(FebSun1+27)=2),FebSun1+27,""),IF(AND(YEAR(FebSun1+34)=CalendarYear,MONTH(FebSun1+34)=2),FebSun1+34,""))</f>
        <v>43890</v>
      </c>
      <c r="T9" s="814" t="str">
        <f>IF(DAY(FebSun1)=1,IF(AND(YEAR(FebSun1+28)=CalendarYear,MONTH(FebSun1+28)=2),FebSun1+28,""),IF(AND(YEAR(FebSun1+35)=CalendarYear,MONTH(FebSun1+35)=2),FebSun1+35,""))</f>
        <v/>
      </c>
      <c r="U9" s="815" t="str">
        <f t="shared" si="3"/>
        <v/>
      </c>
      <c r="W9" s="802"/>
      <c r="Y9" s="820"/>
      <c r="AB9" s="802"/>
      <c r="AJ9" s="806" t="s">
        <v>1142</v>
      </c>
      <c r="AK9" s="806" t="s">
        <v>1143</v>
      </c>
      <c r="AL9" s="807">
        <v>43626</v>
      </c>
    </row>
    <row r="10" spans="2:45" ht="15" customHeight="1">
      <c r="C10" s="814" t="str">
        <f>IF(DAY(JanSun1)=1,IF(AND(YEAR(JanSun1+29)=CalendarYear,MONTH(JanSun1+29)=1),JanSun1+29,""),IF(AND(YEAR(JanSun1+36)=CalendarYear,MONTH(JanSun1+36)=1),JanSun1+36,""))</f>
        <v/>
      </c>
      <c r="D10" s="815" t="str">
        <f t="shared" si="0"/>
        <v/>
      </c>
      <c r="E10" s="814" t="str">
        <f>IF(DAY(JanSun1)=1,IF(AND(YEAR(JanSun1+30)=CalendarYear,MONTH(JanSun1+30)=1),JanSun1+30,""),IF(AND(YEAR(JanSun1+37)=CalendarYear,MONTH(JanSun1+37)=1),JanSun1+37,""))</f>
        <v/>
      </c>
      <c r="F10" s="814" t="str">
        <f>IF(DAY(JanSun1)=1,IF(AND(YEAR(JanSun1+31)=CalendarYear,MONTH(JanSun1+31)=1),JanSun1+31,""),IF(AND(YEAR(JanSun1+38)=CalendarYear,MONTH(JanSun1+38)=1),JanSun1+38,""))</f>
        <v/>
      </c>
      <c r="G10" s="814" t="str">
        <f>IF(DAY(JanSun1)=1,IF(AND(YEAR(JanSun1+32)=CalendarYear,MONTH(JanSun1+32)=1),JanSun1+32,""),IF(AND(YEAR(JanSun1+39)=CalendarYear,MONTH(JanSun1+39)=1),JanSun1+39,""))</f>
        <v/>
      </c>
      <c r="H10" s="814" t="str">
        <f>IF(DAY(JanSun1)=1,IF(AND(YEAR(JanSun1+33)=CalendarYear,MONTH(JanSun1+33)=1),JanSun1+33,""),IF(AND(YEAR(JanSun1+40)=CalendarYear,MONTH(JanSun1+40)=1),JanSun1+40,""))</f>
        <v/>
      </c>
      <c r="I10" s="814" t="str">
        <f>IF(DAY(JanSun1)=1,IF(AND(YEAR(JanSun1+34)=CalendarYear,MONTH(JanSun1+34)=1),JanSun1+34,""),IF(AND(YEAR(JanSun1+41)=CalendarYear,MONTH(JanSun1+41)=1),JanSun1+41,""))</f>
        <v/>
      </c>
      <c r="J10" s="814" t="str">
        <f>IF(DAY(JanSun1)=1,IF(AND(YEAR(JanSun1+35)=CalendarYear,MONTH(JanSun1+35)=1),JanSun1+35,""),IF(AND(YEAR(JanSun1+42)=CalendarYear,MONTH(JanSun1+42)=1),JanSun1+42,""))</f>
        <v/>
      </c>
      <c r="K10" s="815" t="str">
        <f t="shared" si="1"/>
        <v/>
      </c>
      <c r="L10" s="814"/>
      <c r="M10" s="814" t="str">
        <f>IF(DAY(FebSun1)=1,IF(AND(YEAR(FebSun1+29)=CalendarYear,MONTH(FebSun1+29)=2),FebSun1+29,""),IF(AND(YEAR(FebSun1+36)=CalendarYear,MONTH(FebSun1+36)=2),FebSun1+36,""))</f>
        <v/>
      </c>
      <c r="N10" s="815" t="str">
        <f t="shared" si="2"/>
        <v/>
      </c>
      <c r="O10" s="814" t="str">
        <f>IF(DAY(FebSun1)=1,IF(AND(YEAR(FebSun1+30)=CalendarYear,MONTH(FebSun1+30)=2),FebSun1+30,""),IF(AND(YEAR(FebSun1+37)=CalendarYear,MONTH(FebSun1+37)=2),FebSun1+37,""))</f>
        <v/>
      </c>
      <c r="P10" s="814" t="str">
        <f>IF(DAY(FebSun1)=1,IF(AND(YEAR(FebSun1+31)=CalendarYear,MONTH(FebSun1+31)=2),FebSun1+31,""),IF(AND(YEAR(FebSun1+38)=CalendarYear,MONTH(FebSun1+38)=2),FebSun1+38,""))</f>
        <v/>
      </c>
      <c r="Q10" s="814" t="str">
        <f>IF(DAY(FebSun1)=1,IF(AND(YEAR(FebSun1+32)=CalendarYear,MONTH(FebSun1+32)=2),FebSun1+32,""),IF(AND(YEAR(FebSun1+39)=CalendarYear,MONTH(FebSun1+39)=2),FebSun1+39,""))</f>
        <v/>
      </c>
      <c r="R10" s="814" t="str">
        <f>IF(DAY(FebSun1)=1,IF(AND(YEAR(FebSun1+33)=CalendarYear,MONTH(FebSun1+33)=2),FebSun1+33,""),IF(AND(YEAR(FebSun1+40)=CalendarYear,MONTH(FebSun1+40)=2),FebSun1+40,""))</f>
        <v/>
      </c>
      <c r="S10" s="814" t="str">
        <f>IF(DAY(FebSun1)=1,IF(AND(YEAR(FebSun1+34)=CalendarYear,MONTH(FebSun1+34)=2),FebSun1+34,""),IF(AND(YEAR(FebSun1+41)=CalendarYear,MONTH(FebSun1+41)=2),FebSun1+41,""))</f>
        <v/>
      </c>
      <c r="T10" s="814" t="str">
        <f>IF(DAY(FebSun1)=1,IF(AND(YEAR(FebSun1+35)=CalendarYear,MONTH(FebSun1+35)=2),FebSun1+35,""),IF(AND(YEAR(FebSun1+42)=CalendarYear,MONTH(FebSun1+42)=2),FebSun1+42,""))</f>
        <v/>
      </c>
      <c r="U10" s="815" t="str">
        <f t="shared" si="3"/>
        <v/>
      </c>
      <c r="W10" s="802"/>
      <c r="Y10" s="813" t="s">
        <v>1144</v>
      </c>
      <c r="AB10" s="802"/>
      <c r="AJ10" s="806" t="s">
        <v>1145</v>
      </c>
      <c r="AK10" s="806" t="s">
        <v>1146</v>
      </c>
      <c r="AL10" s="807">
        <v>43824</v>
      </c>
    </row>
    <row r="11" spans="2:45" ht="15" customHeight="1">
      <c r="C11" s="814"/>
      <c r="D11" s="815"/>
      <c r="E11" s="814"/>
      <c r="F11" s="814"/>
      <c r="G11" s="814"/>
      <c r="H11" s="814"/>
      <c r="I11" s="814"/>
      <c r="J11" s="814"/>
      <c r="K11" s="815"/>
      <c r="L11" s="814"/>
      <c r="M11" s="814"/>
      <c r="N11" s="815"/>
      <c r="O11" s="814"/>
      <c r="P11" s="814"/>
      <c r="Q11" s="814"/>
      <c r="R11" s="814"/>
      <c r="S11" s="814"/>
      <c r="T11" s="814"/>
      <c r="U11" s="815"/>
      <c r="W11" s="802"/>
      <c r="Y11" s="816">
        <f>COUNTA(Y13:Y26)-COUNT(Y13:Y26)</f>
        <v>11</v>
      </c>
      <c r="AB11" s="802"/>
      <c r="AJ11" s="806" t="s">
        <v>1147</v>
      </c>
      <c r="AK11" s="818" t="s">
        <v>1148</v>
      </c>
      <c r="AL11" s="807">
        <v>43825</v>
      </c>
    </row>
    <row r="12" spans="2:45" ht="15" customHeight="1">
      <c r="C12" s="809" t="s">
        <v>1149</v>
      </c>
      <c r="D12" s="821"/>
      <c r="E12" s="809"/>
      <c r="F12" s="809"/>
      <c r="G12" s="809"/>
      <c r="H12" s="809"/>
      <c r="I12" s="809"/>
      <c r="J12" s="809"/>
      <c r="K12" s="821"/>
      <c r="L12" s="822"/>
      <c r="M12" s="809" t="s">
        <v>1150</v>
      </c>
      <c r="N12" s="821"/>
      <c r="O12" s="809"/>
      <c r="P12" s="810"/>
      <c r="Q12" s="810"/>
      <c r="R12" s="810"/>
      <c r="S12" s="810"/>
      <c r="T12" s="810"/>
      <c r="U12" s="815" t="s">
        <v>118</v>
      </c>
      <c r="W12" s="802"/>
      <c r="AB12" s="802"/>
      <c r="AI12" s="818"/>
      <c r="AJ12" s="806" t="s">
        <v>1151</v>
      </c>
      <c r="AM12" s="818"/>
      <c r="AN12" s="818"/>
      <c r="AO12" s="818"/>
      <c r="AP12" s="818"/>
      <c r="AQ12" s="818"/>
    </row>
    <row r="13" spans="2:45" ht="15" customHeight="1" thickBot="1">
      <c r="C13" s="811" t="s">
        <v>404</v>
      </c>
      <c r="D13" s="811"/>
      <c r="E13" s="811" t="s">
        <v>1127</v>
      </c>
      <c r="F13" s="811" t="s">
        <v>1128</v>
      </c>
      <c r="G13" s="811" t="s">
        <v>1129</v>
      </c>
      <c r="H13" s="811" t="s">
        <v>1128</v>
      </c>
      <c r="I13" s="811" t="s">
        <v>53</v>
      </c>
      <c r="J13" s="811" t="s">
        <v>404</v>
      </c>
      <c r="K13" s="815"/>
      <c r="L13" s="810"/>
      <c r="M13" s="811" t="s">
        <v>404</v>
      </c>
      <c r="N13" s="811"/>
      <c r="O13" s="811" t="s">
        <v>1127</v>
      </c>
      <c r="P13" s="811" t="s">
        <v>1128</v>
      </c>
      <c r="Q13" s="811" t="s">
        <v>1129</v>
      </c>
      <c r="R13" s="811" t="s">
        <v>1128</v>
      </c>
      <c r="S13" s="811" t="s">
        <v>53</v>
      </c>
      <c r="T13" s="811" t="s">
        <v>404</v>
      </c>
      <c r="U13" s="815" t="str">
        <f t="shared" ref="U13:U19" si="4">IF(ISTEXT(T13),"","w")</f>
        <v/>
      </c>
      <c r="W13" s="802"/>
      <c r="Y13" s="823" t="str">
        <f t="shared" ref="Y13:Y23" si="5">VLOOKUP($AF13,AJ:AL,2,FALSE)</f>
        <v>Nieuwjaar</v>
      </c>
      <c r="Z13" s="807">
        <f t="shared" ref="Z13:Z23" si="6">VLOOKUP($AF13,AJ:AM,3,FALSE)</f>
        <v>43831</v>
      </c>
      <c r="AA13" s="824">
        <f t="shared" ref="AA13:AA23" si="7">Z13</f>
        <v>43831</v>
      </c>
      <c r="AB13" s="802"/>
      <c r="AC13" s="825">
        <f t="shared" ref="AC13:AC23" si="8">IF(WEEKDAY(Z13)=1,1,0)+IF(WEEKDAY(Z13)=7,1,0)</f>
        <v>0</v>
      </c>
      <c r="AD13" s="818"/>
      <c r="AE13" s="818"/>
      <c r="AF13" s="818" t="str">
        <f t="shared" ref="AF13:AF25" si="9">CONCATENATE(AG13,AH13)</f>
        <v>2020.1</v>
      </c>
      <c r="AG13" s="806">
        <f>CalendarYear</f>
        <v>2020</v>
      </c>
      <c r="AH13" s="818" t="s">
        <v>1152</v>
      </c>
    </row>
    <row r="14" spans="2:45" ht="15" customHeight="1" thickTop="1" thickBot="1">
      <c r="C14" s="814" t="str">
        <f>IF(DAY(MarSun1)=1,"",IF(AND(YEAR(MarSun1+1)=CalendarYear,MONTH(MarSun1+1)=3),MarSun1+1,""))</f>
        <v/>
      </c>
      <c r="D14" s="815"/>
      <c r="E14" s="814" t="str">
        <f>IF(DAY(MarSun1)=1,"",IF(AND(YEAR(MarSun1+2)=CalendarYear,MONTH(MarSun1+2)=3),MarSun1+2,""))</f>
        <v/>
      </c>
      <c r="F14" s="814" t="str">
        <f>IF(DAY(MarSun1)=1,"",IF(AND(YEAR(MarSun1+3)=CalendarYear,MONTH(MarSun1+3)=3),MarSun1+3,""))</f>
        <v/>
      </c>
      <c r="G14" s="814" t="str">
        <f>IF(DAY(MarSun1)=1,"",IF(AND(YEAR(MarSun1+4)=CalendarYear,MONTH(MarSun1+4)=3),MarSun1+4,""))</f>
        <v/>
      </c>
      <c r="H14" s="814" t="str">
        <f>IF(DAY(MarSun1)=1,"",IF(AND(YEAR(MarSun1+5)=CalendarYear,MONTH(MarSun1+5)=3),MarSun1+5,""))</f>
        <v/>
      </c>
      <c r="I14" s="814" t="str">
        <f>IF(DAY(MarSun1)=1,"",IF(AND(YEAR(MarSun1+6)=CalendarYear,MONTH(MarSun1+6)=3),MarSun1+6,""))</f>
        <v/>
      </c>
      <c r="J14" s="814">
        <f>IF(DAY(MarSun1)=1,IF(AND(YEAR(MarSun1)=CalendarYear,MONTH(MarSun1)=3),MarSun1,""),IF(AND(YEAR(MarSun1+7)=CalendarYear,MONTH(MarSun1+7)=3),MarSun1+7,""))</f>
        <v>43891</v>
      </c>
      <c r="K14" s="815" t="str">
        <f t="shared" ref="K14:K19" si="10">IF(ISTEXT(J14),"","w")</f>
        <v>w</v>
      </c>
      <c r="L14" s="812"/>
      <c r="M14" s="814" t="str">
        <f>IF(DAY(AprSun1)=1,"",IF(AND(YEAR(AprSun1+1)=CalendarYear,MONTH(AprSun1+1)=4),AprSun1+1,""))</f>
        <v/>
      </c>
      <c r="N14" s="815" t="str">
        <f>IF(ISTEXT(M14),"","w")</f>
        <v/>
      </c>
      <c r="O14" s="814" t="str">
        <f>IF(DAY(AprSun1)=1,"",IF(AND(YEAR(AprSun1+2)=CalendarYear,MONTH(AprSun1+2)=4),AprSun1+2,""))</f>
        <v/>
      </c>
      <c r="P14" s="839">
        <f>IF(DAY(AprSun1)=1,"",IF(AND(YEAR(AprSun1+3)=CalendarYear,MONTH(AprSun1+3)=4),AprSun1+3,""))</f>
        <v>43922</v>
      </c>
      <c r="Q14" s="839">
        <f>IF(DAY(AprSun1)=1,"",IF(AND(YEAR(AprSun1+4)=CalendarYear,MONTH(AprSun1+4)=4),AprSun1+4,""))</f>
        <v>43923</v>
      </c>
      <c r="R14" s="837">
        <f>IF(DAY(AprSun1)=1,"",IF(AND(YEAR(AprSun1+5)=CalendarYear,MONTH(AprSun1+5)=4),AprSun1+5,""))</f>
        <v>43924</v>
      </c>
      <c r="S14" s="837">
        <f>IF(DAY(AprSun1)=1,"",IF(AND(YEAR(AprSun1+6)=CalendarYear,MONTH(AprSun1+6)=4),AprSun1+6,""))</f>
        <v>43925</v>
      </c>
      <c r="T14" s="837">
        <f>IF(DAY(AprSun1)=1,IF(AND(YEAR(AprSun1)=CalendarYear,MONTH(AprSun1)=4),AprSun1,""),IF(AND(YEAR(AprSun1+7)=CalendarYear,MONTH(AprSun1+7)=4),AprSun1+7,""))</f>
        <v>43926</v>
      </c>
      <c r="U14" s="815" t="str">
        <f t="shared" si="4"/>
        <v>w</v>
      </c>
      <c r="W14" s="802"/>
      <c r="Y14" s="823" t="str">
        <f t="shared" si="5"/>
        <v>Goede vrijdag</v>
      </c>
      <c r="Z14" s="807">
        <f t="shared" si="6"/>
        <v>43931</v>
      </c>
      <c r="AA14" s="824">
        <f t="shared" si="7"/>
        <v>43931</v>
      </c>
      <c r="AB14" s="802"/>
      <c r="AC14" s="825">
        <f t="shared" si="8"/>
        <v>0</v>
      </c>
      <c r="AF14" s="818" t="str">
        <f t="shared" si="9"/>
        <v>2020.2</v>
      </c>
      <c r="AG14" s="806">
        <f t="shared" ref="AG14:AG25" si="11">AG13</f>
        <v>2020</v>
      </c>
      <c r="AH14" s="806" t="s">
        <v>1153</v>
      </c>
      <c r="AJ14" s="806" t="s">
        <v>1154</v>
      </c>
      <c r="AK14" s="806" t="s">
        <v>1122</v>
      </c>
      <c r="AL14" s="807">
        <v>43831</v>
      </c>
      <c r="AP14" s="806">
        <f>COUNT(M14:T14)</f>
        <v>5</v>
      </c>
      <c r="AQ14" s="806">
        <f>COUNT(O14)</f>
        <v>0</v>
      </c>
      <c r="AS14" s="806">
        <f>AP14-AQ14</f>
        <v>5</v>
      </c>
    </row>
    <row r="15" spans="2:45" ht="15" customHeight="1" thickTop="1" thickBot="1">
      <c r="C15" s="814">
        <f>IF(DAY(MarSun1)=1,IF(AND(YEAR(MarSun1+1)=CalendarYear,MONTH(MarSun1+1)=3),MarSun1+1,""),IF(AND(YEAR(MarSun1+8)=CalendarYear,MONTH(MarSun1+8)=3),MarSun1+8,""))</f>
        <v>43892</v>
      </c>
      <c r="D15" s="815" t="str">
        <f>IF(ISTEXT(C15),"","w")</f>
        <v>w</v>
      </c>
      <c r="E15" s="814">
        <f>IF(DAY(MarSun1)=1,IF(AND(YEAR(MarSun1+2)=CalendarYear,MONTH(MarSun1+2)=3),MarSun1+2,""),IF(AND(YEAR(MarSun1+9)=CalendarYear,MONTH(MarSun1+9)=3),MarSun1+9,""))</f>
        <v>43893</v>
      </c>
      <c r="F15" s="814">
        <f>IF(DAY(MarSun1)=1,IF(AND(YEAR(MarSun1+3)=CalendarYear,MONTH(MarSun1+3)=3),MarSun1+3,""),IF(AND(YEAR(MarSun1+10)=CalendarYear,MONTH(MarSun1+10)=3),MarSun1+10,""))</f>
        <v>43894</v>
      </c>
      <c r="G15" s="814">
        <f>IF(DAY(MarSun1)=1,IF(AND(YEAR(MarSun1+4)=CalendarYear,MONTH(MarSun1+4)=3),MarSun1+4,""),IF(AND(YEAR(MarSun1+11)=CalendarYear,MONTH(MarSun1+11)=3),MarSun1+11,""))</f>
        <v>43895</v>
      </c>
      <c r="H15" s="814">
        <f>IF(DAY(MarSun1)=1,IF(AND(YEAR(MarSun1+5)=CalendarYear,MONTH(MarSun1+5)=3),MarSun1+5,""),IF(AND(YEAR(MarSun1+12)=CalendarYear,MONTH(MarSun1+12)=3),MarSun1+12,""))</f>
        <v>43896</v>
      </c>
      <c r="I15" s="814">
        <f>IF(DAY(MarSun1)=1,IF(AND(YEAR(MarSun1+6)=CalendarYear,MONTH(MarSun1+6)=3),MarSun1+6,""),IF(AND(YEAR(MarSun1+13)=CalendarYear,MONTH(MarSun1+13)=3),MarSun1+13,""))</f>
        <v>43897</v>
      </c>
      <c r="J15" s="814">
        <f>IF(DAY(MarSun1)=1,IF(AND(YEAR(MarSun1+7)=CalendarYear,MONTH(MarSun1+7)=3),MarSun1+7,""),IF(AND(YEAR(MarSun1+14)=CalendarYear,MONTH(MarSun1+14)=3),MarSun1+14,""))</f>
        <v>43898</v>
      </c>
      <c r="K15" s="815" t="str">
        <f t="shared" si="10"/>
        <v>w</v>
      </c>
      <c r="L15" s="814"/>
      <c r="M15" s="837">
        <f>IF(DAY(AprSun1)=1,IF(AND(YEAR(AprSun1+1)=CalendarYear,MONTH(AprSun1+1)=4),AprSun1+1,""),IF(AND(YEAR(AprSun1+8)=CalendarYear,MONTH(AprSun1+8)=4),AprSun1+8,""))</f>
        <v>43927</v>
      </c>
      <c r="N15" s="838" t="str">
        <f>IF(ISTEXT(M15),"","w")</f>
        <v>w</v>
      </c>
      <c r="O15" s="837">
        <f>IF(DAY(AprSun1)=1,IF(AND(YEAR(AprSun1+2)=CalendarYear,MONTH(AprSun1+2)=4),AprSun1+2,""),IF(AND(YEAR(AprSun1+9)=CalendarYear,MONTH(AprSun1+9)=4),AprSun1+9,""))</f>
        <v>43928</v>
      </c>
      <c r="P15" s="837">
        <f>IF(DAY(AprSun1)=1,IF(AND(YEAR(AprSun1+3)=CalendarYear,MONTH(AprSun1+3)=4),AprSun1+3,""),IF(AND(YEAR(AprSun1+10)=CalendarYear,MONTH(AprSun1+10)=4),AprSun1+10,""))</f>
        <v>43929</v>
      </c>
      <c r="Q15" s="837">
        <f>IF(DAY(AprSun1)=1,IF(AND(YEAR(AprSun1+4)=CalendarYear,MONTH(AprSun1+4)=4),AprSun1+4,""),IF(AND(YEAR(AprSun1+11)=CalendarYear,MONTH(AprSun1+11)=4),AprSun1+11,""))</f>
        <v>43930</v>
      </c>
      <c r="R15" s="837">
        <f>IF(DAY(AprSun1)=1,IF(AND(YEAR(AprSun1+5)=CalendarYear,MONTH(AprSun1+5)=4),AprSun1+5,""),IF(AND(YEAR(AprSun1+12)=CalendarYear,MONTH(AprSun1+12)=4),AprSun1+12,""))</f>
        <v>43931</v>
      </c>
      <c r="S15" s="837">
        <f>IF(DAY(AprSun1)=1,IF(AND(YEAR(AprSun1+6)=CalendarYear,MONTH(AprSun1+6)=4),AprSun1+6,""),IF(AND(YEAR(AprSun1+13)=CalendarYear,MONTH(AprSun1+13)=4),AprSun1+13,""))</f>
        <v>43932</v>
      </c>
      <c r="T15" s="837">
        <f>IF(DAY(AprSun1)=1,IF(AND(YEAR(AprSun1+7)=CalendarYear,MONTH(AprSun1+7)=4),AprSun1+7,""),IF(AND(YEAR(AprSun1+14)=CalendarYear,MONTH(AprSun1+14)=4),AprSun1+14,""))</f>
        <v>43933</v>
      </c>
      <c r="U15" s="815" t="str">
        <f t="shared" si="4"/>
        <v>w</v>
      </c>
      <c r="W15" s="802"/>
      <c r="Y15" s="823" t="str">
        <f t="shared" si="5"/>
        <v>1e Paasdag</v>
      </c>
      <c r="Z15" s="807">
        <f t="shared" si="6"/>
        <v>43933</v>
      </c>
      <c r="AA15" s="824">
        <f t="shared" si="7"/>
        <v>43933</v>
      </c>
      <c r="AB15" s="802"/>
      <c r="AC15" s="826">
        <f t="shared" si="8"/>
        <v>1</v>
      </c>
      <c r="AF15" s="818" t="str">
        <f t="shared" si="9"/>
        <v>2020.3</v>
      </c>
      <c r="AG15" s="806">
        <f t="shared" si="11"/>
        <v>2020</v>
      </c>
      <c r="AH15" s="806" t="s">
        <v>1155</v>
      </c>
      <c r="AJ15" s="806" t="s">
        <v>1156</v>
      </c>
      <c r="AK15" s="806" t="s">
        <v>1126</v>
      </c>
      <c r="AL15" s="807">
        <v>43931</v>
      </c>
      <c r="AP15" s="806">
        <f t="shared" ref="AP15:AP40" si="12">COUNT(M15:T15)</f>
        <v>7</v>
      </c>
      <c r="AQ15" s="806">
        <f t="shared" ref="AQ15:AQ40" si="13">COUNT(O15)</f>
        <v>1</v>
      </c>
      <c r="AS15" s="806">
        <f t="shared" ref="AS15:AS45" si="14">AP15-AQ15</f>
        <v>6</v>
      </c>
    </row>
    <row r="16" spans="2:45" ht="15" customHeight="1" thickTop="1" thickBot="1">
      <c r="C16" s="814">
        <f>IF(DAY(MarSun1)=1,IF(AND(YEAR(MarSun1+8)=CalendarYear,MONTH(MarSun1+8)=3),MarSun1+8,""),IF(AND(YEAR(MarSun1+15)=CalendarYear,MONTH(MarSun1+15)=3),MarSun1+15,""))</f>
        <v>43899</v>
      </c>
      <c r="D16" s="815" t="str">
        <f>IF(ISTEXT(C16),"","w")</f>
        <v>w</v>
      </c>
      <c r="E16" s="814">
        <f>IF(DAY(MarSun1)=1,IF(AND(YEAR(MarSun1+9)=CalendarYear,MONTH(MarSun1+9)=3),MarSun1+9,""),IF(AND(YEAR(MarSun1+16)=CalendarYear,MONTH(MarSun1+16)=3),MarSun1+16,""))</f>
        <v>43900</v>
      </c>
      <c r="F16" s="814">
        <f>IF(DAY(MarSun1)=1,IF(AND(YEAR(MarSun1+10)=CalendarYear,MONTH(MarSun1+10)=3),MarSun1+10,""),IF(AND(YEAR(MarSun1+17)=CalendarYear,MONTH(MarSun1+17)=3),MarSun1+17,""))</f>
        <v>43901</v>
      </c>
      <c r="G16" s="814">
        <f>IF(DAY(MarSun1)=1,IF(AND(YEAR(MarSun1+11)=CalendarYear,MONTH(MarSun1+11)=3),MarSun1+11,""),IF(AND(YEAR(MarSun1+18)=CalendarYear,MONTH(MarSun1+18)=3),MarSun1+18,""))</f>
        <v>43902</v>
      </c>
      <c r="H16" s="814">
        <f>IF(DAY(MarSun1)=1,IF(AND(YEAR(MarSun1+12)=CalendarYear,MONTH(MarSun1+12)=3),MarSun1+12,""),IF(AND(YEAR(MarSun1+19)=CalendarYear,MONTH(MarSun1+19)=3),MarSun1+19,""))</f>
        <v>43903</v>
      </c>
      <c r="I16" s="814">
        <f>IF(DAY(MarSun1)=1,IF(AND(YEAR(MarSun1+13)=CalendarYear,MONTH(MarSun1+13)=3),MarSun1+13,""),IF(AND(YEAR(MarSun1+20)=CalendarYear,MONTH(MarSun1+20)=3),MarSun1+20,""))</f>
        <v>43904</v>
      </c>
      <c r="J16" s="814">
        <f>IF(DAY(MarSun1)=1,IF(AND(YEAR(MarSun1+14)=CalendarYear,MONTH(MarSun1+14)=3),MarSun1+14,""),IF(AND(YEAR(MarSun1+21)=CalendarYear,MONTH(MarSun1+21)=3),MarSun1+21,""))</f>
        <v>43905</v>
      </c>
      <c r="K16" s="815" t="str">
        <f t="shared" si="10"/>
        <v>w</v>
      </c>
      <c r="L16" s="814"/>
      <c r="M16" s="837">
        <f>IF(DAY(AprSun1)=1,IF(AND(YEAR(AprSun1+8)=CalendarYear,MONTH(AprSun1+8)=4),AprSun1+8,""),IF(AND(YEAR(AprSun1+15)=CalendarYear,MONTH(AprSun1+15)=4),AprSun1+15,""))</f>
        <v>43934</v>
      </c>
      <c r="N16" s="838" t="str">
        <f>IF(ISTEXT(M16),"","w")</f>
        <v>w</v>
      </c>
      <c r="O16" s="837">
        <f>IF(DAY(AprSun1)=1,IF(AND(YEAR(AprSun1+9)=CalendarYear,MONTH(AprSun1+9)=4),AprSun1+9,""),IF(AND(YEAR(AprSun1+16)=CalendarYear,MONTH(AprSun1+16)=4),AprSun1+16,""))</f>
        <v>43935</v>
      </c>
      <c r="P16" s="837">
        <f>IF(DAY(AprSun1)=1,IF(AND(YEAR(AprSun1+10)=CalendarYear,MONTH(AprSun1+10)=4),AprSun1+10,""),IF(AND(YEAR(AprSun1+17)=CalendarYear,MONTH(AprSun1+17)=4),AprSun1+17,""))</f>
        <v>43936</v>
      </c>
      <c r="Q16" s="837">
        <f>IF(DAY(AprSun1)=1,IF(AND(YEAR(AprSun1+11)=CalendarYear,MONTH(AprSun1+11)=4),AprSun1+11,""),IF(AND(YEAR(AprSun1+18)=CalendarYear,MONTH(AprSun1+18)=4),AprSun1+18,""))</f>
        <v>43937</v>
      </c>
      <c r="R16" s="837">
        <f>IF(DAY(AprSun1)=1,IF(AND(YEAR(AprSun1+12)=CalendarYear,MONTH(AprSun1+12)=4),AprSun1+12,""),IF(AND(YEAR(AprSun1+19)=CalendarYear,MONTH(AprSun1+19)=4),AprSun1+19,""))</f>
        <v>43938</v>
      </c>
      <c r="S16" s="837">
        <f>IF(DAY(AprSun1)=1,IF(AND(YEAR(AprSun1+13)=CalendarYear,MONTH(AprSun1+13)=4),AprSun1+13,""),IF(AND(YEAR(AprSun1+20)=CalendarYear,MONTH(AprSun1+20)=4),AprSun1+20,""))</f>
        <v>43939</v>
      </c>
      <c r="T16" s="837">
        <f>IF(DAY(AprSun1)=1,IF(AND(YEAR(AprSun1+14)=CalendarYear,MONTH(AprSun1+14)=4),AprSun1+14,""),IF(AND(YEAR(AprSun1+21)=CalendarYear,MONTH(AprSun1+21)=4),AprSun1+21,""))</f>
        <v>43940</v>
      </c>
      <c r="U16" s="815" t="str">
        <f t="shared" si="4"/>
        <v>w</v>
      </c>
      <c r="W16" s="802"/>
      <c r="Y16" s="823" t="str">
        <f t="shared" si="5"/>
        <v>2e Paasdag</v>
      </c>
      <c r="Z16" s="807">
        <f t="shared" si="6"/>
        <v>43934</v>
      </c>
      <c r="AA16" s="824">
        <f t="shared" si="7"/>
        <v>43934</v>
      </c>
      <c r="AB16" s="802"/>
      <c r="AC16" s="826">
        <f t="shared" si="8"/>
        <v>0</v>
      </c>
      <c r="AF16" s="818" t="str">
        <f t="shared" si="9"/>
        <v>2020.4</v>
      </c>
      <c r="AG16" s="806">
        <f t="shared" si="11"/>
        <v>2020</v>
      </c>
      <c r="AH16" s="806" t="s">
        <v>1157</v>
      </c>
      <c r="AJ16" s="806" t="s">
        <v>1158</v>
      </c>
      <c r="AK16" s="806" t="s">
        <v>1132</v>
      </c>
      <c r="AL16" s="807">
        <v>43933</v>
      </c>
      <c r="AP16" s="806">
        <f t="shared" si="12"/>
        <v>7</v>
      </c>
      <c r="AQ16" s="806">
        <f t="shared" si="13"/>
        <v>1</v>
      </c>
      <c r="AS16" s="806">
        <f t="shared" si="14"/>
        <v>6</v>
      </c>
    </row>
    <row r="17" spans="3:45" ht="15" customHeight="1" thickTop="1" thickBot="1">
      <c r="C17" s="814">
        <f>IF(DAY(MarSun1)=1,IF(AND(YEAR(MarSun1+15)=CalendarYear,MONTH(MarSun1+15)=3),MarSun1+15,""),IF(AND(YEAR(MarSun1+22)=CalendarYear,MONTH(MarSun1+22)=3),MarSun1+22,""))</f>
        <v>43906</v>
      </c>
      <c r="D17" s="815" t="str">
        <f>IF(ISTEXT(C17),"","w")</f>
        <v>w</v>
      </c>
      <c r="E17" s="814">
        <f>IF(DAY(MarSun1)=1,IF(AND(YEAR(MarSun1+16)=CalendarYear,MONTH(MarSun1+16)=3),MarSun1+16,""),IF(AND(YEAR(MarSun1+23)=CalendarYear,MONTH(MarSun1+23)=3),MarSun1+23,""))</f>
        <v>43907</v>
      </c>
      <c r="F17" s="814">
        <f>IF(DAY(MarSun1)=1,IF(AND(YEAR(MarSun1+17)=CalendarYear,MONTH(MarSun1+17)=3),MarSun1+17,""),IF(AND(YEAR(MarSun1+24)=CalendarYear,MONTH(MarSun1+24)=3),MarSun1+24,""))</f>
        <v>43908</v>
      </c>
      <c r="G17" s="814">
        <f>IF(DAY(MarSun1)=1,IF(AND(YEAR(MarSun1+18)=CalendarYear,MONTH(MarSun1+18)=3),MarSun1+18,""),IF(AND(YEAR(MarSun1+25)=CalendarYear,MONTH(MarSun1+25)=3),MarSun1+25,""))</f>
        <v>43909</v>
      </c>
      <c r="H17" s="814">
        <f>IF(DAY(MarSun1)=1,IF(AND(YEAR(MarSun1+19)=CalendarYear,MONTH(MarSun1+19)=3),MarSun1+19,""),IF(AND(YEAR(MarSun1+26)=CalendarYear,MONTH(MarSun1+26)=3),MarSun1+26,""))</f>
        <v>43910</v>
      </c>
      <c r="I17" s="814">
        <f>IF(DAY(MarSun1)=1,IF(AND(YEAR(MarSun1+20)=CalendarYear,MONTH(MarSun1+20)=3),MarSun1+20,""),IF(AND(YEAR(MarSun1+27)=CalendarYear,MONTH(MarSun1+27)=3),MarSun1+27,""))</f>
        <v>43911</v>
      </c>
      <c r="J17" s="814">
        <f>IF(DAY(MarSun1)=1,IF(AND(YEAR(MarSun1+21)=CalendarYear,MONTH(MarSun1+21)=3),MarSun1+21,""),IF(AND(YEAR(MarSun1+28)=CalendarYear,MONTH(MarSun1+28)=3),MarSun1+28,""))</f>
        <v>43912</v>
      </c>
      <c r="K17" s="815" t="str">
        <f t="shared" si="10"/>
        <v>w</v>
      </c>
      <c r="L17" s="814"/>
      <c r="M17" s="837">
        <f>IF(DAY(AprSun1)=1,IF(AND(YEAR(AprSun1+15)=CalendarYear,MONTH(AprSun1+15)=4),AprSun1+15,""),IF(AND(YEAR(AprSun1+22)=CalendarYear,MONTH(AprSun1+22)=4),AprSun1+22,""))</f>
        <v>43941</v>
      </c>
      <c r="N17" s="838" t="str">
        <f>IF(ISTEXT(M17),"","w")</f>
        <v>w</v>
      </c>
      <c r="O17" s="837">
        <f>IF(DAY(AprSun1)=1,IF(AND(YEAR(AprSun1+16)=CalendarYear,MONTH(AprSun1+16)=4),AprSun1+16,""),IF(AND(YEAR(AprSun1+23)=CalendarYear,MONTH(AprSun1+23)=4),AprSun1+23,""))</f>
        <v>43942</v>
      </c>
      <c r="P17" s="837">
        <f>IF(DAY(AprSun1)=1,IF(AND(YEAR(AprSun1+17)=CalendarYear,MONTH(AprSun1+17)=4),AprSun1+17,""),IF(AND(YEAR(AprSun1+24)=CalendarYear,MONTH(AprSun1+24)=4),AprSun1+24,""))</f>
        <v>43943</v>
      </c>
      <c r="Q17" s="837">
        <f>IF(DAY(AprSun1)=1,IF(AND(YEAR(AprSun1+18)=CalendarYear,MONTH(AprSun1+18)=4),AprSun1+18,""),IF(AND(YEAR(AprSun1+25)=CalendarYear,MONTH(AprSun1+25)=4),AprSun1+25,""))</f>
        <v>43944</v>
      </c>
      <c r="R17" s="837">
        <f>IF(DAY(AprSun1)=1,IF(AND(YEAR(AprSun1+19)=CalendarYear,MONTH(AprSun1+19)=4),AprSun1+19,""),IF(AND(YEAR(AprSun1+26)=CalendarYear,MONTH(AprSun1+26)=4),AprSun1+26,""))</f>
        <v>43945</v>
      </c>
      <c r="S17" s="837">
        <f>IF(DAY(AprSun1)=1,IF(AND(YEAR(AprSun1+20)=CalendarYear,MONTH(AprSun1+20)=4),AprSun1+20,""),IF(AND(YEAR(AprSun1+27)=CalendarYear,MONTH(AprSun1+27)=4),AprSun1+27,""))</f>
        <v>43946</v>
      </c>
      <c r="T17" s="837">
        <f>IF(DAY(AprSun1)=1,IF(AND(YEAR(AprSun1+21)=CalendarYear,MONTH(AprSun1+21)=4),AprSun1+21,""),IF(AND(YEAR(AprSun1+28)=CalendarYear,MONTH(AprSun1+28)=4),AprSun1+28,""))</f>
        <v>43947</v>
      </c>
      <c r="U17" s="815" t="str">
        <f t="shared" si="4"/>
        <v>w</v>
      </c>
      <c r="W17" s="802"/>
      <c r="Y17" s="823" t="str">
        <f t="shared" si="5"/>
        <v>Koningsdag</v>
      </c>
      <c r="Z17" s="807">
        <f t="shared" si="6"/>
        <v>43948</v>
      </c>
      <c r="AA17" s="824">
        <f t="shared" si="7"/>
        <v>43948</v>
      </c>
      <c r="AB17" s="802"/>
      <c r="AC17" s="826">
        <f t="shared" si="8"/>
        <v>0</v>
      </c>
      <c r="AF17" s="818" t="str">
        <f t="shared" si="9"/>
        <v>2020.5</v>
      </c>
      <c r="AG17" s="806">
        <f t="shared" si="11"/>
        <v>2020</v>
      </c>
      <c r="AH17" s="806" t="s">
        <v>1159</v>
      </c>
      <c r="AJ17" s="806" t="s">
        <v>1160</v>
      </c>
      <c r="AK17" s="806" t="s">
        <v>1134</v>
      </c>
      <c r="AL17" s="807">
        <v>43934</v>
      </c>
      <c r="AP17" s="806">
        <f t="shared" si="12"/>
        <v>7</v>
      </c>
      <c r="AQ17" s="806">
        <f t="shared" si="13"/>
        <v>1</v>
      </c>
      <c r="AS17" s="806">
        <f t="shared" si="14"/>
        <v>6</v>
      </c>
    </row>
    <row r="18" spans="3:45" ht="15" customHeight="1" thickTop="1" thickBot="1">
      <c r="C18" s="814">
        <f>IF(DAY(MarSun1)=1,IF(AND(YEAR(MarSun1+22)=CalendarYear,MONTH(MarSun1+22)=3),MarSun1+22,""),IF(AND(YEAR(MarSun1+29)=CalendarYear,MONTH(MarSun1+29)=3),MarSun1+29,""))</f>
        <v>43913</v>
      </c>
      <c r="D18" s="815" t="str">
        <f>IF(ISTEXT(C18),"","w")</f>
        <v>w</v>
      </c>
      <c r="E18" s="814">
        <f>IF(DAY(MarSun1)=1,IF(AND(YEAR(MarSun1+23)=CalendarYear,MONTH(MarSun1+23)=3),MarSun1+23,""),IF(AND(YEAR(MarSun1+30)=CalendarYear,MONTH(MarSun1+30)=3),MarSun1+30,""))</f>
        <v>43914</v>
      </c>
      <c r="F18" s="814">
        <f>IF(DAY(MarSun1)=1,IF(AND(YEAR(MarSun1+24)=CalendarYear,MONTH(MarSun1+24)=3),MarSun1+24,""),IF(AND(YEAR(MarSun1+31)=CalendarYear,MONTH(MarSun1+31)=3),MarSun1+31,""))</f>
        <v>43915</v>
      </c>
      <c r="G18" s="814">
        <f>IF(DAY(MarSun1)=1,IF(AND(YEAR(MarSun1+25)=CalendarYear,MONTH(MarSun1+25)=3),MarSun1+25,""),IF(AND(YEAR(MarSun1+32)=CalendarYear,MONTH(MarSun1+32)=3),MarSun1+32,""))</f>
        <v>43916</v>
      </c>
      <c r="H18" s="814">
        <f>IF(DAY(MarSun1)=1,IF(AND(YEAR(MarSun1+26)=CalendarYear,MONTH(MarSun1+26)=3),MarSun1+26,""),IF(AND(YEAR(MarSun1+33)=CalendarYear,MONTH(MarSun1+33)=3),MarSun1+33,""))</f>
        <v>43917</v>
      </c>
      <c r="I18" s="814">
        <f>IF(DAY(MarSun1)=1,IF(AND(YEAR(MarSun1+27)=CalendarYear,MONTH(MarSun1+27)=3),MarSun1+27,""),IF(AND(YEAR(MarSun1+34)=CalendarYear,MONTH(MarSun1+34)=3),MarSun1+34,""))</f>
        <v>43918</v>
      </c>
      <c r="J18" s="814">
        <f>IF(DAY(MarSun1)=1,IF(AND(YEAR(MarSun1+28)=CalendarYear,MONTH(MarSun1+28)=3),MarSun1+28,""),IF(AND(YEAR(MarSun1+35)=CalendarYear,MONTH(MarSun1+35)=3),MarSun1+35,""))</f>
        <v>43919</v>
      </c>
      <c r="K18" s="815" t="str">
        <f t="shared" si="10"/>
        <v>w</v>
      </c>
      <c r="L18" s="814"/>
      <c r="M18" s="837">
        <f>IF(DAY(AprSun1)=1,IF(AND(YEAR(AprSun1+22)=CalendarYear,MONTH(AprSun1+22)=4),AprSun1+22,""),IF(AND(YEAR(AprSun1+29)=CalendarYear,MONTH(AprSun1+29)=4),AprSun1+29,""))</f>
        <v>43948</v>
      </c>
      <c r="N18" s="838" t="str">
        <f>IF(ISTEXT(M18),"","w")</f>
        <v>w</v>
      </c>
      <c r="O18" s="837">
        <f>IF(DAY(AprSun1)=1,IF(AND(YEAR(AprSun1+23)=CalendarYear,MONTH(AprSun1+23)=4),AprSun1+23,""),IF(AND(YEAR(AprSun1+30)=CalendarYear,MONTH(AprSun1+30)=4),AprSun1+30,""))</f>
        <v>43949</v>
      </c>
      <c r="P18" s="837">
        <f>IF(DAY(AprSun1)=1,IF(AND(YEAR(AprSun1+24)=CalendarYear,MONTH(AprSun1+24)=4),AprSun1+24,""),IF(AND(YEAR(AprSun1+31)=CalendarYear,MONTH(AprSun1+31)=4),AprSun1+31,""))</f>
        <v>43950</v>
      </c>
      <c r="Q18" s="837">
        <f>IF(DAY(AprSun1)=1,IF(AND(YEAR(AprSun1+25)=CalendarYear,MONTH(AprSun1+25)=4),AprSun1+25,""),IF(AND(YEAR(AprSun1+32)=CalendarYear,MONTH(AprSun1+32)=4),AprSun1+32,""))</f>
        <v>43951</v>
      </c>
      <c r="R18" s="839" t="str">
        <f>IF(DAY(AprSun1)=1,IF(AND(YEAR(AprSun1+26)=CalendarYear,MONTH(AprSun1+26)=4),AprSun1+26,""),IF(AND(YEAR(AprSun1+33)=CalendarYear,MONTH(AprSun1+33)=4),AprSun1+33,""))</f>
        <v/>
      </c>
      <c r="S18" s="839" t="str">
        <f>IF(DAY(AprSun1)=1,IF(AND(YEAR(AprSun1+27)=CalendarYear,MONTH(AprSun1+27)=4),AprSun1+27,""),IF(AND(YEAR(AprSun1+34)=CalendarYear,MONTH(AprSun1+34)=4),AprSun1+34,""))</f>
        <v/>
      </c>
      <c r="T18" s="839" t="str">
        <f>IF(DAY(AprSun1)=1,IF(AND(YEAR(AprSun1+28)=CalendarYear,MONTH(AprSun1+28)=4),AprSun1+28,""),IF(AND(YEAR(AprSun1+35)=CalendarYear,MONTH(AprSun1+35)=4),AprSun1+35,""))</f>
        <v/>
      </c>
      <c r="U18" s="815" t="str">
        <f t="shared" si="4"/>
        <v/>
      </c>
      <c r="W18" s="802"/>
      <c r="Y18" s="823" t="str">
        <f t="shared" si="5"/>
        <v>Bevrijdingsdag</v>
      </c>
      <c r="Z18" s="807">
        <f t="shared" si="6"/>
        <v>43956</v>
      </c>
      <c r="AA18" s="824">
        <f t="shared" si="7"/>
        <v>43956</v>
      </c>
      <c r="AB18" s="802"/>
      <c r="AC18" s="826">
        <f t="shared" si="8"/>
        <v>0</v>
      </c>
      <c r="AF18" s="818" t="str">
        <f t="shared" si="9"/>
        <v>2020.6</v>
      </c>
      <c r="AG18" s="806">
        <f t="shared" si="11"/>
        <v>2020</v>
      </c>
      <c r="AH18" s="806" t="s">
        <v>1161</v>
      </c>
      <c r="AJ18" s="806" t="s">
        <v>1162</v>
      </c>
      <c r="AK18" s="806" t="s">
        <v>1136</v>
      </c>
      <c r="AL18" s="807">
        <v>43948</v>
      </c>
      <c r="AP18" s="806">
        <f t="shared" si="12"/>
        <v>4</v>
      </c>
      <c r="AQ18" s="806">
        <f t="shared" si="13"/>
        <v>1</v>
      </c>
      <c r="AS18" s="806">
        <f t="shared" si="14"/>
        <v>3</v>
      </c>
    </row>
    <row r="19" spans="3:45" ht="15" customHeight="1" thickTop="1">
      <c r="C19" s="814">
        <f>IF(DAY(MarSun1)=1,IF(AND(YEAR(MarSun1+29)=CalendarYear,MONTH(MarSun1+29)=3),MarSun1+29,""),IF(AND(YEAR(MarSun1+36)=CalendarYear,MONTH(MarSun1+36)=3),MarSun1+36,""))</f>
        <v>43920</v>
      </c>
      <c r="D19" s="815"/>
      <c r="E19" s="814">
        <f>IF(DAY(MarSun1)=1,IF(AND(YEAR(MarSun1+30)=CalendarYear,MONTH(MarSun1+30)=3),MarSun1+30,""),IF(AND(YEAR(MarSun1+37)=CalendarYear,MONTH(MarSun1+37)=3),MarSun1+37,""))</f>
        <v>43921</v>
      </c>
      <c r="F19" s="814" t="str">
        <f>IF(DAY(MarSun1)=1,IF(AND(YEAR(MarSun1+31)=CalendarYear,MONTH(MarSun1+31)=3),MarSun1+31,""),IF(AND(YEAR(MarSun1+38)=CalendarYear,MONTH(MarSun1+38)=3),MarSun1+38,""))</f>
        <v/>
      </c>
      <c r="G19" s="814" t="str">
        <f>IF(DAY(MarSun1)=1,IF(AND(YEAR(MarSun1+32)=CalendarYear,MONTH(MarSun1+32)=3),MarSun1+32,""),IF(AND(YEAR(MarSun1+39)=CalendarYear,MONTH(MarSun1+39)=3),MarSun1+39,""))</f>
        <v/>
      </c>
      <c r="H19" s="814" t="str">
        <f>IF(DAY(MarSun1)=1,IF(AND(YEAR(MarSun1+33)=CalendarYear,MONTH(MarSun1+33)=3),MarSun1+33,""),IF(AND(YEAR(MarSun1+40)=CalendarYear,MONTH(MarSun1+40)=3),MarSun1+40,""))</f>
        <v/>
      </c>
      <c r="I19" s="814" t="str">
        <f>IF(DAY(MarSun1)=1,IF(AND(YEAR(MarSun1+34)=CalendarYear,MONTH(MarSun1+34)=3),MarSun1+34,""),IF(AND(YEAR(MarSun1+41)=CalendarYear,MONTH(MarSun1+41)=3),MarSun1+41,""))</f>
        <v/>
      </c>
      <c r="J19" s="814" t="str">
        <f>IF(DAY(MarSun1)=1,IF(AND(YEAR(MarSun1+35)=CalendarYear,MONTH(MarSun1+35)=3),MarSun1+35,""),IF(AND(YEAR(MarSun1+42)=CalendarYear,MONTH(MarSun1+42)=3),MarSun1+42,""))</f>
        <v/>
      </c>
      <c r="K19" s="815" t="str">
        <f t="shared" si="10"/>
        <v/>
      </c>
      <c r="L19" s="814"/>
      <c r="M19" s="814" t="str">
        <f>IF(DAY(AprSun1)=1,IF(AND(YEAR(AprSun1+29)=CalendarYear,MONTH(AprSun1+29)=4),AprSun1+29,""),IF(AND(YEAR(AprSun1+36)=CalendarYear,MONTH(AprSun1+36)=4),AprSun1+36,""))</f>
        <v/>
      </c>
      <c r="N19" s="815"/>
      <c r="O19" s="814" t="str">
        <f>IF(DAY(AprSun1)=1,IF(AND(YEAR(AprSun1+30)=CalendarYear,MONTH(AprSun1+30)=4),AprSun1+30,""),IF(AND(YEAR(AprSun1+37)=CalendarYear,MONTH(AprSun1+37)=4),AprSun1+37,""))</f>
        <v/>
      </c>
      <c r="P19" s="814" t="str">
        <f>IF(DAY(AprSun1)=1,IF(AND(YEAR(AprSun1+31)=CalendarYear,MONTH(AprSun1+31)=4),AprSun1+31,""),IF(AND(YEAR(AprSun1+38)=CalendarYear,MONTH(AprSun1+38)=4),AprSun1+38,""))</f>
        <v/>
      </c>
      <c r="Q19" s="814" t="str">
        <f>IF(DAY(AprSun1)=1,IF(AND(YEAR(AprSun1+32)=CalendarYear,MONTH(AprSun1+32)=4),AprSun1+32,""),IF(AND(YEAR(AprSun1+39)=CalendarYear,MONTH(AprSun1+39)=4),AprSun1+39,""))</f>
        <v/>
      </c>
      <c r="R19" s="814" t="str">
        <f>IF(DAY(AprSun1)=1,IF(AND(YEAR(AprSun1+33)=CalendarYear,MONTH(AprSun1+33)=4),AprSun1+33,""),IF(AND(YEAR(AprSun1+40)=CalendarYear,MONTH(AprSun1+40)=4),AprSun1+40,""))</f>
        <v/>
      </c>
      <c r="S19" s="814" t="str">
        <f>IF(DAY(AprSun1)=1,IF(AND(YEAR(AprSun1+34)=CalendarYear,MONTH(AprSun1+34)=4),AprSun1+34,""),IF(AND(YEAR(AprSun1+41)=CalendarYear,MONTH(AprSun1+41)=4),AprSun1+41,""))</f>
        <v/>
      </c>
      <c r="T19" s="814" t="str">
        <f>IF(DAY(AprSun1)=1,IF(AND(YEAR(AprSun1+35)=CalendarYear,MONTH(AprSun1+35)=4),AprSun1+35,""),IF(AND(YEAR(AprSun1+42)=CalendarYear,MONTH(AprSun1+42)=4),AprSun1+42,""))</f>
        <v/>
      </c>
      <c r="U19" s="815" t="str">
        <f t="shared" si="4"/>
        <v/>
      </c>
      <c r="W19" s="802"/>
      <c r="Y19" s="823" t="str">
        <f t="shared" si="5"/>
        <v>Hemelvaartsdag</v>
      </c>
      <c r="Z19" s="807">
        <f t="shared" si="6"/>
        <v>43972</v>
      </c>
      <c r="AA19" s="824">
        <f t="shared" si="7"/>
        <v>43972</v>
      </c>
      <c r="AB19" s="802"/>
      <c r="AC19" s="826">
        <f t="shared" si="8"/>
        <v>0</v>
      </c>
      <c r="AF19" s="818" t="str">
        <f t="shared" si="9"/>
        <v>2020.7</v>
      </c>
      <c r="AG19" s="806">
        <f t="shared" si="11"/>
        <v>2020</v>
      </c>
      <c r="AH19" s="806" t="s">
        <v>1163</v>
      </c>
      <c r="AJ19" s="806" t="s">
        <v>1164</v>
      </c>
      <c r="AK19" s="806" t="s">
        <v>1165</v>
      </c>
      <c r="AL19" s="807">
        <v>43956</v>
      </c>
      <c r="AP19" s="806">
        <f t="shared" si="12"/>
        <v>0</v>
      </c>
      <c r="AQ19" s="806">
        <f t="shared" si="13"/>
        <v>0</v>
      </c>
      <c r="AS19" s="806">
        <f t="shared" si="14"/>
        <v>0</v>
      </c>
    </row>
    <row r="20" spans="3:45" ht="15" customHeight="1">
      <c r="D20" s="815"/>
      <c r="K20" s="815"/>
      <c r="L20" s="814"/>
      <c r="N20" s="815"/>
      <c r="U20" s="815"/>
      <c r="W20" s="802"/>
      <c r="Y20" s="823" t="str">
        <f t="shared" si="5"/>
        <v>1e Pinksterdag</v>
      </c>
      <c r="Z20" s="807">
        <f t="shared" si="6"/>
        <v>43982</v>
      </c>
      <c r="AA20" s="824">
        <f t="shared" si="7"/>
        <v>43982</v>
      </c>
      <c r="AB20" s="802"/>
      <c r="AC20" s="826">
        <f t="shared" si="8"/>
        <v>1</v>
      </c>
      <c r="AF20" s="818" t="str">
        <f t="shared" si="9"/>
        <v>2020.8</v>
      </c>
      <c r="AG20" s="806">
        <f t="shared" si="11"/>
        <v>2020</v>
      </c>
      <c r="AH20" s="806" t="s">
        <v>1166</v>
      </c>
      <c r="AJ20" s="806" t="s">
        <v>1167</v>
      </c>
      <c r="AK20" s="806" t="s">
        <v>1139</v>
      </c>
      <c r="AL20" s="807">
        <v>43972</v>
      </c>
      <c r="AP20" s="806">
        <f t="shared" si="12"/>
        <v>0</v>
      </c>
      <c r="AQ20" s="806">
        <f t="shared" si="13"/>
        <v>0</v>
      </c>
      <c r="AS20" s="806">
        <f t="shared" si="14"/>
        <v>0</v>
      </c>
    </row>
    <row r="21" spans="3:45" ht="15" customHeight="1">
      <c r="C21" s="809" t="s">
        <v>1168</v>
      </c>
      <c r="D21" s="821"/>
      <c r="E21" s="809"/>
      <c r="F21" s="809"/>
      <c r="G21" s="809"/>
      <c r="H21" s="809"/>
      <c r="I21" s="809"/>
      <c r="J21" s="809"/>
      <c r="K21" s="821"/>
      <c r="L21" s="827"/>
      <c r="M21" s="809" t="s">
        <v>1169</v>
      </c>
      <c r="N21" s="815"/>
      <c r="O21" s="810"/>
      <c r="P21" s="810"/>
      <c r="Q21" s="810"/>
      <c r="R21" s="810"/>
      <c r="S21" s="810"/>
      <c r="T21" s="810"/>
      <c r="U21" s="815"/>
      <c r="W21" s="802"/>
      <c r="Y21" s="823" t="str">
        <f t="shared" si="5"/>
        <v>2e Pinksterdag</v>
      </c>
      <c r="Z21" s="807">
        <f t="shared" si="6"/>
        <v>43983</v>
      </c>
      <c r="AA21" s="824">
        <f t="shared" si="7"/>
        <v>43983</v>
      </c>
      <c r="AB21" s="802"/>
      <c r="AC21" s="826">
        <f t="shared" si="8"/>
        <v>0</v>
      </c>
      <c r="AF21" s="818" t="str">
        <f t="shared" si="9"/>
        <v>2020.9</v>
      </c>
      <c r="AG21" s="806">
        <f t="shared" si="11"/>
        <v>2020</v>
      </c>
      <c r="AH21" s="806" t="s">
        <v>1170</v>
      </c>
      <c r="AI21" s="818"/>
      <c r="AJ21" s="806" t="s">
        <v>1171</v>
      </c>
      <c r="AK21" s="806" t="s">
        <v>1141</v>
      </c>
      <c r="AL21" s="807">
        <v>43982</v>
      </c>
      <c r="AM21" s="818"/>
      <c r="AN21" s="818"/>
      <c r="AO21" s="818"/>
      <c r="AP21" s="806">
        <f t="shared" si="12"/>
        <v>0</v>
      </c>
      <c r="AQ21" s="806">
        <f t="shared" si="13"/>
        <v>0</v>
      </c>
      <c r="AS21" s="806">
        <f t="shared" si="14"/>
        <v>0</v>
      </c>
    </row>
    <row r="22" spans="3:45" ht="15" customHeight="1" thickBot="1">
      <c r="C22" s="811" t="s">
        <v>404</v>
      </c>
      <c r="D22" s="811"/>
      <c r="E22" s="811" t="s">
        <v>1127</v>
      </c>
      <c r="F22" s="811" t="s">
        <v>1128</v>
      </c>
      <c r="G22" s="811" t="s">
        <v>1129</v>
      </c>
      <c r="H22" s="811" t="s">
        <v>1128</v>
      </c>
      <c r="I22" s="811" t="s">
        <v>53</v>
      </c>
      <c r="J22" s="811" t="s">
        <v>404</v>
      </c>
      <c r="K22" s="815" t="str">
        <f t="shared" ref="K22:K28" si="15">IF(ISTEXT(J22),"","w")</f>
        <v/>
      </c>
      <c r="L22" s="818"/>
      <c r="M22" s="811" t="s">
        <v>404</v>
      </c>
      <c r="N22" s="811"/>
      <c r="O22" s="811" t="s">
        <v>1127</v>
      </c>
      <c r="P22" s="811" t="s">
        <v>1128</v>
      </c>
      <c r="Q22" s="811" t="s">
        <v>1129</v>
      </c>
      <c r="R22" s="811" t="s">
        <v>1128</v>
      </c>
      <c r="S22" s="811" t="s">
        <v>53</v>
      </c>
      <c r="T22" s="811" t="s">
        <v>404</v>
      </c>
      <c r="U22" s="815" t="str">
        <f t="shared" ref="U22:U28" si="16">IF(ISTEXT(T22),"","w")</f>
        <v/>
      </c>
      <c r="W22" s="802"/>
      <c r="Y22" s="823" t="str">
        <f t="shared" si="5"/>
        <v>1e Kerstdag</v>
      </c>
      <c r="Z22" s="807">
        <f t="shared" si="6"/>
        <v>44190</v>
      </c>
      <c r="AA22" s="824">
        <f t="shared" si="7"/>
        <v>44190</v>
      </c>
      <c r="AB22" s="802"/>
      <c r="AC22" s="826">
        <f t="shared" si="8"/>
        <v>0</v>
      </c>
      <c r="AD22" s="818"/>
      <c r="AE22" s="818"/>
      <c r="AF22" s="818" t="str">
        <f t="shared" si="9"/>
        <v>2020.10</v>
      </c>
      <c r="AG22" s="806">
        <f t="shared" si="11"/>
        <v>2020</v>
      </c>
      <c r="AH22" s="818" t="s">
        <v>1172</v>
      </c>
      <c r="AJ22" s="806" t="s">
        <v>1173</v>
      </c>
      <c r="AK22" s="806" t="s">
        <v>1143</v>
      </c>
      <c r="AL22" s="807">
        <v>43983</v>
      </c>
      <c r="AP22" s="806">
        <f t="shared" si="12"/>
        <v>0</v>
      </c>
      <c r="AQ22" s="806">
        <f t="shared" si="13"/>
        <v>0</v>
      </c>
      <c r="AS22" s="806">
        <f t="shared" si="14"/>
        <v>0</v>
      </c>
    </row>
    <row r="23" spans="3:45" ht="15" customHeight="1" thickTop="1" thickBot="1">
      <c r="C23" s="814" t="str">
        <f>IF(DAY(MaySun1)=1,"",IF(AND(YEAR(MaySun1+1)=CalendarYear,MONTH(MaySun1+1)=5),MaySun1+1,""))</f>
        <v/>
      </c>
      <c r="D23" s="815" t="str">
        <f>IF(ISTEXT(C23),"","w")</f>
        <v/>
      </c>
      <c r="E23" s="814" t="str">
        <f>IF(DAY(MaySun1)=1,"",IF(AND(YEAR(MaySun1+2)=CalendarYear,MONTH(MaySun1+2)=5),MaySun1+2,""))</f>
        <v/>
      </c>
      <c r="F23" s="814" t="str">
        <f>IF(DAY(MaySun1)=1,"",IF(AND(YEAR(MaySun1+3)=CalendarYear,MONTH(MaySun1+3)=5),MaySun1+3,""))</f>
        <v/>
      </c>
      <c r="G23" s="814" t="str">
        <f>IF(DAY(MaySun1)=1,"",IF(AND(YEAR(MaySun1+4)=CalendarYear,MONTH(MaySun1+4)=5),MaySun1+4,""))</f>
        <v/>
      </c>
      <c r="H23" s="837">
        <f>IF(DAY(MaySun1)=1,"",IF(AND(YEAR(MaySun1+5)=CalendarYear,MONTH(MaySun1+5)=5),MaySun1+5,""))</f>
        <v>43952</v>
      </c>
      <c r="I23" s="837">
        <f>IF(DAY(MaySun1)=1,"",IF(AND(YEAR(MaySun1+6)=CalendarYear,MONTH(MaySun1+6)=5),MaySun1+6,""))</f>
        <v>43953</v>
      </c>
      <c r="J23" s="837">
        <f>IF(DAY(MaySun1)=1,IF(AND(YEAR(MaySun1)=CalendarYear,MONTH(MaySun1)=5),MaySun1,""),IF(AND(YEAR(MaySun1+7)=CalendarYear,MONTH(MaySun1+7)=5),MaySun1+7,""))</f>
        <v>43954</v>
      </c>
      <c r="K23" s="815" t="str">
        <f t="shared" si="15"/>
        <v>w</v>
      </c>
      <c r="L23" s="810"/>
      <c r="M23" s="837">
        <f>IF(DAY(JunSun1)=1,"",IF(AND(YEAR(JunSun1+1)=CalendarYear,MONTH(JunSun1+1)=6),JunSun1+1,""))</f>
        <v>43983</v>
      </c>
      <c r="N23" s="838"/>
      <c r="O23" s="837">
        <f>IF(DAY(JunSun1)=1,"",IF(AND(YEAR(JunSun1+2)=CalendarYear,MONTH(JunSun1+2)=6),JunSun1+2,""))</f>
        <v>43984</v>
      </c>
      <c r="P23" s="837">
        <f>IF(DAY(JunSun1)=1,"",IF(AND(YEAR(JunSun1+3)=CalendarYear,MONTH(JunSun1+3)=6),JunSun1+3,""))</f>
        <v>43985</v>
      </c>
      <c r="Q23" s="837">
        <f>IF(DAY(JunSun1)=1,"",IF(AND(YEAR(JunSun1+4)=CalendarYear,MONTH(JunSun1+4)=6),JunSun1+4,""))</f>
        <v>43986</v>
      </c>
      <c r="R23" s="837">
        <f>IF(DAY(JunSun1)=1,"",IF(AND(YEAR(JunSun1+5)=CalendarYear,MONTH(JunSun1+5)=6),JunSun1+5,""))</f>
        <v>43987</v>
      </c>
      <c r="S23" s="837">
        <f>IF(DAY(JunSun1)=1,"",IF(AND(YEAR(JunSun1+6)=CalendarYear,MONTH(JunSun1+6)=6),JunSun1+6,""))</f>
        <v>43988</v>
      </c>
      <c r="T23" s="837">
        <f>IF(DAY(JunSun1)=1,IF(AND(YEAR(JunSun1)=CalendarYear,MONTH(JunSun1)=6),JunSun1,""),IF(AND(YEAR(JunSun1+7)=CalendarYear,MONTH(JunSun1+7)=6),JunSun1+7,""))</f>
        <v>43989</v>
      </c>
      <c r="U23" s="815" t="str">
        <f t="shared" si="16"/>
        <v>w</v>
      </c>
      <c r="W23" s="802"/>
      <c r="Y23" s="823" t="str">
        <f t="shared" si="5"/>
        <v>2e Kerstdag</v>
      </c>
      <c r="Z23" s="807">
        <f t="shared" si="6"/>
        <v>44191</v>
      </c>
      <c r="AA23" s="824">
        <f t="shared" si="7"/>
        <v>44191</v>
      </c>
      <c r="AB23" s="802"/>
      <c r="AC23" s="826">
        <f t="shared" si="8"/>
        <v>1</v>
      </c>
      <c r="AF23" s="818" t="str">
        <f t="shared" si="9"/>
        <v>2020.11</v>
      </c>
      <c r="AG23" s="806">
        <f t="shared" si="11"/>
        <v>2020</v>
      </c>
      <c r="AH23" s="806" t="s">
        <v>1174</v>
      </c>
      <c r="AJ23" s="806" t="s">
        <v>1175</v>
      </c>
      <c r="AK23" s="806" t="s">
        <v>1146</v>
      </c>
      <c r="AL23" s="807">
        <v>44190</v>
      </c>
      <c r="AP23" s="806">
        <f>COUNT(C23:T23)</f>
        <v>10</v>
      </c>
      <c r="AQ23" s="806">
        <f>COUNT(O23)+COUNT(E23)</f>
        <v>1</v>
      </c>
      <c r="AS23" s="806">
        <f t="shared" si="14"/>
        <v>9</v>
      </c>
    </row>
    <row r="24" spans="3:45" ht="15" customHeight="1" thickTop="1" thickBot="1">
      <c r="C24" s="837">
        <f>IF(DAY(MaySun1)=1,IF(AND(YEAR(MaySun1+1)=CalendarYear,MONTH(MaySun1+1)=5),MaySun1+1,""),IF(AND(YEAR(MaySun1+8)=CalendarYear,MONTH(MaySun1+8)=5),MaySun1+8,""))</f>
        <v>43955</v>
      </c>
      <c r="D24" s="838" t="str">
        <f>IF(ISTEXT(C24),"","w")</f>
        <v>w</v>
      </c>
      <c r="E24" s="837">
        <f>IF(DAY(MaySun1)=1,IF(AND(YEAR(MaySun1+2)=CalendarYear,MONTH(MaySun1+2)=5),MaySun1+2,""),IF(AND(YEAR(MaySun1+9)=CalendarYear,MONTH(MaySun1+9)=5),MaySun1+9,""))</f>
        <v>43956</v>
      </c>
      <c r="F24" s="837">
        <f>IF(DAY(MaySun1)=1,IF(AND(YEAR(MaySun1+3)=CalendarYear,MONTH(MaySun1+3)=5),MaySun1+3,""),IF(AND(YEAR(MaySun1+10)=CalendarYear,MONTH(MaySun1+10)=5),MaySun1+10,""))</f>
        <v>43957</v>
      </c>
      <c r="G24" s="837">
        <f>IF(DAY(MaySun1)=1,IF(AND(YEAR(MaySun1+4)=CalendarYear,MONTH(MaySun1+4)=5),MaySun1+4,""),IF(AND(YEAR(MaySun1+11)=CalendarYear,MONTH(MaySun1+11)=5),MaySun1+11,""))</f>
        <v>43958</v>
      </c>
      <c r="H24" s="837">
        <f>IF(DAY(MaySun1)=1,IF(AND(YEAR(MaySun1+5)=CalendarYear,MONTH(MaySun1+5)=5),MaySun1+5,""),IF(AND(YEAR(MaySun1+12)=CalendarYear,MONTH(MaySun1+12)=5),MaySun1+12,""))</f>
        <v>43959</v>
      </c>
      <c r="I24" s="837">
        <f>IF(DAY(MaySun1)=1,IF(AND(YEAR(MaySun1+6)=CalendarYear,MONTH(MaySun1+6)=5),MaySun1+6,""),IF(AND(YEAR(MaySun1+13)=CalendarYear,MONTH(MaySun1+13)=5),MaySun1+13,""))</f>
        <v>43960</v>
      </c>
      <c r="J24" s="837">
        <f>IF(DAY(MaySun1)=1,IF(AND(YEAR(MaySun1+7)=CalendarYear,MONTH(MaySun1+7)=5),MaySun1+7,""),IF(AND(YEAR(MaySun1+14)=CalendarYear,MONTH(MaySun1+14)=5),MaySun1+14,""))</f>
        <v>43961</v>
      </c>
      <c r="K24" s="815" t="str">
        <f t="shared" si="15"/>
        <v>w</v>
      </c>
      <c r="L24" s="812"/>
      <c r="M24" s="837">
        <f>IF(DAY(JunSun1)=1,IF(AND(YEAR(JunSun1+1)=CalendarYear,MONTH(JunSun1+1)=6),JunSun1+1,""),IF(AND(YEAR(JunSun1+8)=CalendarYear,MONTH(JunSun1+8)=6),JunSun1+8,""))</f>
        <v>43990</v>
      </c>
      <c r="N24" s="838" t="str">
        <f>IF(ISTEXT(M24),"","w")</f>
        <v>w</v>
      </c>
      <c r="O24" s="837">
        <f>IF(DAY(JunSun1)=1,IF(AND(YEAR(JunSun1+2)=CalendarYear,MONTH(JunSun1+2)=6),JunSun1+2,""),IF(AND(YEAR(JunSun1+9)=CalendarYear,MONTH(JunSun1+9)=6),JunSun1+9,""))</f>
        <v>43991</v>
      </c>
      <c r="P24" s="837">
        <f>IF(DAY(JunSun1)=1,IF(AND(YEAR(JunSun1+3)=CalendarYear,MONTH(JunSun1+3)=6),JunSun1+3,""),IF(AND(YEAR(JunSun1+10)=CalendarYear,MONTH(JunSun1+10)=6),JunSun1+10,""))</f>
        <v>43992</v>
      </c>
      <c r="Q24" s="837">
        <f>IF(DAY(JunSun1)=1,IF(AND(YEAR(JunSun1+4)=CalendarYear,MONTH(JunSun1+4)=6),JunSun1+4,""),IF(AND(YEAR(JunSun1+11)=CalendarYear,MONTH(JunSun1+11)=6),JunSun1+11,""))</f>
        <v>43993</v>
      </c>
      <c r="R24" s="837">
        <f>IF(DAY(JunSun1)=1,IF(AND(YEAR(JunSun1+5)=CalendarYear,MONTH(JunSun1+5)=6),JunSun1+5,""),IF(AND(YEAR(JunSun1+12)=CalendarYear,MONTH(JunSun1+12)=6),JunSun1+12,""))</f>
        <v>43994</v>
      </c>
      <c r="S24" s="837">
        <f>IF(DAY(JunSun1)=1,IF(AND(YEAR(JunSun1+6)=CalendarYear,MONTH(JunSun1+6)=6),JunSun1+6,""),IF(AND(YEAR(JunSun1+13)=CalendarYear,MONTH(JunSun1+13)=6),JunSun1+13,""))</f>
        <v>43995</v>
      </c>
      <c r="T24" s="837">
        <f>IF(DAY(JunSun1)=1,IF(AND(YEAR(JunSun1+7)=CalendarYear,MONTH(JunSun1+7)=6),JunSun1+7,""),IF(AND(YEAR(JunSun1+14)=CalendarYear,MONTH(JunSun1+14)=6),JunSun1+14,""))</f>
        <v>43996</v>
      </c>
      <c r="U24" s="815" t="str">
        <f t="shared" si="16"/>
        <v>w</v>
      </c>
      <c r="W24" s="802"/>
      <c r="Y24" s="823"/>
      <c r="Z24" s="807"/>
      <c r="AA24" s="824"/>
      <c r="AB24" s="802"/>
      <c r="AC24" s="825"/>
      <c r="AF24" s="818" t="str">
        <f t="shared" si="9"/>
        <v>2020.12</v>
      </c>
      <c r="AG24" s="806">
        <f t="shared" si="11"/>
        <v>2020</v>
      </c>
      <c r="AH24" s="806" t="s">
        <v>1176</v>
      </c>
      <c r="AJ24" s="806" t="s">
        <v>1177</v>
      </c>
      <c r="AK24" s="818" t="s">
        <v>1148</v>
      </c>
      <c r="AL24" s="807">
        <v>44191</v>
      </c>
      <c r="AP24" s="806">
        <f t="shared" ref="AP24:AP27" si="17">COUNT(C24:T24)</f>
        <v>14</v>
      </c>
      <c r="AQ24" s="806">
        <f t="shared" ref="AQ24:AQ27" si="18">COUNT(O24)+COUNT(E24)</f>
        <v>2</v>
      </c>
      <c r="AS24" s="806">
        <f t="shared" si="14"/>
        <v>12</v>
      </c>
    </row>
    <row r="25" spans="3:45" ht="15" customHeight="1" thickTop="1" thickBot="1">
      <c r="C25" s="837">
        <f>IF(DAY(MaySun1)=1,IF(AND(YEAR(MaySun1+8)=CalendarYear,MONTH(MaySun1+8)=5),MaySun1+8,""),IF(AND(YEAR(MaySun1+15)=CalendarYear,MONTH(MaySun1+15)=5),MaySun1+15,""))</f>
        <v>43962</v>
      </c>
      <c r="D25" s="838" t="str">
        <f>IF(ISTEXT(C25),"","w")</f>
        <v>w</v>
      </c>
      <c r="E25" s="837">
        <f>IF(DAY(MaySun1)=1,IF(AND(YEAR(MaySun1+9)=CalendarYear,MONTH(MaySun1+9)=5),MaySun1+9,""),IF(AND(YEAR(MaySun1+16)=CalendarYear,MONTH(MaySun1+16)=5),MaySun1+16,""))</f>
        <v>43963</v>
      </c>
      <c r="F25" s="837">
        <f>IF(DAY(MaySun1)=1,IF(AND(YEAR(MaySun1+10)=CalendarYear,MONTH(MaySun1+10)=5),MaySun1+10,""),IF(AND(YEAR(MaySun1+17)=CalendarYear,MONTH(MaySun1+17)=5),MaySun1+17,""))</f>
        <v>43964</v>
      </c>
      <c r="G25" s="837">
        <f>IF(DAY(MaySun1)=1,IF(AND(YEAR(MaySun1+11)=CalendarYear,MONTH(MaySun1+11)=5),MaySun1+11,""),IF(AND(YEAR(MaySun1+18)=CalendarYear,MONTH(MaySun1+18)=5),MaySun1+18,""))</f>
        <v>43965</v>
      </c>
      <c r="H25" s="837">
        <f>IF(DAY(MaySun1)=1,IF(AND(YEAR(MaySun1+12)=CalendarYear,MONTH(MaySun1+12)=5),MaySun1+12,""),IF(AND(YEAR(MaySun1+19)=CalendarYear,MONTH(MaySun1+19)=5),MaySun1+19,""))</f>
        <v>43966</v>
      </c>
      <c r="I25" s="837">
        <f>IF(DAY(MaySun1)=1,IF(AND(YEAR(MaySun1+13)=CalendarYear,MONTH(MaySun1+13)=5),MaySun1+13,""),IF(AND(YEAR(MaySun1+20)=CalendarYear,MONTH(MaySun1+20)=5),MaySun1+20,""))</f>
        <v>43967</v>
      </c>
      <c r="J25" s="837">
        <f>IF(DAY(MaySun1)=1,IF(AND(YEAR(MaySun1+14)=CalendarYear,MONTH(MaySun1+14)=5),MaySun1+14,""),IF(AND(YEAR(MaySun1+21)=CalendarYear,MONTH(MaySun1+21)=5),MaySun1+21,""))</f>
        <v>43968</v>
      </c>
      <c r="K25" s="815" t="str">
        <f t="shared" si="15"/>
        <v>w</v>
      </c>
      <c r="L25" s="814"/>
      <c r="M25" s="837">
        <f>IF(DAY(JunSun1)=1,IF(AND(YEAR(JunSun1+8)=CalendarYear,MONTH(JunSun1+8)=6),JunSun1+8,""),IF(AND(YEAR(JunSun1+15)=CalendarYear,MONTH(JunSun1+15)=6),JunSun1+15,""))</f>
        <v>43997</v>
      </c>
      <c r="N25" s="838" t="str">
        <f>IF(ISTEXT(M25),"","w")</f>
        <v>w</v>
      </c>
      <c r="O25" s="837">
        <f>IF(DAY(JunSun1)=1,IF(AND(YEAR(JunSun1+9)=CalendarYear,MONTH(JunSun1+9)=6),JunSun1+9,""),IF(AND(YEAR(JunSun1+16)=CalendarYear,MONTH(JunSun1+16)=6),JunSun1+16,""))</f>
        <v>43998</v>
      </c>
      <c r="P25" s="837">
        <f>IF(DAY(JunSun1)=1,IF(AND(YEAR(JunSun1+10)=CalendarYear,MONTH(JunSun1+10)=6),JunSun1+10,""),IF(AND(YEAR(JunSun1+17)=CalendarYear,MONTH(JunSun1+17)=6),JunSun1+17,""))</f>
        <v>43999</v>
      </c>
      <c r="Q25" s="837">
        <f>IF(DAY(JunSun1)=1,IF(AND(YEAR(JunSun1+11)=CalendarYear,MONTH(JunSun1+11)=6),JunSun1+11,""),IF(AND(YEAR(JunSun1+18)=CalendarYear,MONTH(JunSun1+18)=6),JunSun1+18,""))</f>
        <v>44000</v>
      </c>
      <c r="R25" s="837">
        <f>IF(DAY(JunSun1)=1,IF(AND(YEAR(JunSun1+12)=CalendarYear,MONTH(JunSun1+12)=6),JunSun1+12,""),IF(AND(YEAR(JunSun1+19)=CalendarYear,MONTH(JunSun1+19)=6),JunSun1+19,""))</f>
        <v>44001</v>
      </c>
      <c r="S25" s="837">
        <f>IF(DAY(JunSun1)=1,IF(AND(YEAR(JunSun1+13)=CalendarYear,MONTH(JunSun1+13)=6),JunSun1+13,""),IF(AND(YEAR(JunSun1+20)=CalendarYear,MONTH(JunSun1+20)=6),JunSun1+20,""))</f>
        <v>44002</v>
      </c>
      <c r="T25" s="837">
        <f>IF(DAY(JunSun1)=1,IF(AND(YEAR(JunSun1+14)=CalendarYear,MONTH(JunSun1+14)=6),JunSun1+14,""),IF(AND(YEAR(JunSun1+21)=CalendarYear,MONTH(JunSun1+21)=6),JunSun1+21,""))</f>
        <v>44003</v>
      </c>
      <c r="U25" s="815" t="str">
        <f t="shared" si="16"/>
        <v>w</v>
      </c>
      <c r="W25" s="802"/>
      <c r="Y25" s="823"/>
      <c r="Z25" s="807"/>
      <c r="AA25" s="824"/>
      <c r="AB25" s="802"/>
      <c r="AC25" s="825"/>
      <c r="AF25" s="818" t="str">
        <f t="shared" si="9"/>
        <v>2020.13</v>
      </c>
      <c r="AG25" s="806">
        <f t="shared" si="11"/>
        <v>2020</v>
      </c>
      <c r="AH25" s="806" t="s">
        <v>1178</v>
      </c>
      <c r="AP25" s="806">
        <f t="shared" si="17"/>
        <v>14</v>
      </c>
      <c r="AQ25" s="806">
        <f t="shared" si="18"/>
        <v>2</v>
      </c>
      <c r="AS25" s="806">
        <f t="shared" si="14"/>
        <v>12</v>
      </c>
    </row>
    <row r="26" spans="3:45" ht="15" customHeight="1" thickTop="1" thickBot="1">
      <c r="C26" s="837">
        <f>IF(DAY(MaySun1)=1,IF(AND(YEAR(MaySun1+15)=CalendarYear,MONTH(MaySun1+15)=5),MaySun1+15,""),IF(AND(YEAR(MaySun1+22)=CalendarYear,MONTH(MaySun1+22)=5),MaySun1+22,""))</f>
        <v>43969</v>
      </c>
      <c r="D26" s="838" t="str">
        <f>IF(ISTEXT(C26),"","w")</f>
        <v>w</v>
      </c>
      <c r="E26" s="837">
        <f>IF(DAY(MaySun1)=1,IF(AND(YEAR(MaySun1+16)=CalendarYear,MONTH(MaySun1+16)=5),MaySun1+16,""),IF(AND(YEAR(MaySun1+23)=CalendarYear,MONTH(MaySun1+23)=5),MaySun1+23,""))</f>
        <v>43970</v>
      </c>
      <c r="F26" s="837">
        <f>IF(DAY(MaySun1)=1,IF(AND(YEAR(MaySun1+17)=CalendarYear,MONTH(MaySun1+17)=5),MaySun1+17,""),IF(AND(YEAR(MaySun1+24)=CalendarYear,MONTH(MaySun1+24)=5),MaySun1+24,""))</f>
        <v>43971</v>
      </c>
      <c r="G26" s="837">
        <f>IF(DAY(MaySun1)=1,IF(AND(YEAR(MaySun1+18)=CalendarYear,MONTH(MaySun1+18)=5),MaySun1+18,""),IF(AND(YEAR(MaySun1+25)=CalendarYear,MONTH(MaySun1+25)=5),MaySun1+25,""))</f>
        <v>43972</v>
      </c>
      <c r="H26" s="837">
        <f>IF(DAY(MaySun1)=1,IF(AND(YEAR(MaySun1+19)=CalendarYear,MONTH(MaySun1+19)=5),MaySun1+19,""),IF(AND(YEAR(MaySun1+26)=CalendarYear,MONTH(MaySun1+26)=5),MaySun1+26,""))</f>
        <v>43973</v>
      </c>
      <c r="I26" s="837">
        <f>IF(DAY(MaySun1)=1,IF(AND(YEAR(MaySun1+20)=CalendarYear,MONTH(MaySun1+20)=5),MaySun1+20,""),IF(AND(YEAR(MaySun1+27)=CalendarYear,MONTH(MaySun1+27)=5),MaySun1+27,""))</f>
        <v>43974</v>
      </c>
      <c r="J26" s="837">
        <f>IF(DAY(MaySun1)=1,IF(AND(YEAR(MaySun1+21)=CalendarYear,MONTH(MaySun1+21)=5),MaySun1+21,""),IF(AND(YEAR(MaySun1+28)=CalendarYear,MONTH(MaySun1+28)=5),MaySun1+28,""))</f>
        <v>43975</v>
      </c>
      <c r="K26" s="815" t="str">
        <f t="shared" si="15"/>
        <v>w</v>
      </c>
      <c r="L26" s="814"/>
      <c r="M26" s="837">
        <f>IF(DAY(JunSun1)=1,IF(AND(YEAR(JunSun1+15)=CalendarYear,MONTH(JunSun1+15)=6),JunSun1+15,""),IF(AND(YEAR(JunSun1+22)=CalendarYear,MONTH(JunSun1+22)=6),JunSun1+22,""))</f>
        <v>44004</v>
      </c>
      <c r="N26" s="838" t="str">
        <f>IF(ISTEXT(M26),"","w")</f>
        <v>w</v>
      </c>
      <c r="O26" s="837">
        <f>IF(DAY(JunSun1)=1,IF(AND(YEAR(JunSun1+16)=CalendarYear,MONTH(JunSun1+16)=6),JunSun1+16,""),IF(AND(YEAR(JunSun1+23)=CalendarYear,MONTH(JunSun1+23)=6),JunSun1+23,""))</f>
        <v>44005</v>
      </c>
      <c r="P26" s="837">
        <f>IF(DAY(JunSun1)=1,IF(AND(YEAR(JunSun1+17)=CalendarYear,MONTH(JunSun1+17)=6),JunSun1+17,""),IF(AND(YEAR(JunSun1+24)=CalendarYear,MONTH(JunSun1+24)=6),JunSun1+24,""))</f>
        <v>44006</v>
      </c>
      <c r="Q26" s="837">
        <f>IF(DAY(JunSun1)=1,IF(AND(YEAR(JunSun1+18)=CalendarYear,MONTH(JunSun1+18)=6),JunSun1+18,""),IF(AND(YEAR(JunSun1+25)=CalendarYear,MONTH(JunSun1+25)=6),JunSun1+25,""))</f>
        <v>44007</v>
      </c>
      <c r="R26" s="837">
        <f>IF(DAY(JunSun1)=1,IF(AND(YEAR(JunSun1+19)=CalendarYear,MONTH(JunSun1+19)=6),JunSun1+19,""),IF(AND(YEAR(JunSun1+26)=CalendarYear,MONTH(JunSun1+26)=6),JunSun1+26,""))</f>
        <v>44008</v>
      </c>
      <c r="S26" s="837">
        <f>IF(DAY(JunSun1)=1,IF(AND(YEAR(JunSun1+20)=CalendarYear,MONTH(JunSun1+20)=6),JunSun1+20,""),IF(AND(YEAR(JunSun1+27)=CalendarYear,MONTH(JunSun1+27)=6),JunSun1+27,""))</f>
        <v>44009</v>
      </c>
      <c r="T26" s="837">
        <f>IF(DAY(JunSun1)=1,IF(AND(YEAR(JunSun1+21)=CalendarYear,MONTH(JunSun1+21)=6),JunSun1+21,""),IF(AND(YEAR(JunSun1+28)=CalendarYear,MONTH(JunSun1+28)=6),JunSun1+28,""))</f>
        <v>44010</v>
      </c>
      <c r="U26" s="815" t="str">
        <f t="shared" si="16"/>
        <v>w</v>
      </c>
      <c r="W26" s="802"/>
      <c r="Y26" s="823"/>
      <c r="Z26" s="807"/>
      <c r="AA26" s="824"/>
      <c r="AB26" s="802"/>
      <c r="AC26" s="825"/>
      <c r="AJ26" s="806" t="s">
        <v>1179</v>
      </c>
      <c r="AK26" s="806" t="s">
        <v>1122</v>
      </c>
      <c r="AL26" s="807">
        <v>44197</v>
      </c>
      <c r="AP26" s="806">
        <f t="shared" si="17"/>
        <v>14</v>
      </c>
      <c r="AQ26" s="806">
        <f t="shared" si="18"/>
        <v>2</v>
      </c>
      <c r="AS26" s="806">
        <f t="shared" si="14"/>
        <v>12</v>
      </c>
    </row>
    <row r="27" spans="3:45" ht="15" customHeight="1" thickTop="1" thickBot="1">
      <c r="C27" s="837">
        <f>IF(DAY(MaySun1)=1,IF(AND(YEAR(MaySun1+22)=CalendarYear,MONTH(MaySun1+22)=5),MaySun1+22,""),IF(AND(YEAR(MaySun1+29)=CalendarYear,MONTH(MaySun1+29)=5),MaySun1+29,""))</f>
        <v>43976</v>
      </c>
      <c r="D27" s="838" t="str">
        <f>IF(ISTEXT(C27),"","w")</f>
        <v>w</v>
      </c>
      <c r="E27" s="837">
        <f>IF(DAY(MaySun1)=1,IF(AND(YEAR(MaySun1+23)=CalendarYear,MONTH(MaySun1+23)=5),MaySun1+23,""),IF(AND(YEAR(MaySun1+30)=CalendarYear,MONTH(MaySun1+30)=5),MaySun1+30,""))</f>
        <v>43977</v>
      </c>
      <c r="F27" s="837">
        <f>IF(DAY(MaySun1)=1,IF(AND(YEAR(MaySun1+24)=CalendarYear,MONTH(MaySun1+24)=5),MaySun1+24,""),IF(AND(YEAR(MaySun1+31)=CalendarYear,MONTH(MaySun1+31)=5),MaySun1+31,""))</f>
        <v>43978</v>
      </c>
      <c r="G27" s="837">
        <f>IF(DAY(MaySun1)=1,IF(AND(YEAR(MaySun1+25)=CalendarYear,MONTH(MaySun1+25)=5),MaySun1+25,""),IF(AND(YEAR(MaySun1+32)=CalendarYear,MONTH(MaySun1+32)=5),MaySun1+32,""))</f>
        <v>43979</v>
      </c>
      <c r="H27" s="837">
        <f>IF(DAY(MaySun1)=1,IF(AND(YEAR(MaySun1+26)=CalendarYear,MONTH(MaySun1+26)=5),MaySun1+26,""),IF(AND(YEAR(MaySun1+33)=CalendarYear,MONTH(MaySun1+33)=5),MaySun1+33,""))</f>
        <v>43980</v>
      </c>
      <c r="I27" s="837">
        <f>IF(DAY(MaySun1)=1,IF(AND(YEAR(MaySun1+27)=CalendarYear,MONTH(MaySun1+27)=5),MaySun1+27,""),IF(AND(YEAR(MaySun1+34)=CalendarYear,MONTH(MaySun1+34)=5),MaySun1+34,""))</f>
        <v>43981</v>
      </c>
      <c r="J27" s="837">
        <f>IF(DAY(MaySun1)=1,IF(AND(YEAR(MaySun1+28)=CalendarYear,MONTH(MaySun1+28)=5),MaySun1+28,""),IF(AND(YEAR(MaySun1+35)=CalendarYear,MONTH(MaySun1+35)=5),MaySun1+35,""))</f>
        <v>43982</v>
      </c>
      <c r="K27" s="815" t="str">
        <f t="shared" si="15"/>
        <v>w</v>
      </c>
      <c r="L27" s="814"/>
      <c r="M27" s="837">
        <f>IF(DAY(JunSun1)=1,IF(AND(YEAR(JunSun1+22)=CalendarYear,MONTH(JunSun1+22)=6),JunSun1+22,""),IF(AND(YEAR(JunSun1+29)=CalendarYear,MONTH(JunSun1+29)=6),JunSun1+29,""))</f>
        <v>44011</v>
      </c>
      <c r="N27" s="838" t="str">
        <f>IF(ISTEXT(M27),"","w")</f>
        <v>w</v>
      </c>
      <c r="O27" s="837">
        <f>IF(DAY(JunSun1)=1,IF(AND(YEAR(JunSun1+23)=CalendarYear,MONTH(JunSun1+23)=6),JunSun1+23,""),IF(AND(YEAR(JunSun1+30)=CalendarYear,MONTH(JunSun1+30)=6),JunSun1+30,""))</f>
        <v>44012</v>
      </c>
      <c r="P27" s="814" t="str">
        <f>IF(DAY(JunSun1)=1,IF(AND(YEAR(JunSun1+24)=CalendarYear,MONTH(JunSun1+24)=6),JunSun1+24,""),IF(AND(YEAR(JunSun1+31)=CalendarYear,MONTH(JunSun1+31)=6),JunSun1+31,""))</f>
        <v/>
      </c>
      <c r="Q27" s="814" t="str">
        <f>IF(DAY(JunSun1)=1,IF(AND(YEAR(JunSun1+25)=CalendarYear,MONTH(JunSun1+25)=6),JunSun1+25,""),IF(AND(YEAR(JunSun1+32)=CalendarYear,MONTH(JunSun1+32)=6),JunSun1+32,""))</f>
        <v/>
      </c>
      <c r="R27" s="814" t="str">
        <f>IF(DAY(JunSun1)=1,IF(AND(YEAR(JunSun1+26)=CalendarYear,MONTH(JunSun1+26)=6),JunSun1+26,""),IF(AND(YEAR(JunSun1+33)=CalendarYear,MONTH(JunSun1+33)=6),JunSun1+33,""))</f>
        <v/>
      </c>
      <c r="S27" s="814" t="str">
        <f>IF(DAY(JunSun1)=1,IF(AND(YEAR(JunSun1+27)=CalendarYear,MONTH(JunSun1+27)=6),JunSun1+27,""),IF(AND(YEAR(JunSun1+34)=CalendarYear,MONTH(JunSun1+34)=6),JunSun1+34,""))</f>
        <v/>
      </c>
      <c r="T27" s="814" t="str">
        <f>IF(DAY(JunSun1)=1,IF(AND(YEAR(JunSun1+28)=CalendarYear,MONTH(JunSun1+28)=6),JunSun1+28,""),IF(AND(YEAR(JunSun1+35)=CalendarYear,MONTH(JunSun1+35)=6),JunSun1+35,""))</f>
        <v/>
      </c>
      <c r="U27" s="815" t="str">
        <f t="shared" si="16"/>
        <v/>
      </c>
      <c r="W27" s="802"/>
      <c r="Y27" s="841" t="s">
        <v>1219</v>
      </c>
      <c r="Z27" s="817">
        <v>184</v>
      </c>
      <c r="AA27" s="824"/>
      <c r="AB27" s="802"/>
      <c r="AC27" s="825"/>
      <c r="AJ27" s="806" t="s">
        <v>1180</v>
      </c>
      <c r="AK27" s="806" t="s">
        <v>1126</v>
      </c>
      <c r="AL27" s="807">
        <v>44288</v>
      </c>
      <c r="AP27" s="806">
        <f t="shared" si="17"/>
        <v>9</v>
      </c>
      <c r="AQ27" s="806">
        <f t="shared" si="18"/>
        <v>2</v>
      </c>
      <c r="AS27" s="806">
        <f t="shared" si="14"/>
        <v>7</v>
      </c>
    </row>
    <row r="28" spans="3:45" ht="15" customHeight="1" thickTop="1">
      <c r="C28" s="814" t="str">
        <f>IF(DAY(MaySun1)=1,IF(AND(YEAR(MaySun1+29)=CalendarYear,MONTH(MaySun1+29)=5),MaySun1+29,""),IF(AND(YEAR(MaySun1+36)=CalendarYear,MONTH(MaySun1+36)=5),MaySun1+36,""))</f>
        <v/>
      </c>
      <c r="D28" s="815"/>
      <c r="E28" s="814" t="str">
        <f>IF(DAY(MaySun1)=1,IF(AND(YEAR(MaySun1+30)=CalendarYear,MONTH(MaySun1+30)=5),MaySun1+30,""),IF(AND(YEAR(MaySun1+37)=CalendarYear,MONTH(MaySun1+37)=5),MaySun1+37,""))</f>
        <v/>
      </c>
      <c r="F28" s="814" t="str">
        <f>IF(DAY(MaySun1)=1,IF(AND(YEAR(MaySun1+31)=CalendarYear,MONTH(MaySun1+31)=5),MaySun1+31,""),IF(AND(YEAR(MaySun1+38)=CalendarYear,MONTH(MaySun1+38)=5),MaySun1+38,""))</f>
        <v/>
      </c>
      <c r="G28" s="814" t="str">
        <f>IF(DAY(MaySun1)=1,IF(AND(YEAR(MaySun1+32)=CalendarYear,MONTH(MaySun1+32)=5),MaySun1+32,""),IF(AND(YEAR(MaySun1+39)=CalendarYear,MONTH(MaySun1+39)=5),MaySun1+39,""))</f>
        <v/>
      </c>
      <c r="H28" s="814" t="str">
        <f>IF(DAY(MaySun1)=1,IF(AND(YEAR(MaySun1+33)=CalendarYear,MONTH(MaySun1+33)=5),MaySun1+33,""),IF(AND(YEAR(MaySun1+40)=CalendarYear,MONTH(MaySun1+40)=5),MaySun1+40,""))</f>
        <v/>
      </c>
      <c r="I28" s="814" t="str">
        <f>IF(DAY(MaySun1)=1,IF(AND(YEAR(MaySun1+34)=CalendarYear,MONTH(MaySun1+34)=5),MaySun1+34,""),IF(AND(YEAR(MaySun1+41)=CalendarYear,MONTH(MaySun1+41)=5),MaySun1+41,""))</f>
        <v/>
      </c>
      <c r="J28" s="814" t="str">
        <f>IF(DAY(MaySun1)=1,IF(AND(YEAR(MaySun1+35)=CalendarYear,MONTH(MaySun1+35)=5),MaySun1+35,""),IF(AND(YEAR(MaySun1+42)=CalendarYear,MONTH(MaySun1+42)=5),MaySun1+42,""))</f>
        <v/>
      </c>
      <c r="K28" s="815" t="str">
        <f t="shared" si="15"/>
        <v/>
      </c>
      <c r="L28" s="814"/>
      <c r="M28" s="814" t="str">
        <f>IF(DAY(JunSun1)=1,IF(AND(YEAR(JunSun1+29)=CalendarYear,MONTH(JunSun1+29)=6),JunSun1+29,""),IF(AND(YEAR(JunSun1+36)=CalendarYear,MONTH(JunSun1+36)=6),JunSun1+36,""))</f>
        <v/>
      </c>
      <c r="N28" s="815"/>
      <c r="O28" s="814" t="str">
        <f>IF(DAY(JunSun1)=1,IF(AND(YEAR(JunSun1+30)=CalendarYear,MONTH(JunSun1+30)=6),JunSun1+30,""),IF(AND(YEAR(JunSun1+37)=CalendarYear,MONTH(JunSun1+37)=6),JunSun1+37,""))</f>
        <v/>
      </c>
      <c r="P28" s="814" t="str">
        <f>IF(DAY(JunSun1)=1,IF(AND(YEAR(JunSun1+31)=CalendarYear,MONTH(JunSun1+31)=6),JunSun1+31,""),IF(AND(YEAR(JunSun1+38)=CalendarYear,MONTH(JunSun1+38)=6),JunSun1+38,""))</f>
        <v/>
      </c>
      <c r="Q28" s="814" t="str">
        <f>IF(DAY(JunSun1)=1,IF(AND(YEAR(JunSun1+32)=CalendarYear,MONTH(JunSun1+32)=6),JunSun1+32,""),IF(AND(YEAR(JunSun1+39)=CalendarYear,MONTH(JunSun1+39)=6),JunSun1+39,""))</f>
        <v/>
      </c>
      <c r="R28" s="814" t="str">
        <f>IF(DAY(JunSun1)=1,IF(AND(YEAR(JunSun1+33)=CalendarYear,MONTH(JunSun1+33)=6),JunSun1+33,""),IF(AND(YEAR(JunSun1+40)=CalendarYear,MONTH(JunSun1+40)=6),JunSun1+40,""))</f>
        <v/>
      </c>
      <c r="S28" s="814" t="str">
        <f>IF(DAY(JunSun1)=1,IF(AND(YEAR(JunSun1+34)=CalendarYear,MONTH(JunSun1+34)=6),JunSun1+34,""),IF(AND(YEAR(JunSun1+41)=CalendarYear,MONTH(JunSun1+41)=6),JunSun1+41,""))</f>
        <v/>
      </c>
      <c r="T28" s="814" t="str">
        <f>IF(DAY(JunSun1)=1,IF(AND(YEAR(JunSun1+35)=CalendarYear,MONTH(JunSun1+35)=6),JunSun1+35,""),IF(AND(YEAR(JunSun1+42)=CalendarYear,MONTH(JunSun1+42)=6),JunSun1+42,""))</f>
        <v/>
      </c>
      <c r="U28" s="815" t="str">
        <f t="shared" si="16"/>
        <v/>
      </c>
      <c r="W28" s="802"/>
      <c r="Y28" s="841"/>
      <c r="Z28" s="817"/>
      <c r="AA28" s="824"/>
      <c r="AB28" s="802"/>
      <c r="AC28" s="825"/>
      <c r="AJ28" s="806" t="s">
        <v>1181</v>
      </c>
      <c r="AK28" s="806" t="s">
        <v>1132</v>
      </c>
      <c r="AL28" s="807">
        <v>44290</v>
      </c>
      <c r="AP28" s="806">
        <f t="shared" si="12"/>
        <v>0</v>
      </c>
      <c r="AQ28" s="806">
        <f t="shared" si="13"/>
        <v>0</v>
      </c>
      <c r="AS28" s="806">
        <f t="shared" si="14"/>
        <v>0</v>
      </c>
    </row>
    <row r="29" spans="3:45" ht="15" customHeight="1">
      <c r="D29" s="815"/>
      <c r="K29" s="815"/>
      <c r="L29" s="814"/>
      <c r="N29" s="815"/>
      <c r="U29" s="815"/>
      <c r="W29" s="802"/>
      <c r="Y29" s="841" t="s">
        <v>1220</v>
      </c>
      <c r="Z29" s="817">
        <v>122</v>
      </c>
      <c r="AA29" s="824"/>
      <c r="AB29" s="802"/>
      <c r="AC29" s="825"/>
      <c r="AJ29" s="806" t="s">
        <v>1182</v>
      </c>
      <c r="AK29" s="806" t="s">
        <v>1134</v>
      </c>
      <c r="AL29" s="807">
        <v>44291</v>
      </c>
      <c r="AP29" s="806">
        <f t="shared" si="12"/>
        <v>0</v>
      </c>
      <c r="AQ29" s="806">
        <f t="shared" si="13"/>
        <v>0</v>
      </c>
      <c r="AS29" s="806">
        <f t="shared" si="14"/>
        <v>0</v>
      </c>
    </row>
    <row r="30" spans="3:45" ht="15" customHeight="1">
      <c r="C30" s="809" t="s">
        <v>1183</v>
      </c>
      <c r="D30" s="821"/>
      <c r="E30" s="809"/>
      <c r="F30" s="809"/>
      <c r="G30" s="809"/>
      <c r="H30" s="809"/>
      <c r="I30" s="809"/>
      <c r="J30" s="809"/>
      <c r="K30" s="821"/>
      <c r="L30" s="827"/>
      <c r="M30" s="809" t="s">
        <v>1184</v>
      </c>
      <c r="N30" s="821"/>
      <c r="O30" s="809"/>
      <c r="P30" s="810"/>
      <c r="Q30" s="810"/>
      <c r="R30" s="810"/>
      <c r="S30" s="810"/>
      <c r="T30" s="810"/>
      <c r="U30" s="815"/>
      <c r="W30" s="802"/>
      <c r="Y30" s="841" t="s">
        <v>1221</v>
      </c>
      <c r="Z30" s="817">
        <v>60</v>
      </c>
      <c r="AA30" s="824"/>
      <c r="AB30" s="802"/>
      <c r="AC30" s="825"/>
      <c r="AJ30" s="806" t="s">
        <v>1185</v>
      </c>
      <c r="AK30" s="806" t="s">
        <v>1136</v>
      </c>
      <c r="AL30" s="807">
        <v>44313</v>
      </c>
      <c r="AP30" s="806">
        <f t="shared" si="12"/>
        <v>0</v>
      </c>
      <c r="AQ30" s="806">
        <f t="shared" si="13"/>
        <v>0</v>
      </c>
      <c r="AS30" s="806">
        <f t="shared" si="14"/>
        <v>0</v>
      </c>
    </row>
    <row r="31" spans="3:45" ht="15" customHeight="1" thickBot="1">
      <c r="C31" s="811" t="s">
        <v>404</v>
      </c>
      <c r="D31" s="811"/>
      <c r="E31" s="811" t="s">
        <v>1127</v>
      </c>
      <c r="F31" s="811" t="s">
        <v>1128</v>
      </c>
      <c r="G31" s="811" t="s">
        <v>1129</v>
      </c>
      <c r="H31" s="811" t="s">
        <v>1128</v>
      </c>
      <c r="I31" s="811" t="s">
        <v>53</v>
      </c>
      <c r="J31" s="811" t="s">
        <v>404</v>
      </c>
      <c r="K31" s="815" t="str">
        <f t="shared" ref="K31:K37" si="19">IF(ISTEXT(J31),"","w")</f>
        <v/>
      </c>
      <c r="L31" s="814"/>
      <c r="M31" s="811" t="s">
        <v>404</v>
      </c>
      <c r="N31" s="811"/>
      <c r="O31" s="811" t="s">
        <v>1127</v>
      </c>
      <c r="P31" s="811" t="s">
        <v>1128</v>
      </c>
      <c r="Q31" s="811" t="s">
        <v>1129</v>
      </c>
      <c r="R31" s="811" t="s">
        <v>1128</v>
      </c>
      <c r="S31" s="811" t="s">
        <v>53</v>
      </c>
      <c r="T31" s="811" t="s">
        <v>404</v>
      </c>
      <c r="U31" s="815" t="str">
        <f t="shared" ref="U31:U37" si="20">IF(ISTEXT(T31),"","w")</f>
        <v/>
      </c>
      <c r="W31" s="802"/>
      <c r="Y31" s="842" t="s">
        <v>1222</v>
      </c>
      <c r="Z31" s="817">
        <v>2</v>
      </c>
      <c r="AB31" s="802"/>
      <c r="AC31" s="825"/>
      <c r="AJ31" s="806" t="s">
        <v>1186</v>
      </c>
      <c r="AK31" s="806" t="s">
        <v>1139</v>
      </c>
      <c r="AL31" s="807">
        <v>44329</v>
      </c>
      <c r="AP31" s="806">
        <f t="shared" si="12"/>
        <v>0</v>
      </c>
      <c r="AQ31" s="806">
        <f t="shared" si="13"/>
        <v>0</v>
      </c>
      <c r="AS31" s="806">
        <f t="shared" si="14"/>
        <v>0</v>
      </c>
    </row>
    <row r="32" spans="3:45" ht="15" customHeight="1" thickTop="1" thickBot="1">
      <c r="C32" s="814" t="str">
        <f>IF(DAY(JulSun1)=1,"",IF(AND(YEAR(JulSun1+1)=CalendarYear,MONTH(JulSun1+1)=7),JulSun1+1,""))</f>
        <v/>
      </c>
      <c r="D32" s="815" t="str">
        <f t="shared" ref="D32:D37" si="21">IF(ISTEXT(C32),"","w")</f>
        <v/>
      </c>
      <c r="E32" s="814" t="str">
        <f>IF(DAY(JulSun1)=1,"",IF(AND(YEAR(JulSun1+2)=CalendarYear,MONTH(JulSun1+2)=7),JulSun1+2,""))</f>
        <v/>
      </c>
      <c r="F32" s="837">
        <f>IF(DAY(JulSun1)=1,"",IF(AND(YEAR(JulSun1+3)=CalendarYear,MONTH(JulSun1+3)=7),JulSun1+3,""))</f>
        <v>44013</v>
      </c>
      <c r="G32" s="837">
        <f>IF(DAY(JulSun1)=1,"",IF(AND(YEAR(JulSun1+4)=CalendarYear,MONTH(JulSun1+4)=7),JulSun1+4,""))</f>
        <v>44014</v>
      </c>
      <c r="H32" s="837">
        <f>IF(DAY(JulSun1)=1,"",IF(AND(YEAR(JulSun1+5)=CalendarYear,MONTH(JulSun1+5)=7),JulSun1+5,""))</f>
        <v>44015</v>
      </c>
      <c r="I32" s="837">
        <f>IF(DAY(JulSun1)=1,"",IF(AND(YEAR(JulSun1+6)=CalendarYear,MONTH(JulSun1+6)=7),JulSun1+6,""))</f>
        <v>44016</v>
      </c>
      <c r="J32" s="837">
        <f>IF(DAY(JulSun1)=1,IF(AND(YEAR(JulSun1)=CalendarYear,MONTH(JulSun1)=7),JulSun1,""),IF(AND(YEAR(JulSun1+7)=CalendarYear,MONTH(JulSun1+7)=7),JulSun1+7,""))</f>
        <v>44017</v>
      </c>
      <c r="K32" s="815" t="str">
        <f t="shared" si="19"/>
        <v>w</v>
      </c>
      <c r="M32" s="814" t="str">
        <f>IF(DAY(AugSun1)=1,"",IF(AND(YEAR(AugSun1+1)=CalendarYear,MONTH(AugSun1+1)=8),AugSun1+1,""))</f>
        <v/>
      </c>
      <c r="N32" s="815" t="str">
        <f>IF(ISTEXT(M32),"","w")</f>
        <v/>
      </c>
      <c r="O32" s="814" t="str">
        <f>IF(DAY(AugSun1)=1,"",IF(AND(YEAR(AugSun1+2)=CalendarYear,MONTH(AugSun1+2)=8),AugSun1+2,""))</f>
        <v/>
      </c>
      <c r="P32" s="814" t="str">
        <f>IF(DAY(AugSun1)=1,"",IF(AND(YEAR(AugSun1+3)=CalendarYear,MONTH(AugSun1+3)=8),AugSun1+3,""))</f>
        <v/>
      </c>
      <c r="Q32" s="814" t="str">
        <f>IF(DAY(AugSun1)=1,"",IF(AND(YEAR(AugSun1+4)=CalendarYear,MONTH(AugSun1+4)=8),AugSun1+4,""))</f>
        <v/>
      </c>
      <c r="R32" s="814" t="str">
        <f>IF(DAY(AugSun1)=1,"",IF(AND(YEAR(AugSun1+5)=CalendarYear,MONTH(AugSun1+5)=8),AugSun1+5,""))</f>
        <v/>
      </c>
      <c r="S32" s="837">
        <f>IF(DAY(AugSun1)=1,"",IF(AND(YEAR(AugSun1+6)=CalendarYear,MONTH(AugSun1+6)=8),AugSun1+6,""))</f>
        <v>44044</v>
      </c>
      <c r="T32" s="837">
        <f>IF(DAY(AugSun1)=1,IF(AND(YEAR(AugSun1)=CalendarYear,MONTH(AugSun1)=8),AugSun1,""),IF(AND(YEAR(AugSun1+7)=CalendarYear,MONTH(AugSun1+7)=8),AugSun1+7,""))</f>
        <v>44045</v>
      </c>
      <c r="U32" s="815" t="str">
        <f t="shared" si="20"/>
        <v>w</v>
      </c>
      <c r="W32" s="802"/>
      <c r="Y32" s="829"/>
      <c r="AB32" s="802"/>
      <c r="AC32" s="825"/>
      <c r="AJ32" s="806" t="s">
        <v>1187</v>
      </c>
      <c r="AK32" s="806" t="s">
        <v>1141</v>
      </c>
      <c r="AL32" s="807">
        <v>44339</v>
      </c>
      <c r="AP32" s="806">
        <f t="shared" ref="AP32:AP37" si="22">COUNT(C32:T32)</f>
        <v>7</v>
      </c>
      <c r="AQ32" s="806">
        <f t="shared" ref="AQ32:AQ37" si="23">COUNT(O32)+COUNT(E32)</f>
        <v>0</v>
      </c>
      <c r="AS32" s="806">
        <f t="shared" si="14"/>
        <v>7</v>
      </c>
    </row>
    <row r="33" spans="3:45" ht="15" customHeight="1" thickTop="1" thickBot="1">
      <c r="C33" s="837">
        <f>IF(DAY(JulSun1)=1,IF(AND(YEAR(JulSun1+1)=CalendarYear,MONTH(JulSun1+1)=7),JulSun1+1,""),IF(AND(YEAR(JulSun1+8)=CalendarYear,MONTH(JulSun1+8)=7),JulSun1+8,""))</f>
        <v>44018</v>
      </c>
      <c r="D33" s="838" t="str">
        <f t="shared" si="21"/>
        <v>w</v>
      </c>
      <c r="E33" s="837">
        <f>IF(DAY(JulSun1)=1,IF(AND(YEAR(JulSun1+2)=CalendarYear,MONTH(JulSun1+2)=7),JulSun1+2,""),IF(AND(YEAR(JulSun1+9)=CalendarYear,MONTH(JulSun1+9)=7),JulSun1+9,""))</f>
        <v>44019</v>
      </c>
      <c r="F33" s="837">
        <f>IF(DAY(JulSun1)=1,IF(AND(YEAR(JulSun1+3)=CalendarYear,MONTH(JulSun1+3)=7),JulSun1+3,""),IF(AND(YEAR(JulSun1+10)=CalendarYear,MONTH(JulSun1+10)=7),JulSun1+10,""))</f>
        <v>44020</v>
      </c>
      <c r="G33" s="837">
        <f>IF(DAY(JulSun1)=1,IF(AND(YEAR(JulSun1+4)=CalendarYear,MONTH(JulSun1+4)=7),JulSun1+4,""),IF(AND(YEAR(JulSun1+11)=CalendarYear,MONTH(JulSun1+11)=7),JulSun1+11,""))</f>
        <v>44021</v>
      </c>
      <c r="H33" s="837">
        <f>IF(DAY(JulSun1)=1,IF(AND(YEAR(JulSun1+5)=CalendarYear,MONTH(JulSun1+5)=7),JulSun1+5,""),IF(AND(YEAR(JulSun1+12)=CalendarYear,MONTH(JulSun1+12)=7),JulSun1+12,""))</f>
        <v>44022</v>
      </c>
      <c r="I33" s="837">
        <f>IF(DAY(JulSun1)=1,IF(AND(YEAR(JulSun1+6)=CalendarYear,MONTH(JulSun1+6)=7),JulSun1+6,""),IF(AND(YEAR(JulSun1+13)=CalendarYear,MONTH(JulSun1+13)=7),JulSun1+13,""))</f>
        <v>44023</v>
      </c>
      <c r="J33" s="837">
        <f>IF(DAY(JulSun1)=1,IF(AND(YEAR(JulSun1+7)=CalendarYear,MONTH(JulSun1+7)=7),JulSun1+7,""),IF(AND(YEAR(JulSun1+14)=CalendarYear,MONTH(JulSun1+14)=7),JulSun1+14,""))</f>
        <v>44024</v>
      </c>
      <c r="K33" s="815" t="str">
        <f t="shared" si="19"/>
        <v>w</v>
      </c>
      <c r="M33" s="837">
        <f>IF(DAY(AugSun1)=1,IF(AND(YEAR(AugSun1+1)=CalendarYear,MONTH(AugSun1+1)=8),AugSun1+1,""),IF(AND(YEAR(AugSun1+8)=CalendarYear,MONTH(AugSun1+8)=8),AugSun1+8,""))</f>
        <v>44046</v>
      </c>
      <c r="N33" s="838" t="str">
        <f>IF(ISTEXT(M33),"","w")</f>
        <v>w</v>
      </c>
      <c r="O33" s="837">
        <f>IF(DAY(AugSun1)=1,IF(AND(YEAR(AugSun1+2)=CalendarYear,MONTH(AugSun1+2)=8),AugSun1+2,""),IF(AND(YEAR(AugSun1+9)=CalendarYear,MONTH(AugSun1+9)=8),AugSun1+9,""))</f>
        <v>44047</v>
      </c>
      <c r="P33" s="837">
        <f>IF(DAY(AugSun1)=1,IF(AND(YEAR(AugSun1+3)=CalendarYear,MONTH(AugSun1+3)=8),AugSun1+3,""),IF(AND(YEAR(AugSun1+10)=CalendarYear,MONTH(AugSun1+10)=8),AugSun1+10,""))</f>
        <v>44048</v>
      </c>
      <c r="Q33" s="837">
        <f>IF(DAY(AugSun1)=1,IF(AND(YEAR(AugSun1+4)=CalendarYear,MONTH(AugSun1+4)=8),AugSun1+4,""),IF(AND(YEAR(AugSun1+11)=CalendarYear,MONTH(AugSun1+11)=8),AugSun1+11,""))</f>
        <v>44049</v>
      </c>
      <c r="R33" s="837">
        <f>IF(DAY(AugSun1)=1,IF(AND(YEAR(AugSun1+5)=CalendarYear,MONTH(AugSun1+5)=8),AugSun1+5,""),IF(AND(YEAR(AugSun1+12)=CalendarYear,MONTH(AugSun1+12)=8),AugSun1+12,""))</f>
        <v>44050</v>
      </c>
      <c r="S33" s="837">
        <f>IF(DAY(AugSun1)=1,IF(AND(YEAR(AugSun1+6)=CalendarYear,MONTH(AugSun1+6)=8),AugSun1+6,""),IF(AND(YEAR(AugSun1+13)=CalendarYear,MONTH(AugSun1+13)=8),AugSun1+13,""))</f>
        <v>44051</v>
      </c>
      <c r="T33" s="837">
        <f>IF(DAY(AugSun1)=1,IF(AND(YEAR(AugSun1+7)=CalendarYear,MONTH(AugSun1+7)=8),AugSun1+7,""),IF(AND(YEAR(AugSun1+14)=CalendarYear,MONTH(AugSun1+14)=8),AugSun1+14,""))</f>
        <v>44052</v>
      </c>
      <c r="U33" s="815" t="str">
        <f t="shared" si="20"/>
        <v>w</v>
      </c>
      <c r="W33" s="802"/>
      <c r="Y33" s="830"/>
      <c r="AB33" s="802"/>
      <c r="AJ33" s="806" t="s">
        <v>1188</v>
      </c>
      <c r="AK33" s="806" t="s">
        <v>1143</v>
      </c>
      <c r="AL33" s="807">
        <v>44340</v>
      </c>
      <c r="AP33" s="806">
        <f t="shared" si="22"/>
        <v>14</v>
      </c>
      <c r="AQ33" s="806">
        <f t="shared" si="23"/>
        <v>2</v>
      </c>
      <c r="AS33" s="806">
        <f t="shared" si="14"/>
        <v>12</v>
      </c>
    </row>
    <row r="34" spans="3:45" ht="15" customHeight="1" thickTop="1" thickBot="1">
      <c r="C34" s="837">
        <f>IF(DAY(JulSun1)=1,IF(AND(YEAR(JulSun1+8)=CalendarYear,MONTH(JulSun1+8)=7),JulSun1+8,""),IF(AND(YEAR(JulSun1+15)=CalendarYear,MONTH(JulSun1+15)=7),JulSun1+15,""))</f>
        <v>44025</v>
      </c>
      <c r="D34" s="838" t="str">
        <f t="shared" si="21"/>
        <v>w</v>
      </c>
      <c r="E34" s="837">
        <f>IF(DAY(JulSun1)=1,IF(AND(YEAR(JulSun1+9)=CalendarYear,MONTH(JulSun1+9)=7),JulSun1+9,""),IF(AND(YEAR(JulSun1+16)=CalendarYear,MONTH(JulSun1+16)=7),JulSun1+16,""))</f>
        <v>44026</v>
      </c>
      <c r="F34" s="837">
        <f>IF(DAY(JulSun1)=1,IF(AND(YEAR(JulSun1+10)=CalendarYear,MONTH(JulSun1+10)=7),JulSun1+10,""),IF(AND(YEAR(JulSun1+17)=CalendarYear,MONTH(JulSun1+17)=7),JulSun1+17,""))</f>
        <v>44027</v>
      </c>
      <c r="G34" s="837">
        <f>IF(DAY(JulSun1)=1,IF(AND(YEAR(JulSun1+11)=CalendarYear,MONTH(JulSun1+11)=7),JulSun1+11,""),IF(AND(YEAR(JulSun1+18)=CalendarYear,MONTH(JulSun1+18)=7),JulSun1+18,""))</f>
        <v>44028</v>
      </c>
      <c r="H34" s="837">
        <f>IF(DAY(JulSun1)=1,IF(AND(YEAR(JulSun1+12)=CalendarYear,MONTH(JulSun1+12)=7),JulSun1+12,""),IF(AND(YEAR(JulSun1+19)=CalendarYear,MONTH(JulSun1+19)=7),JulSun1+19,""))</f>
        <v>44029</v>
      </c>
      <c r="I34" s="837">
        <f>IF(DAY(JulSun1)=1,IF(AND(YEAR(JulSun1+13)=CalendarYear,MONTH(JulSun1+13)=7),JulSun1+13,""),IF(AND(YEAR(JulSun1+20)=CalendarYear,MONTH(JulSun1+20)=7),JulSun1+20,""))</f>
        <v>44030</v>
      </c>
      <c r="J34" s="837">
        <f>IF(DAY(JulSun1)=1,IF(AND(YEAR(JulSun1+14)=CalendarYear,MONTH(JulSun1+14)=7),JulSun1+14,""),IF(AND(YEAR(JulSun1+21)=CalendarYear,MONTH(JulSun1+21)=7),JulSun1+21,""))</f>
        <v>44031</v>
      </c>
      <c r="K34" s="815" t="str">
        <f t="shared" si="19"/>
        <v>w</v>
      </c>
      <c r="M34" s="837">
        <f>IF(DAY(AugSun1)=1,IF(AND(YEAR(AugSun1+8)=CalendarYear,MONTH(AugSun1+8)=8),AugSun1+8,""),IF(AND(YEAR(AugSun1+15)=CalendarYear,MONTH(AugSun1+15)=8),AugSun1+15,""))</f>
        <v>44053</v>
      </c>
      <c r="N34" s="838" t="str">
        <f>IF(ISTEXT(M34),"","w")</f>
        <v>w</v>
      </c>
      <c r="O34" s="837">
        <f>IF(DAY(AugSun1)=1,IF(AND(YEAR(AugSun1+9)=CalendarYear,MONTH(AugSun1+9)=8),AugSun1+9,""),IF(AND(YEAR(AugSun1+16)=CalendarYear,MONTH(AugSun1+16)=8),AugSun1+16,""))</f>
        <v>44054</v>
      </c>
      <c r="P34" s="837">
        <f>IF(DAY(AugSun1)=1,IF(AND(YEAR(AugSun1+10)=CalendarYear,MONTH(AugSun1+10)=8),AugSun1+10,""),IF(AND(YEAR(AugSun1+17)=CalendarYear,MONTH(AugSun1+17)=8),AugSun1+17,""))</f>
        <v>44055</v>
      </c>
      <c r="Q34" s="837">
        <f>IF(DAY(AugSun1)=1,IF(AND(YEAR(AugSun1+11)=CalendarYear,MONTH(AugSun1+11)=8),AugSun1+11,""),IF(AND(YEAR(AugSun1+18)=CalendarYear,MONTH(AugSun1+18)=8),AugSun1+18,""))</f>
        <v>44056</v>
      </c>
      <c r="R34" s="837">
        <f>IF(DAY(AugSun1)=1,IF(AND(YEAR(AugSun1+12)=CalendarYear,MONTH(AugSun1+12)=8),AugSun1+12,""),IF(AND(YEAR(AugSun1+19)=CalendarYear,MONTH(AugSun1+19)=8),AugSun1+19,""))</f>
        <v>44057</v>
      </c>
      <c r="S34" s="837">
        <f>IF(DAY(AugSun1)=1,IF(AND(YEAR(AugSun1+13)=CalendarYear,MONTH(AugSun1+13)=8),AugSun1+13,""),IF(AND(YEAR(AugSun1+20)=CalendarYear,MONTH(AugSun1+20)=8),AugSun1+20,""))</f>
        <v>44058</v>
      </c>
      <c r="T34" s="837">
        <f>IF(DAY(AugSun1)=1,IF(AND(YEAR(AugSun1+14)=CalendarYear,MONTH(AugSun1+14)=8),AugSun1+14,""),IF(AND(YEAR(AugSun1+21)=CalendarYear,MONTH(AugSun1+21)=8),AugSun1+21,""))</f>
        <v>44059</v>
      </c>
      <c r="U34" s="815" t="str">
        <f t="shared" si="20"/>
        <v>w</v>
      </c>
      <c r="W34" s="802"/>
      <c r="Y34" s="828"/>
      <c r="AB34" s="802"/>
      <c r="AJ34" s="806" t="s">
        <v>1189</v>
      </c>
      <c r="AK34" s="806" t="s">
        <v>1146</v>
      </c>
      <c r="AL34" s="807">
        <v>44555</v>
      </c>
      <c r="AP34" s="806">
        <f t="shared" si="22"/>
        <v>14</v>
      </c>
      <c r="AQ34" s="806">
        <f t="shared" si="23"/>
        <v>2</v>
      </c>
      <c r="AS34" s="806">
        <f t="shared" si="14"/>
        <v>12</v>
      </c>
    </row>
    <row r="35" spans="3:45" ht="15" customHeight="1" thickTop="1" thickBot="1">
      <c r="C35" s="837">
        <f>IF(DAY(JulSun1)=1,IF(AND(YEAR(JulSun1+15)=CalendarYear,MONTH(JulSun1+15)=7),JulSun1+15,""),IF(AND(YEAR(JulSun1+22)=CalendarYear,MONTH(JulSun1+22)=7),JulSun1+22,""))</f>
        <v>44032</v>
      </c>
      <c r="D35" s="838" t="str">
        <f t="shared" si="21"/>
        <v>w</v>
      </c>
      <c r="E35" s="837">
        <f>IF(DAY(JulSun1)=1,IF(AND(YEAR(JulSun1+16)=CalendarYear,MONTH(JulSun1+16)=7),JulSun1+16,""),IF(AND(YEAR(JulSun1+23)=CalendarYear,MONTH(JulSun1+23)=7),JulSun1+23,""))</f>
        <v>44033</v>
      </c>
      <c r="F35" s="837">
        <f>IF(DAY(JulSun1)=1,IF(AND(YEAR(JulSun1+17)=CalendarYear,MONTH(JulSun1+17)=7),JulSun1+17,""),IF(AND(YEAR(JulSun1+24)=CalendarYear,MONTH(JulSun1+24)=7),JulSun1+24,""))</f>
        <v>44034</v>
      </c>
      <c r="G35" s="837">
        <f>IF(DAY(JulSun1)=1,IF(AND(YEAR(JulSun1+18)=CalendarYear,MONTH(JulSun1+18)=7),JulSun1+18,""),IF(AND(YEAR(JulSun1+25)=CalendarYear,MONTH(JulSun1+25)=7),JulSun1+25,""))</f>
        <v>44035</v>
      </c>
      <c r="H35" s="837">
        <f>IF(DAY(JulSun1)=1,IF(AND(YEAR(JulSun1+19)=CalendarYear,MONTH(JulSun1+19)=7),JulSun1+19,""),IF(AND(YEAR(JulSun1+26)=CalendarYear,MONTH(JulSun1+26)=7),JulSun1+26,""))</f>
        <v>44036</v>
      </c>
      <c r="I35" s="837">
        <f>IF(DAY(JulSun1)=1,IF(AND(YEAR(JulSun1+20)=CalendarYear,MONTH(JulSun1+20)=7),JulSun1+20,""),IF(AND(YEAR(JulSun1+27)=CalendarYear,MONTH(JulSun1+27)=7),JulSun1+27,""))</f>
        <v>44037</v>
      </c>
      <c r="J35" s="837">
        <f>IF(DAY(JulSun1)=1,IF(AND(YEAR(JulSun1+21)=CalendarYear,MONTH(JulSun1+21)=7),JulSun1+21,""),IF(AND(YEAR(JulSun1+28)=CalendarYear,MONTH(JulSun1+28)=7),JulSun1+28,""))</f>
        <v>44038</v>
      </c>
      <c r="K35" s="815" t="str">
        <f t="shared" si="19"/>
        <v>w</v>
      </c>
      <c r="M35" s="837">
        <f>IF(DAY(AugSun1)=1,IF(AND(YEAR(AugSun1+15)=CalendarYear,MONTH(AugSun1+15)=8),AugSun1+15,""),IF(AND(YEAR(AugSun1+22)=CalendarYear,MONTH(AugSun1+22)=8),AugSun1+22,""))</f>
        <v>44060</v>
      </c>
      <c r="N35" s="838" t="str">
        <f>IF(ISTEXT(M35),"","w")</f>
        <v>w</v>
      </c>
      <c r="O35" s="837">
        <f>IF(DAY(AugSun1)=1,IF(AND(YEAR(AugSun1+16)=CalendarYear,MONTH(AugSun1+16)=8),AugSun1+16,""),IF(AND(YEAR(AugSun1+23)=CalendarYear,MONTH(AugSun1+23)=8),AugSun1+23,""))</f>
        <v>44061</v>
      </c>
      <c r="P35" s="837">
        <f>IF(DAY(AugSun1)=1,IF(AND(YEAR(AugSun1+17)=CalendarYear,MONTH(AugSun1+17)=8),AugSun1+17,""),IF(AND(YEAR(AugSun1+24)=CalendarYear,MONTH(AugSun1+24)=8),AugSun1+24,""))</f>
        <v>44062</v>
      </c>
      <c r="Q35" s="837">
        <f>IF(DAY(AugSun1)=1,IF(AND(YEAR(AugSun1+18)=CalendarYear,MONTH(AugSun1+18)=8),AugSun1+18,""),IF(AND(YEAR(AugSun1+25)=CalendarYear,MONTH(AugSun1+25)=8),AugSun1+25,""))</f>
        <v>44063</v>
      </c>
      <c r="R35" s="837">
        <f>IF(DAY(AugSun1)=1,IF(AND(YEAR(AugSun1+19)=CalendarYear,MONTH(AugSun1+19)=8),AugSun1+19,""),IF(AND(YEAR(AugSun1+26)=CalendarYear,MONTH(AugSun1+26)=8),AugSun1+26,""))</f>
        <v>44064</v>
      </c>
      <c r="S35" s="837">
        <f>IF(DAY(AugSun1)=1,IF(AND(YEAR(AugSun1+20)=CalendarYear,MONTH(AugSun1+20)=8),AugSun1+20,""),IF(AND(YEAR(AugSun1+27)=CalendarYear,MONTH(AugSun1+27)=8),AugSun1+27,""))</f>
        <v>44065</v>
      </c>
      <c r="T35" s="837">
        <f>IF(DAY(AugSun1)=1,IF(AND(YEAR(AugSun1+21)=CalendarYear,MONTH(AugSun1+21)=8),AugSun1+21,""),IF(AND(YEAR(AugSun1+28)=CalendarYear,MONTH(AugSun1+28)=8),AugSun1+28,""))</f>
        <v>44066</v>
      </c>
      <c r="U35" s="815" t="str">
        <f t="shared" si="20"/>
        <v>w</v>
      </c>
      <c r="W35" s="802"/>
      <c r="Y35" s="829"/>
      <c r="AA35" s="831"/>
      <c r="AB35" s="802"/>
      <c r="AJ35" s="806" t="s">
        <v>1190</v>
      </c>
      <c r="AK35" s="818" t="s">
        <v>1148</v>
      </c>
      <c r="AL35" s="807">
        <v>44556</v>
      </c>
      <c r="AP35" s="806">
        <f t="shared" si="22"/>
        <v>14</v>
      </c>
      <c r="AQ35" s="806">
        <f t="shared" si="23"/>
        <v>2</v>
      </c>
      <c r="AS35" s="806">
        <f t="shared" si="14"/>
        <v>12</v>
      </c>
    </row>
    <row r="36" spans="3:45" ht="15" customHeight="1" thickTop="1" thickBot="1">
      <c r="C36" s="837">
        <f>IF(DAY(JulSun1)=1,IF(AND(YEAR(JulSun1+22)=CalendarYear,MONTH(JulSun1+22)=7),JulSun1+22,""),IF(AND(YEAR(JulSun1+29)=CalendarYear,MONTH(JulSun1+29)=7),JulSun1+29,""))</f>
        <v>44039</v>
      </c>
      <c r="D36" s="838" t="str">
        <f t="shared" si="21"/>
        <v>w</v>
      </c>
      <c r="E36" s="837">
        <f>IF(DAY(JulSun1)=1,IF(AND(YEAR(JulSun1+23)=CalendarYear,MONTH(JulSun1+23)=7),JulSun1+23,""),IF(AND(YEAR(JulSun1+30)=CalendarYear,MONTH(JulSun1+30)=7),JulSun1+30,""))</f>
        <v>44040</v>
      </c>
      <c r="F36" s="837">
        <f>IF(DAY(JulSun1)=1,IF(AND(YEAR(JulSun1+24)=CalendarYear,MONTH(JulSun1+24)=7),JulSun1+24,""),IF(AND(YEAR(JulSun1+31)=CalendarYear,MONTH(JulSun1+31)=7),JulSun1+31,""))</f>
        <v>44041</v>
      </c>
      <c r="G36" s="837">
        <f>IF(DAY(JulSun1)=1,IF(AND(YEAR(JulSun1+25)=CalendarYear,MONTH(JulSun1+25)=7),JulSun1+25,""),IF(AND(YEAR(JulSun1+32)=CalendarYear,MONTH(JulSun1+32)=7),JulSun1+32,""))</f>
        <v>44042</v>
      </c>
      <c r="H36" s="837">
        <f>IF(DAY(JulSun1)=1,IF(AND(YEAR(JulSun1+26)=CalendarYear,MONTH(JulSun1+26)=7),JulSun1+26,""),IF(AND(YEAR(JulSun1+33)=CalendarYear,MONTH(JulSun1+33)=7),JulSun1+33,""))</f>
        <v>44043</v>
      </c>
      <c r="I36" s="814" t="str">
        <f>IF(DAY(JulSun1)=1,IF(AND(YEAR(JulSun1+27)=CalendarYear,MONTH(JulSun1+27)=7),JulSun1+27,""),IF(AND(YEAR(JulSun1+34)=CalendarYear,MONTH(JulSun1+34)=7),JulSun1+34,""))</f>
        <v/>
      </c>
      <c r="J36" s="814" t="str">
        <f>IF(DAY(JulSun1)=1,IF(AND(YEAR(JulSun1+28)=CalendarYear,MONTH(JulSun1+28)=7),JulSun1+28,""),IF(AND(YEAR(JulSun1+35)=CalendarYear,MONTH(JulSun1+35)=7),JulSun1+35,""))</f>
        <v/>
      </c>
      <c r="K36" s="815" t="str">
        <f t="shared" si="19"/>
        <v/>
      </c>
      <c r="M36" s="837">
        <f>IF(DAY(AugSun1)=1,IF(AND(YEAR(AugSun1+22)=CalendarYear,MONTH(AugSun1+22)=8),AugSun1+22,""),IF(AND(YEAR(AugSun1+29)=CalendarYear,MONTH(AugSun1+29)=8),AugSun1+29,""))</f>
        <v>44067</v>
      </c>
      <c r="N36" s="838" t="str">
        <f>IF(ISTEXT(M36),"","w")</f>
        <v>w</v>
      </c>
      <c r="O36" s="837">
        <f>IF(DAY(AugSun1)=1,IF(AND(YEAR(AugSun1+23)=CalendarYear,MONTH(AugSun1+23)=8),AugSun1+23,""),IF(AND(YEAR(AugSun1+30)=CalendarYear,MONTH(AugSun1+30)=8),AugSun1+30,""))</f>
        <v>44068</v>
      </c>
      <c r="P36" s="837">
        <f>IF(DAY(AugSun1)=1,IF(AND(YEAR(AugSun1+24)=CalendarYear,MONTH(AugSun1+24)=8),AugSun1+24,""),IF(AND(YEAR(AugSun1+31)=CalendarYear,MONTH(AugSun1+31)=8),AugSun1+31,""))</f>
        <v>44069</v>
      </c>
      <c r="Q36" s="837">
        <f>IF(DAY(AugSun1)=1,IF(AND(YEAR(AugSun1+25)=CalendarYear,MONTH(AugSun1+25)=8),AugSun1+25,""),IF(AND(YEAR(AugSun1+32)=CalendarYear,MONTH(AugSun1+32)=8),AugSun1+32,""))</f>
        <v>44070</v>
      </c>
      <c r="R36" s="837">
        <f>IF(DAY(AugSun1)=1,IF(AND(YEAR(AugSun1+26)=CalendarYear,MONTH(AugSun1+26)=8),AugSun1+26,""),IF(AND(YEAR(AugSun1+33)=CalendarYear,MONTH(AugSun1+33)=8),AugSun1+33,""))</f>
        <v>44071</v>
      </c>
      <c r="S36" s="837">
        <f>IF(DAY(AugSun1)=1,IF(AND(YEAR(AugSun1+27)=CalendarYear,MONTH(AugSun1+27)=8),AugSun1+27,""),IF(AND(YEAR(AugSun1+34)=CalendarYear,MONTH(AugSun1+34)=8),AugSun1+34,""))</f>
        <v>44072</v>
      </c>
      <c r="T36" s="837">
        <f>IF(DAY(AugSun1)=1,IF(AND(YEAR(AugSun1+28)=CalendarYear,MONTH(AugSun1+28)=8),AugSun1+28,""),IF(AND(YEAR(AugSun1+35)=CalendarYear,MONTH(AugSun1+35)=8),AugSun1+35,""))</f>
        <v>44073</v>
      </c>
      <c r="U36" s="815" t="str">
        <f t="shared" si="20"/>
        <v>w</v>
      </c>
      <c r="W36" s="802"/>
      <c r="Y36" s="830"/>
      <c r="AB36" s="802"/>
      <c r="AJ36" s="806" t="s">
        <v>1191</v>
      </c>
      <c r="AP36" s="806">
        <f t="shared" si="22"/>
        <v>12</v>
      </c>
      <c r="AQ36" s="806">
        <f t="shared" si="23"/>
        <v>2</v>
      </c>
      <c r="AS36" s="806">
        <f t="shared" si="14"/>
        <v>10</v>
      </c>
    </row>
    <row r="37" spans="3:45" ht="15" customHeight="1" thickTop="1">
      <c r="C37" s="814" t="str">
        <f>IF(DAY(JulSun1)=1,IF(AND(YEAR(JulSun1+29)=CalendarYear,MONTH(JulSun1+29)=7),JulSun1+29,""),IF(AND(YEAR(JulSun1+36)=CalendarYear,MONTH(JulSun1+36)=7),JulSun1+36,""))</f>
        <v/>
      </c>
      <c r="D37" s="815" t="str">
        <f t="shared" si="21"/>
        <v/>
      </c>
      <c r="E37" s="814" t="str">
        <f>IF(DAY(JulSun1)=1,IF(AND(YEAR(JulSun1+30)=CalendarYear,MONTH(JulSun1+30)=7),JulSun1+30,""),IF(AND(YEAR(JulSun1+37)=CalendarYear,MONTH(JulSun1+37)=7),JulSun1+37,""))</f>
        <v/>
      </c>
      <c r="F37" s="814" t="str">
        <f>IF(DAY(JulSun1)=1,IF(AND(YEAR(JulSun1+31)=CalendarYear,MONTH(JulSun1+31)=7),JulSun1+31,""),IF(AND(YEAR(JulSun1+38)=CalendarYear,MONTH(JulSun1+38)=7),JulSun1+38,""))</f>
        <v/>
      </c>
      <c r="G37" s="814" t="str">
        <f>IF(DAY(JulSun1)=1,IF(AND(YEAR(JulSun1+32)=CalendarYear,MONTH(JulSun1+32)=7),JulSun1+32,""),IF(AND(YEAR(JulSun1+39)=CalendarYear,MONTH(JulSun1+39)=7),JulSun1+39,""))</f>
        <v/>
      </c>
      <c r="H37" s="814" t="str">
        <f>IF(DAY(JulSun1)=1,IF(AND(YEAR(JulSun1+33)=CalendarYear,MONTH(JulSun1+33)=7),JulSun1+33,""),IF(AND(YEAR(JulSun1+40)=CalendarYear,MONTH(JulSun1+40)=7),JulSun1+40,""))</f>
        <v/>
      </c>
      <c r="I37" s="814" t="str">
        <f>IF(DAY(JulSun1)=1,IF(AND(YEAR(JulSun1+34)=CalendarYear,MONTH(JulSun1+34)=7),JulSun1+34,""),IF(AND(YEAR(JulSun1+41)=CalendarYear,MONTH(JulSun1+41)=7),JulSun1+41,""))</f>
        <v/>
      </c>
      <c r="J37" s="814" t="str">
        <f>IF(DAY(JulSun1)=1,IF(AND(YEAR(JulSun1+35)=CalendarYear,MONTH(JulSun1+35)=7),JulSun1+35,""),IF(AND(YEAR(JulSun1+42)=CalendarYear,MONTH(JulSun1+42)=7),JulSun1+42,""))</f>
        <v/>
      </c>
      <c r="K37" s="815" t="str">
        <f t="shared" si="19"/>
        <v/>
      </c>
      <c r="M37" s="814">
        <f>IF(DAY(AugSun1)=1,IF(AND(YEAR(AugSun1+29)=CalendarYear,MONTH(AugSun1+29)=8),AugSun1+29,""),IF(AND(YEAR(AugSun1+36)=CalendarYear,MONTH(AugSun1+36)=8),AugSun1+36,""))</f>
        <v>44074</v>
      </c>
      <c r="N37" s="815"/>
      <c r="O37" s="814" t="str">
        <f>IF(DAY(AugSun1)=1,IF(AND(YEAR(AugSun1+30)=CalendarYear,MONTH(AugSun1+30)=8),AugSun1+30,""),IF(AND(YEAR(AugSun1+37)=CalendarYear,MONTH(AugSun1+37)=8),AugSun1+37,""))</f>
        <v/>
      </c>
      <c r="P37" s="814" t="str">
        <f>IF(DAY(AugSun1)=1,IF(AND(YEAR(AugSun1+31)=CalendarYear,MONTH(AugSun1+31)=8),AugSun1+31,""),IF(AND(YEAR(AugSun1+38)=CalendarYear,MONTH(AugSun1+38)=8),AugSun1+38,""))</f>
        <v/>
      </c>
      <c r="Q37" s="814" t="str">
        <f>IF(DAY(AugSun1)=1,IF(AND(YEAR(AugSun1+32)=CalendarYear,MONTH(AugSun1+32)=8),AugSun1+32,""),IF(AND(YEAR(AugSun1+39)=CalendarYear,MONTH(AugSun1+39)=8),AugSun1+39,""))</f>
        <v/>
      </c>
      <c r="R37" s="814" t="str">
        <f>IF(DAY(AugSun1)=1,IF(AND(YEAR(AugSun1+33)=CalendarYear,MONTH(AugSun1+33)=8),AugSun1+33,""),IF(AND(YEAR(AugSun1+40)=CalendarYear,MONTH(AugSun1+40)=8),AugSun1+40,""))</f>
        <v/>
      </c>
      <c r="S37" s="814" t="str">
        <f>IF(DAY(AugSun1)=1,IF(AND(YEAR(AugSun1+34)=CalendarYear,MONTH(AugSun1+34)=8),AugSun1+34,""),IF(AND(YEAR(AugSun1+41)=CalendarYear,MONTH(AugSun1+41)=8),AugSun1+41,""))</f>
        <v/>
      </c>
      <c r="T37" s="814" t="str">
        <f>IF(DAY(AugSun1)=1,IF(AND(YEAR(AugSun1+35)=CalendarYear,MONTH(AugSun1+35)=8),AugSun1+35,""),IF(AND(YEAR(AugSun1+42)=CalendarYear,MONTH(AugSun1+42)=8),AugSun1+42,""))</f>
        <v/>
      </c>
      <c r="U37" s="815" t="str">
        <f t="shared" si="20"/>
        <v/>
      </c>
      <c r="W37" s="802"/>
      <c r="Y37" s="828"/>
      <c r="AB37" s="802"/>
      <c r="AP37" s="806">
        <f t="shared" si="22"/>
        <v>1</v>
      </c>
      <c r="AQ37" s="806">
        <f t="shared" si="23"/>
        <v>0</v>
      </c>
      <c r="AS37" s="806">
        <f t="shared" si="14"/>
        <v>1</v>
      </c>
    </row>
    <row r="38" spans="3:45" ht="15" customHeight="1">
      <c r="C38" s="814"/>
      <c r="D38" s="815"/>
      <c r="E38" s="814"/>
      <c r="F38" s="814"/>
      <c r="G38" s="814"/>
      <c r="H38" s="814"/>
      <c r="I38" s="814"/>
      <c r="J38" s="814"/>
      <c r="K38" s="815"/>
      <c r="M38" s="814"/>
      <c r="N38" s="815"/>
      <c r="O38" s="814"/>
      <c r="P38" s="814"/>
      <c r="Q38" s="814"/>
      <c r="R38" s="814"/>
      <c r="S38" s="814"/>
      <c r="T38" s="814"/>
      <c r="U38" s="815"/>
      <c r="W38" s="802"/>
      <c r="Y38" s="829"/>
      <c r="AB38" s="802"/>
      <c r="AJ38" s="806" t="s">
        <v>1192</v>
      </c>
      <c r="AK38" s="806" t="s">
        <v>1122</v>
      </c>
      <c r="AL38" s="807">
        <v>44562</v>
      </c>
      <c r="AP38" s="806">
        <f t="shared" si="12"/>
        <v>0</v>
      </c>
      <c r="AQ38" s="806">
        <f t="shared" si="13"/>
        <v>0</v>
      </c>
      <c r="AS38" s="806">
        <f t="shared" si="14"/>
        <v>0</v>
      </c>
    </row>
    <row r="39" spans="3:45" ht="15" customHeight="1">
      <c r="C39" s="809" t="s">
        <v>1193</v>
      </c>
      <c r="D39" s="821"/>
      <c r="E39" s="809"/>
      <c r="F39" s="809"/>
      <c r="G39" s="809"/>
      <c r="H39" s="809"/>
      <c r="I39" s="809"/>
      <c r="J39" s="809"/>
      <c r="K39" s="821"/>
      <c r="L39" s="832"/>
      <c r="M39" s="809" t="s">
        <v>1194</v>
      </c>
      <c r="N39" s="821"/>
      <c r="O39" s="809"/>
      <c r="P39" s="810"/>
      <c r="Q39" s="810"/>
      <c r="R39" s="810"/>
      <c r="S39" s="810"/>
      <c r="T39" s="810"/>
      <c r="U39" s="815"/>
      <c r="W39" s="802"/>
      <c r="Y39" s="830"/>
      <c r="AA39" s="833"/>
      <c r="AB39" s="802"/>
      <c r="AJ39" s="806" t="s">
        <v>1195</v>
      </c>
      <c r="AK39" s="806" t="s">
        <v>1126</v>
      </c>
      <c r="AL39" s="807">
        <v>44666</v>
      </c>
      <c r="AP39" s="806">
        <f t="shared" si="12"/>
        <v>0</v>
      </c>
      <c r="AQ39" s="806">
        <f t="shared" si="13"/>
        <v>0</v>
      </c>
      <c r="AS39" s="806">
        <f t="shared" si="14"/>
        <v>0</v>
      </c>
    </row>
    <row r="40" spans="3:45" ht="15" customHeight="1" thickBot="1">
      <c r="C40" s="811" t="s">
        <v>404</v>
      </c>
      <c r="D40" s="811"/>
      <c r="E40" s="811" t="s">
        <v>1127</v>
      </c>
      <c r="F40" s="811" t="s">
        <v>1128</v>
      </c>
      <c r="G40" s="811" t="s">
        <v>1129</v>
      </c>
      <c r="H40" s="811" t="s">
        <v>1128</v>
      </c>
      <c r="I40" s="811" t="s">
        <v>53</v>
      </c>
      <c r="J40" s="811" t="s">
        <v>404</v>
      </c>
      <c r="K40" s="815" t="str">
        <f t="shared" ref="K40:K46" si="24">IF(ISTEXT(J40),"","w")</f>
        <v/>
      </c>
      <c r="M40" s="811" t="s">
        <v>404</v>
      </c>
      <c r="N40" s="811"/>
      <c r="O40" s="811" t="s">
        <v>1127</v>
      </c>
      <c r="P40" s="811" t="s">
        <v>1128</v>
      </c>
      <c r="Q40" s="811" t="s">
        <v>1129</v>
      </c>
      <c r="R40" s="811" t="s">
        <v>1128</v>
      </c>
      <c r="S40" s="811" t="s">
        <v>53</v>
      </c>
      <c r="T40" s="811" t="s">
        <v>404</v>
      </c>
      <c r="U40" s="815" t="str">
        <f t="shared" ref="U40:U46" si="25">IF(ISTEXT(T40),"","w")</f>
        <v/>
      </c>
      <c r="W40" s="802"/>
      <c r="Y40" s="828"/>
      <c r="AB40" s="802"/>
      <c r="AJ40" s="806" t="s">
        <v>1196</v>
      </c>
      <c r="AK40" s="806" t="s">
        <v>1132</v>
      </c>
      <c r="AL40" s="807">
        <v>44668</v>
      </c>
      <c r="AP40" s="806">
        <f t="shared" si="12"/>
        <v>0</v>
      </c>
      <c r="AQ40" s="806">
        <f t="shared" si="13"/>
        <v>0</v>
      </c>
      <c r="AS40" s="806">
        <f t="shared" si="14"/>
        <v>0</v>
      </c>
    </row>
    <row r="41" spans="3:45" ht="15" customHeight="1" thickTop="1" thickBot="1">
      <c r="C41" s="814" t="str">
        <f>IF(DAY(SepSun1)=1,"",IF(AND(YEAR(SepSun1+1)=CalendarYear,MONTH(SepSun1+1)=9),SepSun1+1,""))</f>
        <v/>
      </c>
      <c r="D41" s="815" t="str">
        <f>IF(ISTEXT(C41),"","w")</f>
        <v/>
      </c>
      <c r="E41" s="837">
        <f>IF(DAY(SepSun1)=1,"",IF(AND(YEAR(SepSun1+2)=CalendarYear,MONTH(SepSun1+2)=9),SepSun1+2,""))</f>
        <v>44075</v>
      </c>
      <c r="F41" s="837">
        <f>IF(DAY(SepSun1)=1,"",IF(AND(YEAR(SepSun1+3)=CalendarYear,MONTH(SepSun1+3)=9),SepSun1+3,""))</f>
        <v>44076</v>
      </c>
      <c r="G41" s="837">
        <f>IF(DAY(SepSun1)=1,"",IF(AND(YEAR(SepSun1+4)=CalendarYear,MONTH(SepSun1+4)=9),SepSun1+4,""))</f>
        <v>44077</v>
      </c>
      <c r="H41" s="837">
        <f>IF(DAY(SepSun1)=1,"",IF(AND(YEAR(SepSun1+5)=CalendarYear,MONTH(SepSun1+5)=9),SepSun1+5,""))</f>
        <v>44078</v>
      </c>
      <c r="I41" s="837">
        <f>IF(DAY(SepSun1)=1,"",IF(AND(YEAR(SepSun1+6)=CalendarYear,MONTH(SepSun1+6)=9),SepSun1+6,""))</f>
        <v>44079</v>
      </c>
      <c r="J41" s="837">
        <f>IF(DAY(SepSun1)=1,IF(AND(YEAR(SepSun1)=CalendarYear,MONTH(SepSun1)=9),SepSun1,""),IF(AND(YEAR(SepSun1+7)=CalendarYear,MONTH(SepSun1+7)=9),SepSun1+7,""))</f>
        <v>44080</v>
      </c>
      <c r="K41" s="815" t="str">
        <f t="shared" si="24"/>
        <v>w</v>
      </c>
      <c r="M41" s="814" t="str">
        <f>IF(DAY(OctSun1)=1,"",IF(AND(YEAR(OctSun1+1)=CalendarYear,MONTH(OctSun1+1)=10),OctSun1+1,""))</f>
        <v/>
      </c>
      <c r="N41" s="815" t="str">
        <f t="shared" ref="N41:N46" si="26">IF(ISTEXT(M41),"","w")</f>
        <v/>
      </c>
      <c r="O41" s="814" t="str">
        <f>IF(DAY(OctSun1)=1,"",IF(AND(YEAR(OctSun1+2)=CalendarYear,MONTH(OctSun1+2)=10),OctSun1+2,""))</f>
        <v/>
      </c>
      <c r="P41" s="814" t="str">
        <f>IF(DAY(OctSun1)=1,"",IF(AND(YEAR(OctSun1+3)=CalendarYear,MONTH(OctSun1+3)=10),OctSun1+3,""))</f>
        <v/>
      </c>
      <c r="Q41" s="837">
        <f>IF(DAY(OctSun1)=1,"",IF(AND(YEAR(OctSun1+4)=CalendarYear,MONTH(OctSun1+4)=10),OctSun1+4,""))</f>
        <v>44105</v>
      </c>
      <c r="R41" s="837">
        <f>IF(DAY(OctSun1)=1,"",IF(AND(YEAR(OctSun1+5)=CalendarYear,MONTH(OctSun1+5)=10),OctSun1+5,""))</f>
        <v>44106</v>
      </c>
      <c r="S41" s="837">
        <f>IF(DAY(OctSun1)=1,"",IF(AND(YEAR(OctSun1+6)=CalendarYear,MONTH(OctSun1+6)=10),OctSun1+6,""))</f>
        <v>44107</v>
      </c>
      <c r="T41" s="837">
        <f>IF(DAY(OctSun1)=1,IF(AND(YEAR(OctSun1)=CalendarYear,MONTH(OctSun1)=10),OctSun1,""),IF(AND(YEAR(OctSun1+7)=CalendarYear,MONTH(OctSun1+7)=10),OctSun1+7,""))</f>
        <v>44108</v>
      </c>
      <c r="U41" s="815" t="str">
        <f t="shared" si="25"/>
        <v>w</v>
      </c>
      <c r="W41" s="802"/>
      <c r="Y41" s="829"/>
      <c r="AB41" s="802"/>
      <c r="AJ41" s="806" t="s">
        <v>1197</v>
      </c>
      <c r="AK41" s="806" t="s">
        <v>1134</v>
      </c>
      <c r="AL41" s="807">
        <v>44669</v>
      </c>
      <c r="AP41" s="806">
        <f t="shared" ref="AP41:AP45" si="27">COUNT(C41:T41)</f>
        <v>10</v>
      </c>
      <c r="AQ41" s="806">
        <f t="shared" ref="AQ41:AQ45" si="28">COUNT(O41)+COUNT(E41)</f>
        <v>1</v>
      </c>
      <c r="AS41" s="806">
        <f t="shared" si="14"/>
        <v>9</v>
      </c>
    </row>
    <row r="42" spans="3:45" ht="15" customHeight="1" thickTop="1" thickBot="1">
      <c r="C42" s="837">
        <f>IF(DAY(SepSun1)=1,IF(AND(YEAR(SepSun1+1)=CalendarYear,MONTH(SepSun1+1)=9),SepSun1+1,""),IF(AND(YEAR(SepSun1+8)=CalendarYear,MONTH(SepSun1+8)=9),SepSun1+8,""))</f>
        <v>44081</v>
      </c>
      <c r="D42" s="838" t="str">
        <f>IF(ISTEXT(C42),"","w")</f>
        <v>w</v>
      </c>
      <c r="E42" s="837">
        <f>IF(DAY(SepSun1)=1,IF(AND(YEAR(SepSun1+2)=CalendarYear,MONTH(SepSun1+2)=9),SepSun1+2,""),IF(AND(YEAR(SepSun1+9)=CalendarYear,MONTH(SepSun1+9)=9),SepSun1+9,""))</f>
        <v>44082</v>
      </c>
      <c r="F42" s="837">
        <f>IF(DAY(SepSun1)=1,IF(AND(YEAR(SepSun1+3)=CalendarYear,MONTH(SepSun1+3)=9),SepSun1+3,""),IF(AND(YEAR(SepSun1+10)=CalendarYear,MONTH(SepSun1+10)=9),SepSun1+10,""))</f>
        <v>44083</v>
      </c>
      <c r="G42" s="837">
        <f>IF(DAY(SepSun1)=1,IF(AND(YEAR(SepSun1+4)=CalendarYear,MONTH(SepSun1+4)=9),SepSun1+4,""),IF(AND(YEAR(SepSun1+11)=CalendarYear,MONTH(SepSun1+11)=9),SepSun1+11,""))</f>
        <v>44084</v>
      </c>
      <c r="H42" s="837">
        <f>IF(DAY(SepSun1)=1,IF(AND(YEAR(SepSun1+5)=CalendarYear,MONTH(SepSun1+5)=9),SepSun1+5,""),IF(AND(YEAR(SepSun1+12)=CalendarYear,MONTH(SepSun1+12)=9),SepSun1+12,""))</f>
        <v>44085</v>
      </c>
      <c r="I42" s="837">
        <f>IF(DAY(SepSun1)=1,IF(AND(YEAR(SepSun1+6)=CalendarYear,MONTH(SepSun1+6)=9),SepSun1+6,""),IF(AND(YEAR(SepSun1+13)=CalendarYear,MONTH(SepSun1+13)=9),SepSun1+13,""))</f>
        <v>44086</v>
      </c>
      <c r="J42" s="837">
        <f>IF(DAY(SepSun1)=1,IF(AND(YEAR(SepSun1+7)=CalendarYear,MONTH(SepSun1+7)=9),SepSun1+7,""),IF(AND(YEAR(SepSun1+14)=CalendarYear,MONTH(SepSun1+14)=9),SepSun1+14,""))</f>
        <v>44087</v>
      </c>
      <c r="K42" s="815" t="str">
        <f t="shared" si="24"/>
        <v>w</v>
      </c>
      <c r="M42" s="837">
        <f>IF(DAY(OctSun1)=1,IF(AND(YEAR(OctSun1+1)=CalendarYear,MONTH(OctSun1+1)=10),OctSun1+1,""),IF(AND(YEAR(OctSun1+8)=CalendarYear,MONTH(OctSun1+8)=10),OctSun1+8,""))</f>
        <v>44109</v>
      </c>
      <c r="N42" s="838" t="str">
        <f t="shared" si="26"/>
        <v>w</v>
      </c>
      <c r="O42" s="837">
        <f>IF(DAY(OctSun1)=1,IF(AND(YEAR(OctSun1+2)=CalendarYear,MONTH(OctSun1+2)=10),OctSun1+2,""),IF(AND(YEAR(OctSun1+9)=CalendarYear,MONTH(OctSun1+9)=10),OctSun1+9,""))</f>
        <v>44110</v>
      </c>
      <c r="P42" s="837">
        <f>IF(DAY(OctSun1)=1,IF(AND(YEAR(OctSun1+3)=CalendarYear,MONTH(OctSun1+3)=10),OctSun1+3,""),IF(AND(YEAR(OctSun1+10)=CalendarYear,MONTH(OctSun1+10)=10),OctSun1+10,""))</f>
        <v>44111</v>
      </c>
      <c r="Q42" s="837">
        <f>IF(DAY(OctSun1)=1,IF(AND(YEAR(OctSun1+4)=CalendarYear,MONTH(OctSun1+4)=10),OctSun1+4,""),IF(AND(YEAR(OctSun1+11)=CalendarYear,MONTH(OctSun1+11)=10),OctSun1+11,""))</f>
        <v>44112</v>
      </c>
      <c r="R42" s="837">
        <f>IF(DAY(OctSun1)=1,IF(AND(YEAR(OctSun1+5)=CalendarYear,MONTH(OctSun1+5)=10),OctSun1+5,""),IF(AND(YEAR(OctSun1+12)=CalendarYear,MONTH(OctSun1+12)=10),OctSun1+12,""))</f>
        <v>44113</v>
      </c>
      <c r="S42" s="837">
        <f>IF(DAY(OctSun1)=1,IF(AND(YEAR(OctSun1+6)=CalendarYear,MONTH(OctSun1+6)=10),OctSun1+6,""),IF(AND(YEAR(OctSun1+13)=CalendarYear,MONTH(OctSun1+13)=10),OctSun1+13,""))</f>
        <v>44114</v>
      </c>
      <c r="T42" s="837">
        <f>IF(DAY(OctSun1)=1,IF(AND(YEAR(OctSun1+7)=CalendarYear,MONTH(OctSun1+7)=10),OctSun1+7,""),IF(AND(YEAR(OctSun1+14)=CalendarYear,MONTH(OctSun1+14)=10),OctSun1+14,""))</f>
        <v>44115</v>
      </c>
      <c r="U42" s="815" t="str">
        <f t="shared" si="25"/>
        <v>w</v>
      </c>
      <c r="W42" s="802"/>
      <c r="Y42" s="829"/>
      <c r="AB42" s="802"/>
      <c r="AJ42" s="806" t="s">
        <v>1198</v>
      </c>
      <c r="AK42" s="806" t="s">
        <v>1136</v>
      </c>
      <c r="AL42" s="807">
        <v>44678</v>
      </c>
      <c r="AP42" s="806">
        <f t="shared" si="27"/>
        <v>14</v>
      </c>
      <c r="AQ42" s="806">
        <f t="shared" si="28"/>
        <v>2</v>
      </c>
      <c r="AS42" s="806">
        <f t="shared" si="14"/>
        <v>12</v>
      </c>
    </row>
    <row r="43" spans="3:45" ht="15" customHeight="1" thickTop="1" thickBot="1">
      <c r="C43" s="837">
        <f>IF(DAY(SepSun1)=1,IF(AND(YEAR(SepSun1+8)=CalendarYear,MONTH(SepSun1+8)=9),SepSun1+8,""),IF(AND(YEAR(SepSun1+15)=CalendarYear,MONTH(SepSun1+15)=9),SepSun1+15,""))</f>
        <v>44088</v>
      </c>
      <c r="D43" s="838" t="str">
        <f>IF(ISTEXT(C43),"","w")</f>
        <v>w</v>
      </c>
      <c r="E43" s="837">
        <f>IF(DAY(SepSun1)=1,IF(AND(YEAR(SepSun1+9)=CalendarYear,MONTH(SepSun1+9)=9),SepSun1+9,""),IF(AND(YEAR(SepSun1+16)=CalendarYear,MONTH(SepSun1+16)=9),SepSun1+16,""))</f>
        <v>44089</v>
      </c>
      <c r="F43" s="837">
        <f>IF(DAY(SepSun1)=1,IF(AND(YEAR(SepSun1+10)=CalendarYear,MONTH(SepSun1+10)=9),SepSun1+10,""),IF(AND(YEAR(SepSun1+17)=CalendarYear,MONTH(SepSun1+17)=9),SepSun1+17,""))</f>
        <v>44090</v>
      </c>
      <c r="G43" s="837">
        <f>IF(DAY(SepSun1)=1,IF(AND(YEAR(SepSun1+11)=CalendarYear,MONTH(SepSun1+11)=9),SepSun1+11,""),IF(AND(YEAR(SepSun1+18)=CalendarYear,MONTH(SepSun1+18)=9),SepSun1+18,""))</f>
        <v>44091</v>
      </c>
      <c r="H43" s="837">
        <f>IF(DAY(SepSun1)=1,IF(AND(YEAR(SepSun1+12)=CalendarYear,MONTH(SepSun1+12)=9),SepSun1+12,""),IF(AND(YEAR(SepSun1+19)=CalendarYear,MONTH(SepSun1+19)=9),SepSun1+19,""))</f>
        <v>44092</v>
      </c>
      <c r="I43" s="837">
        <f>IF(DAY(SepSun1)=1,IF(AND(YEAR(SepSun1+13)=CalendarYear,MONTH(SepSun1+13)=9),SepSun1+13,""),IF(AND(YEAR(SepSun1+20)=CalendarYear,MONTH(SepSun1+20)=9),SepSun1+20,""))</f>
        <v>44093</v>
      </c>
      <c r="J43" s="837">
        <f>IF(DAY(SepSun1)=1,IF(AND(YEAR(SepSun1+14)=CalendarYear,MONTH(SepSun1+14)=9),SepSun1+14,""),IF(AND(YEAR(SepSun1+21)=CalendarYear,MONTH(SepSun1+21)=9),SepSun1+21,""))</f>
        <v>44094</v>
      </c>
      <c r="K43" s="815" t="str">
        <f t="shared" si="24"/>
        <v>w</v>
      </c>
      <c r="M43" s="837">
        <f>IF(DAY(OctSun1)=1,IF(AND(YEAR(OctSun1+8)=CalendarYear,MONTH(OctSun1+8)=10),OctSun1+8,""),IF(AND(YEAR(OctSun1+15)=CalendarYear,MONTH(OctSun1+15)=10),OctSun1+15,""))</f>
        <v>44116</v>
      </c>
      <c r="N43" s="838" t="str">
        <f t="shared" si="26"/>
        <v>w</v>
      </c>
      <c r="O43" s="837">
        <f>IF(DAY(OctSun1)=1,IF(AND(YEAR(OctSun1+9)=CalendarYear,MONTH(OctSun1+9)=10),OctSun1+9,""),IF(AND(YEAR(OctSun1+16)=CalendarYear,MONTH(OctSun1+16)=10),OctSun1+16,""))</f>
        <v>44117</v>
      </c>
      <c r="P43" s="837">
        <f>IF(DAY(OctSun1)=1,IF(AND(YEAR(OctSun1+10)=CalendarYear,MONTH(OctSun1+10)=10),OctSun1+10,""),IF(AND(YEAR(OctSun1+17)=CalendarYear,MONTH(OctSun1+17)=10),OctSun1+17,""))</f>
        <v>44118</v>
      </c>
      <c r="Q43" s="837">
        <f>IF(DAY(OctSun1)=1,IF(AND(YEAR(OctSun1+11)=CalendarYear,MONTH(OctSun1+11)=10),OctSun1+11,""),IF(AND(YEAR(OctSun1+18)=CalendarYear,MONTH(OctSun1+18)=10),OctSun1+18,""))</f>
        <v>44119</v>
      </c>
      <c r="R43" s="837">
        <f>IF(DAY(OctSun1)=1,IF(AND(YEAR(OctSun1+12)=CalendarYear,MONTH(OctSun1+12)=10),OctSun1+12,""),IF(AND(YEAR(OctSun1+19)=CalendarYear,MONTH(OctSun1+19)=10),OctSun1+19,""))</f>
        <v>44120</v>
      </c>
      <c r="S43" s="837">
        <f>IF(DAY(OctSun1)=1,IF(AND(YEAR(OctSun1+13)=CalendarYear,MONTH(OctSun1+13)=10),OctSun1+13,""),IF(AND(YEAR(OctSun1+20)=CalendarYear,MONTH(OctSun1+20)=10),OctSun1+20,""))</f>
        <v>44121</v>
      </c>
      <c r="T43" s="837">
        <f>IF(DAY(OctSun1)=1,IF(AND(YEAR(OctSun1+14)=CalendarYear,MONTH(OctSun1+14)=10),OctSun1+14,""),IF(AND(YEAR(OctSun1+21)=CalendarYear,MONTH(OctSun1+21)=10),OctSun1+21,""))</f>
        <v>44122</v>
      </c>
      <c r="U43" s="815" t="str">
        <f t="shared" si="25"/>
        <v>w</v>
      </c>
      <c r="W43" s="802"/>
      <c r="Y43" s="829"/>
      <c r="AB43" s="802"/>
      <c r="AJ43" s="806" t="s">
        <v>1199</v>
      </c>
      <c r="AK43" s="806" t="s">
        <v>1139</v>
      </c>
      <c r="AL43" s="807">
        <v>44707</v>
      </c>
      <c r="AP43" s="806">
        <f t="shared" si="27"/>
        <v>14</v>
      </c>
      <c r="AQ43" s="806">
        <f t="shared" si="28"/>
        <v>2</v>
      </c>
      <c r="AS43" s="806">
        <f t="shared" si="14"/>
        <v>12</v>
      </c>
    </row>
    <row r="44" spans="3:45" ht="15" customHeight="1" thickTop="1" thickBot="1">
      <c r="C44" s="837">
        <f>IF(DAY(SepSun1)=1,IF(AND(YEAR(SepSun1+15)=CalendarYear,MONTH(SepSun1+15)=9),SepSun1+15,""),IF(AND(YEAR(SepSun1+22)=CalendarYear,MONTH(SepSun1+22)=9),SepSun1+22,""))</f>
        <v>44095</v>
      </c>
      <c r="D44" s="838" t="str">
        <f>IF(ISTEXT(C44),"","w")</f>
        <v>w</v>
      </c>
      <c r="E44" s="837">
        <f>IF(DAY(SepSun1)=1,IF(AND(YEAR(SepSun1+16)=CalendarYear,MONTH(SepSun1+16)=9),SepSun1+16,""),IF(AND(YEAR(SepSun1+23)=CalendarYear,MONTH(SepSun1+23)=9),SepSun1+23,""))</f>
        <v>44096</v>
      </c>
      <c r="F44" s="837">
        <f>IF(DAY(SepSun1)=1,IF(AND(YEAR(SepSun1+17)=CalendarYear,MONTH(SepSun1+17)=9),SepSun1+17,""),IF(AND(YEAR(SepSun1+24)=CalendarYear,MONTH(SepSun1+24)=9),SepSun1+24,""))</f>
        <v>44097</v>
      </c>
      <c r="G44" s="837">
        <f>IF(DAY(SepSun1)=1,IF(AND(YEAR(SepSun1+18)=CalendarYear,MONTH(SepSun1+18)=9),SepSun1+18,""),IF(AND(YEAR(SepSun1+25)=CalendarYear,MONTH(SepSun1+25)=9),SepSun1+25,""))</f>
        <v>44098</v>
      </c>
      <c r="H44" s="837">
        <f>IF(DAY(SepSun1)=1,IF(AND(YEAR(SepSun1+19)=CalendarYear,MONTH(SepSun1+19)=9),SepSun1+19,""),IF(AND(YEAR(SepSun1+26)=CalendarYear,MONTH(SepSun1+26)=9),SepSun1+26,""))</f>
        <v>44099</v>
      </c>
      <c r="I44" s="837">
        <f>IF(DAY(SepSun1)=1,IF(AND(YEAR(SepSun1+20)=CalendarYear,MONTH(SepSun1+20)=9),SepSun1+20,""),IF(AND(YEAR(SepSun1+27)=CalendarYear,MONTH(SepSun1+27)=9),SepSun1+27,""))</f>
        <v>44100</v>
      </c>
      <c r="J44" s="837">
        <f>IF(DAY(SepSun1)=1,IF(AND(YEAR(SepSun1+21)=CalendarYear,MONTH(SepSun1+21)=9),SepSun1+21,""),IF(AND(YEAR(SepSun1+28)=CalendarYear,MONTH(SepSun1+28)=9),SepSun1+28,""))</f>
        <v>44101</v>
      </c>
      <c r="K44" s="815" t="str">
        <f t="shared" si="24"/>
        <v>w</v>
      </c>
      <c r="M44" s="837">
        <f>IF(DAY(OctSun1)=1,IF(AND(YEAR(OctSun1+15)=CalendarYear,MONTH(OctSun1+15)=10),OctSun1+15,""),IF(AND(YEAR(OctSun1+22)=CalendarYear,MONTH(OctSun1+22)=10),OctSun1+22,""))</f>
        <v>44123</v>
      </c>
      <c r="N44" s="838" t="str">
        <f t="shared" si="26"/>
        <v>w</v>
      </c>
      <c r="O44" s="837">
        <f>IF(DAY(OctSun1)=1,IF(AND(YEAR(OctSun1+16)=CalendarYear,MONTH(OctSun1+16)=10),OctSun1+16,""),IF(AND(YEAR(OctSun1+23)=CalendarYear,MONTH(OctSun1+23)=10),OctSun1+23,""))</f>
        <v>44124</v>
      </c>
      <c r="P44" s="837">
        <f>IF(DAY(OctSun1)=1,IF(AND(YEAR(OctSun1+17)=CalendarYear,MONTH(OctSun1+17)=10),OctSun1+17,""),IF(AND(YEAR(OctSun1+24)=CalendarYear,MONTH(OctSun1+24)=10),OctSun1+24,""))</f>
        <v>44125</v>
      </c>
      <c r="Q44" s="837">
        <f>IF(DAY(OctSun1)=1,IF(AND(YEAR(OctSun1+18)=CalendarYear,MONTH(OctSun1+18)=10),OctSun1+18,""),IF(AND(YEAR(OctSun1+25)=CalendarYear,MONTH(OctSun1+25)=10),OctSun1+25,""))</f>
        <v>44126</v>
      </c>
      <c r="R44" s="837">
        <f>IF(DAY(OctSun1)=1,IF(AND(YEAR(OctSun1+19)=CalendarYear,MONTH(OctSun1+19)=10),OctSun1+19,""),IF(AND(YEAR(OctSun1+26)=CalendarYear,MONTH(OctSun1+26)=10),OctSun1+26,""))</f>
        <v>44127</v>
      </c>
      <c r="S44" s="837">
        <f>IF(DAY(OctSun1)=1,IF(AND(YEAR(OctSun1+20)=CalendarYear,MONTH(OctSun1+20)=10),OctSun1+20,""),IF(AND(YEAR(OctSun1+27)=CalendarYear,MONTH(OctSun1+27)=10),OctSun1+27,""))</f>
        <v>44128</v>
      </c>
      <c r="T44" s="837">
        <f>IF(DAY(OctSun1)=1,IF(AND(YEAR(OctSun1+21)=CalendarYear,MONTH(OctSun1+21)=10),OctSun1+21,""),IF(AND(YEAR(OctSun1+28)=CalendarYear,MONTH(OctSun1+28)=10),OctSun1+28,""))</f>
        <v>44129</v>
      </c>
      <c r="U44" s="815" t="str">
        <f t="shared" si="25"/>
        <v>w</v>
      </c>
      <c r="W44" s="802"/>
      <c r="Y44" s="829"/>
      <c r="AB44" s="802"/>
      <c r="AJ44" s="806" t="s">
        <v>1200</v>
      </c>
      <c r="AK44" s="806" t="s">
        <v>1141</v>
      </c>
      <c r="AL44" s="807">
        <v>44717</v>
      </c>
      <c r="AP44" s="806">
        <f t="shared" si="27"/>
        <v>14</v>
      </c>
      <c r="AQ44" s="806">
        <f t="shared" si="28"/>
        <v>2</v>
      </c>
      <c r="AS44" s="806">
        <f t="shared" si="14"/>
        <v>12</v>
      </c>
    </row>
    <row r="45" spans="3:45" ht="15" customHeight="1" thickTop="1" thickBot="1">
      <c r="C45" s="837">
        <f>IF(DAY(SepSun1)=1,IF(AND(YEAR(SepSun1+22)=CalendarYear,MONTH(SepSun1+22)=9),SepSun1+22,""),IF(AND(YEAR(SepSun1+29)=CalendarYear,MONTH(SepSun1+29)=9),SepSun1+29,""))</f>
        <v>44102</v>
      </c>
      <c r="D45" s="838" t="str">
        <f>IF(ISTEXT(C45),"","w")</f>
        <v>w</v>
      </c>
      <c r="E45" s="837">
        <f>IF(DAY(SepSun1)=1,IF(AND(YEAR(SepSun1+23)=CalendarYear,MONTH(SepSun1+23)=9),SepSun1+23,""),IF(AND(YEAR(SepSun1+30)=CalendarYear,MONTH(SepSun1+30)=9),SepSun1+30,""))</f>
        <v>44103</v>
      </c>
      <c r="F45" s="837">
        <f>IF(DAY(SepSun1)=1,IF(AND(YEAR(SepSun1+24)=CalendarYear,MONTH(SepSun1+24)=9),SepSun1+24,""),IF(AND(YEAR(SepSun1+31)=CalendarYear,MONTH(SepSun1+31)=9),SepSun1+31,""))</f>
        <v>44104</v>
      </c>
      <c r="G45" s="814" t="str">
        <f>IF(DAY(SepSun1)=1,IF(AND(YEAR(SepSun1+25)=CalendarYear,MONTH(SepSun1+25)=9),SepSun1+25,""),IF(AND(YEAR(SepSun1+32)=CalendarYear,MONTH(SepSun1+32)=9),SepSun1+32,""))</f>
        <v/>
      </c>
      <c r="H45" s="814" t="str">
        <f>IF(DAY(SepSun1)=1,IF(AND(YEAR(SepSun1+26)=CalendarYear,MONTH(SepSun1+26)=9),SepSun1+26,""),IF(AND(YEAR(SepSun1+33)=CalendarYear,MONTH(SepSun1+33)=9),SepSun1+33,""))</f>
        <v/>
      </c>
      <c r="I45" s="814" t="str">
        <f>IF(DAY(SepSun1)=1,IF(AND(YEAR(SepSun1+27)=CalendarYear,MONTH(SepSun1+27)=9),SepSun1+27,""),IF(AND(YEAR(SepSun1+34)=CalendarYear,MONTH(SepSun1+34)=9),SepSun1+34,""))</f>
        <v/>
      </c>
      <c r="J45" s="814" t="str">
        <f>IF(DAY(SepSun1)=1,IF(AND(YEAR(SepSun1+28)=CalendarYear,MONTH(SepSun1+28)=9),SepSun1+28,""),IF(AND(YEAR(SepSun1+35)=CalendarYear,MONTH(SepSun1+35)=9),SepSun1+35,""))</f>
        <v/>
      </c>
      <c r="K45" s="815" t="str">
        <f t="shared" si="24"/>
        <v/>
      </c>
      <c r="M45" s="837">
        <f>IF(DAY(OctSun1)=1,IF(AND(YEAR(OctSun1+22)=CalendarYear,MONTH(OctSun1+22)=10),OctSun1+22,""),IF(AND(YEAR(OctSun1+29)=CalendarYear,MONTH(OctSun1+29)=10),OctSun1+29,""))</f>
        <v>44130</v>
      </c>
      <c r="N45" s="838" t="str">
        <f t="shared" si="26"/>
        <v>w</v>
      </c>
      <c r="O45" s="837">
        <f>IF(DAY(OctSun1)=1,IF(AND(YEAR(OctSun1+23)=CalendarYear,MONTH(OctSun1+23)=10),OctSun1+23,""),IF(AND(YEAR(OctSun1+30)=CalendarYear,MONTH(OctSun1+30)=10),OctSun1+30,""))</f>
        <v>44131</v>
      </c>
      <c r="P45" s="837">
        <f>IF(DAY(OctSun1)=1,IF(AND(YEAR(OctSun1+24)=CalendarYear,MONTH(OctSun1+24)=10),OctSun1+24,""),IF(AND(YEAR(OctSun1+31)=CalendarYear,MONTH(OctSun1+31)=10),OctSun1+31,""))</f>
        <v>44132</v>
      </c>
      <c r="Q45" s="837">
        <f>IF(DAY(OctSun1)=1,IF(AND(YEAR(OctSun1+25)=CalendarYear,MONTH(OctSun1+25)=10),OctSun1+25,""),IF(AND(YEAR(OctSun1+32)=CalendarYear,MONTH(OctSun1+32)=10),OctSun1+32,""))</f>
        <v>44133</v>
      </c>
      <c r="R45" s="837">
        <f>IF(DAY(OctSun1)=1,IF(AND(YEAR(OctSun1+26)=CalendarYear,MONTH(OctSun1+26)=10),OctSun1+26,""),IF(AND(YEAR(OctSun1+33)=CalendarYear,MONTH(OctSun1+33)=10),OctSun1+33,""))</f>
        <v>44134</v>
      </c>
      <c r="S45" s="837">
        <f>IF(DAY(OctSun1)=1,IF(AND(YEAR(OctSun1+27)=CalendarYear,MONTH(OctSun1+27)=10),OctSun1+27,""),IF(AND(YEAR(OctSun1+34)=CalendarYear,MONTH(OctSun1+34)=10),OctSun1+34,""))</f>
        <v>44135</v>
      </c>
      <c r="T45" s="814" t="str">
        <f>IF(DAY(OctSun1)=1,IF(AND(YEAR(OctSun1+28)=CalendarYear,MONTH(OctSun1+28)=10),OctSun1+28,""),IF(AND(YEAR(OctSun1+35)=CalendarYear,MONTH(OctSun1+35)=10),OctSun1+35,""))</f>
        <v/>
      </c>
      <c r="U45" s="815" t="str">
        <f t="shared" si="25"/>
        <v/>
      </c>
      <c r="W45" s="802"/>
      <c r="Y45" s="829"/>
      <c r="AB45" s="802"/>
      <c r="AJ45" s="806" t="s">
        <v>1201</v>
      </c>
      <c r="AK45" s="806" t="s">
        <v>1143</v>
      </c>
      <c r="AL45" s="807">
        <v>44718</v>
      </c>
      <c r="AP45" s="806">
        <f t="shared" si="27"/>
        <v>9</v>
      </c>
      <c r="AQ45" s="806">
        <f t="shared" si="28"/>
        <v>2</v>
      </c>
      <c r="AS45" s="806">
        <f t="shared" si="14"/>
        <v>7</v>
      </c>
    </row>
    <row r="46" spans="3:45" ht="15" customHeight="1" thickTop="1">
      <c r="C46" s="814" t="str">
        <f>IF(DAY(SepSun1)=1,IF(AND(YEAR(SepSun1+29)=CalendarYear,MONTH(SepSun1+29)=9),SepSun1+29,""),IF(AND(YEAR(SepSun1+36)=CalendarYear,MONTH(SepSun1+36)=9),SepSun1+36,""))</f>
        <v/>
      </c>
      <c r="D46" s="815"/>
      <c r="E46" s="814" t="str">
        <f>IF(DAY(SepSun1)=1,IF(AND(YEAR(SepSun1+30)=CalendarYear,MONTH(SepSun1+30)=9),SepSun1+30,""),IF(AND(YEAR(SepSun1+37)=CalendarYear,MONTH(SepSun1+37)=9),SepSun1+37,""))</f>
        <v/>
      </c>
      <c r="F46" s="814" t="str">
        <f>IF(DAY(SepSun1)=1,IF(AND(YEAR(SepSun1+31)=CalendarYear,MONTH(SepSun1+31)=9),SepSun1+31,""),IF(AND(YEAR(SepSun1+38)=CalendarYear,MONTH(SepSun1+38)=9),SepSun1+38,""))</f>
        <v/>
      </c>
      <c r="G46" s="814" t="str">
        <f>IF(DAY(SepSun1)=1,IF(AND(YEAR(SepSun1+32)=CalendarYear,MONTH(SepSun1+32)=9),SepSun1+32,""),IF(AND(YEAR(SepSun1+39)=CalendarYear,MONTH(SepSun1+39)=9),SepSun1+39,""))</f>
        <v/>
      </c>
      <c r="H46" s="814" t="str">
        <f>IF(DAY(SepSun1)=1,IF(AND(YEAR(SepSun1+33)=CalendarYear,MONTH(SepSun1+33)=9),SepSun1+33,""),IF(AND(YEAR(SepSun1+40)=CalendarYear,MONTH(SepSun1+40)=9),SepSun1+40,""))</f>
        <v/>
      </c>
      <c r="I46" s="814" t="str">
        <f>IF(DAY(SepSun1)=1,IF(AND(YEAR(SepSun1+34)=CalendarYear,MONTH(SepSun1+34)=9),SepSun1+34,""),IF(AND(YEAR(SepSun1+41)=CalendarYear,MONTH(SepSun1+41)=9),SepSun1+41,""))</f>
        <v/>
      </c>
      <c r="J46" s="814" t="str">
        <f>IF(DAY(SepSun1)=1,IF(AND(YEAR(SepSun1+35)=CalendarYear,MONTH(SepSun1+35)=9),SepSun1+35,""),IF(AND(YEAR(SepSun1+42)=CalendarYear,MONTH(SepSun1+42)=9),SepSun1+42,""))</f>
        <v/>
      </c>
      <c r="K46" s="815" t="str">
        <f t="shared" si="24"/>
        <v/>
      </c>
      <c r="M46" s="814" t="str">
        <f>IF(DAY(OctSun1)=1,IF(AND(YEAR(OctSun1+29)=CalendarYear,MONTH(OctSun1+29)=10),OctSun1+29,""),IF(AND(YEAR(OctSun1+36)=CalendarYear,MONTH(OctSun1+36)=10),OctSun1+36,""))</f>
        <v/>
      </c>
      <c r="N46" s="815" t="str">
        <f t="shared" si="26"/>
        <v/>
      </c>
      <c r="O46" s="814" t="str">
        <f>IF(DAY(OctSun1)=1,IF(AND(YEAR(OctSun1+30)=CalendarYear,MONTH(OctSun1+30)=10),OctSun1+30,""),IF(AND(YEAR(OctSun1+37)=CalendarYear,MONTH(OctSun1+37)=10),OctSun1+37,""))</f>
        <v/>
      </c>
      <c r="P46" s="814" t="str">
        <f>IF(DAY(OctSun1)=1,IF(AND(YEAR(OctSun1+31)=CalendarYear,MONTH(OctSun1+31)=10),OctSun1+31,""),IF(AND(YEAR(OctSun1+38)=CalendarYear,MONTH(OctSun1+38)=10),OctSun1+38,""))</f>
        <v/>
      </c>
      <c r="Q46" s="814" t="str">
        <f>IF(DAY(OctSun1)=1,IF(AND(YEAR(OctSun1+32)=CalendarYear,MONTH(OctSun1+32)=10),OctSun1+32,""),IF(AND(YEAR(OctSun1+39)=CalendarYear,MONTH(OctSun1+39)=10),OctSun1+39,""))</f>
        <v/>
      </c>
      <c r="R46" s="814" t="str">
        <f>IF(DAY(OctSun1)=1,IF(AND(YEAR(OctSun1+33)=CalendarYear,MONTH(OctSun1+33)=10),OctSun1+33,""),IF(AND(YEAR(OctSun1+40)=CalendarYear,MONTH(OctSun1+40)=10),OctSun1+40,""))</f>
        <v/>
      </c>
      <c r="S46" s="814" t="str">
        <f>IF(DAY(OctSun1)=1,IF(AND(YEAR(OctSun1+34)=CalendarYear,MONTH(OctSun1+34)=10),OctSun1+34,""),IF(AND(YEAR(OctSun1+41)=CalendarYear,MONTH(OctSun1+41)=10),OctSun1+41,""))</f>
        <v/>
      </c>
      <c r="T46" s="814" t="str">
        <f>IF(DAY(OctSun1)=1,IF(AND(YEAR(OctSun1+35)=CalendarYear,MONTH(OctSun1+35)=10),OctSun1+35,""),IF(AND(YEAR(OctSun1+42)=CalendarYear,MONTH(OctSun1+42)=10),OctSun1+42,""))</f>
        <v/>
      </c>
      <c r="U46" s="815" t="str">
        <f t="shared" si="25"/>
        <v/>
      </c>
      <c r="W46" s="802"/>
      <c r="Y46" s="829"/>
      <c r="AB46" s="802"/>
      <c r="AJ46" s="806" t="s">
        <v>1202</v>
      </c>
      <c r="AK46" s="806" t="s">
        <v>1146</v>
      </c>
      <c r="AL46" s="807">
        <v>44920</v>
      </c>
    </row>
    <row r="47" spans="3:45" ht="15" customHeight="1">
      <c r="D47" s="815"/>
      <c r="K47" s="815"/>
      <c r="N47" s="815"/>
      <c r="U47" s="815"/>
      <c r="W47" s="802"/>
      <c r="Y47" s="829"/>
      <c r="AB47" s="802"/>
      <c r="AJ47" s="806" t="s">
        <v>1203</v>
      </c>
      <c r="AK47" s="818" t="s">
        <v>1148</v>
      </c>
      <c r="AL47" s="807">
        <v>44921</v>
      </c>
      <c r="AS47" s="806">
        <f>SUM(AS14:AS46)</f>
        <v>184</v>
      </c>
    </row>
    <row r="48" spans="3:45" ht="15" customHeight="1">
      <c r="C48" s="809" t="s">
        <v>1204</v>
      </c>
      <c r="D48" s="821"/>
      <c r="E48" s="809"/>
      <c r="F48" s="809"/>
      <c r="G48" s="809"/>
      <c r="H48" s="809"/>
      <c r="I48" s="809"/>
      <c r="J48" s="809"/>
      <c r="K48" s="821"/>
      <c r="L48" s="832"/>
      <c r="M48" s="809" t="s">
        <v>1205</v>
      </c>
      <c r="N48" s="821"/>
      <c r="O48" s="809"/>
      <c r="P48" s="810"/>
      <c r="Q48" s="810"/>
      <c r="R48" s="810"/>
      <c r="S48" s="810"/>
      <c r="T48" s="810"/>
      <c r="U48" s="815"/>
      <c r="W48" s="802"/>
      <c r="Y48" s="829"/>
      <c r="AB48" s="802"/>
      <c r="AJ48" s="806" t="s">
        <v>1206</v>
      </c>
    </row>
    <row r="49" spans="3:38" ht="15" customHeight="1">
      <c r="C49" s="811" t="s">
        <v>404</v>
      </c>
      <c r="D49" s="811"/>
      <c r="E49" s="811" t="s">
        <v>1127</v>
      </c>
      <c r="F49" s="811" t="s">
        <v>1128</v>
      </c>
      <c r="G49" s="811" t="s">
        <v>1129</v>
      </c>
      <c r="H49" s="811" t="s">
        <v>1128</v>
      </c>
      <c r="I49" s="811" t="s">
        <v>53</v>
      </c>
      <c r="J49" s="811" t="s">
        <v>404</v>
      </c>
      <c r="K49" s="815" t="str">
        <f t="shared" ref="K49:K55" si="29">IF(ISTEXT(J49),"","w")</f>
        <v/>
      </c>
      <c r="M49" s="811" t="s">
        <v>404</v>
      </c>
      <c r="N49" s="811"/>
      <c r="O49" s="811" t="s">
        <v>1127</v>
      </c>
      <c r="P49" s="811" t="s">
        <v>1128</v>
      </c>
      <c r="Q49" s="811" t="s">
        <v>1129</v>
      </c>
      <c r="R49" s="811" t="s">
        <v>1128</v>
      </c>
      <c r="S49" s="811" t="s">
        <v>53</v>
      </c>
      <c r="T49" s="811" t="s">
        <v>404</v>
      </c>
      <c r="U49" s="815" t="str">
        <f t="shared" ref="U49:U55" si="30">IF(ISTEXT(T49),"","w")</f>
        <v/>
      </c>
      <c r="W49" s="802"/>
      <c r="Y49" s="829"/>
      <c r="AB49" s="802"/>
    </row>
    <row r="50" spans="3:38" ht="15" customHeight="1">
      <c r="C50" s="814" t="str">
        <f>IF(DAY(NovSun1)=1,"",IF(AND(YEAR(NovSun1+1)=CalendarYear,MONTH(NovSun1+1)=11),NovSun1+1,""))</f>
        <v/>
      </c>
      <c r="D50" s="815" t="str">
        <f t="shared" ref="D50:D55" si="31">IF(ISTEXT(C50),"","w")</f>
        <v/>
      </c>
      <c r="E50" s="814" t="str">
        <f>IF(DAY(NovSun1)=1,"",IF(AND(YEAR(NovSun1+2)=CalendarYear,MONTH(NovSun1+2)=11),NovSun1+2,""))</f>
        <v/>
      </c>
      <c r="F50" s="814" t="str">
        <f>IF(DAY(NovSun1)=1,"",IF(AND(YEAR(NovSun1+3)=CalendarYear,MONTH(NovSun1+3)=11),NovSun1+3,""))</f>
        <v/>
      </c>
      <c r="G50" s="814" t="str">
        <f>IF(DAY(NovSun1)=1,"",IF(AND(YEAR(NovSun1+4)=CalendarYear,MONTH(NovSun1+4)=11),NovSun1+4,""))</f>
        <v/>
      </c>
      <c r="H50" s="814" t="str">
        <f>IF(DAY(NovSun1)=1,"",IF(AND(YEAR(NovSun1+5)=CalendarYear,MONTH(NovSun1+5)=11),NovSun1+5,""))</f>
        <v/>
      </c>
      <c r="I50" s="814" t="str">
        <f>IF(DAY(NovSun1)=1,"",IF(AND(YEAR(NovSun1+6)=CalendarYear,MONTH(NovSun1+6)=11),NovSun1+6,""))</f>
        <v/>
      </c>
      <c r="J50" s="814">
        <f>IF(DAY(NovSun1)=1,IF(AND(YEAR(NovSun1)=CalendarYear,MONTH(NovSun1)=11),NovSun1,""),IF(AND(YEAR(NovSun1+7)=CalendarYear,MONTH(NovSun1+7)=11),NovSun1+7,""))</f>
        <v>44136</v>
      </c>
      <c r="K50" s="815" t="str">
        <f t="shared" si="29"/>
        <v>w</v>
      </c>
      <c r="M50" s="814" t="str">
        <f>IF(DAY(DecSun1)=1,"",IF(AND(YEAR(DecSun1+1)=CalendarYear,MONTH(DecSun1+1)=12),DecSun1+1,""))</f>
        <v/>
      </c>
      <c r="N50" s="815" t="str">
        <f t="shared" ref="N50:N55" si="32">IF(ISTEXT(M50),"","w")</f>
        <v/>
      </c>
      <c r="O50" s="814">
        <f>IF(DAY(DecSun1)=1,"",IF(AND(YEAR(DecSun1+2)=CalendarYear,MONTH(DecSun1+2)=12),DecSun1+2,""))</f>
        <v>44166</v>
      </c>
      <c r="P50" s="814">
        <f>IF(DAY(DecSun1)=1,"",IF(AND(YEAR(DecSun1+3)=CalendarYear,MONTH(DecSun1+3)=12),DecSun1+3,""))</f>
        <v>44167</v>
      </c>
      <c r="Q50" s="814">
        <f>IF(DAY(DecSun1)=1,"",IF(AND(YEAR(DecSun1+4)=CalendarYear,MONTH(DecSun1+4)=12),DecSun1+4,""))</f>
        <v>44168</v>
      </c>
      <c r="R50" s="814">
        <f>IF(DAY(DecSun1)=1,"",IF(AND(YEAR(DecSun1+5)=CalendarYear,MONTH(DecSun1+5)=12),DecSun1+5,""))</f>
        <v>44169</v>
      </c>
      <c r="S50" s="814">
        <f>IF(DAY(DecSun1)=1,"",IF(AND(YEAR(DecSun1+6)=CalendarYear,MONTH(DecSun1+6)=12),DecSun1+6,""))</f>
        <v>44170</v>
      </c>
      <c r="T50" s="814">
        <f>IF(DAY(DecSun1)=1,IF(AND(YEAR(DecSun1)=CalendarYear,MONTH(DecSun1)=12),DecSun1,""),IF(AND(YEAR(DecSun1+7)=CalendarYear,MONTH(DecSun1+7)=12),DecSun1+7,""))</f>
        <v>44171</v>
      </c>
      <c r="U50" s="815" t="str">
        <f t="shared" si="30"/>
        <v>w</v>
      </c>
      <c r="W50" s="802"/>
      <c r="Y50" s="829"/>
      <c r="AB50" s="802"/>
      <c r="AJ50" s="806" t="s">
        <v>1207</v>
      </c>
      <c r="AK50" s="806" t="s">
        <v>1122</v>
      </c>
      <c r="AL50" s="807">
        <v>44927</v>
      </c>
    </row>
    <row r="51" spans="3:38" ht="15" customHeight="1">
      <c r="C51" s="814">
        <f>IF(DAY(NovSun1)=1,IF(AND(YEAR(NovSun1+1)=CalendarYear,MONTH(NovSun1+1)=11),NovSun1+1,""),IF(AND(YEAR(NovSun1+8)=CalendarYear,MONTH(NovSun1+8)=11),NovSun1+8,""))</f>
        <v>44137</v>
      </c>
      <c r="D51" s="815" t="str">
        <f t="shared" si="31"/>
        <v>w</v>
      </c>
      <c r="E51" s="814">
        <f>IF(DAY(NovSun1)=1,IF(AND(YEAR(NovSun1+2)=CalendarYear,MONTH(NovSun1+2)=11),NovSun1+2,""),IF(AND(YEAR(NovSun1+9)=CalendarYear,MONTH(NovSun1+9)=11),NovSun1+9,""))</f>
        <v>44138</v>
      </c>
      <c r="F51" s="814">
        <f>IF(DAY(NovSun1)=1,IF(AND(YEAR(NovSun1+3)=CalendarYear,MONTH(NovSun1+3)=11),NovSun1+3,""),IF(AND(YEAR(NovSun1+10)=CalendarYear,MONTH(NovSun1+10)=11),NovSun1+10,""))</f>
        <v>44139</v>
      </c>
      <c r="G51" s="814">
        <f>IF(DAY(NovSun1)=1,IF(AND(YEAR(NovSun1+4)=CalendarYear,MONTH(NovSun1+4)=11),NovSun1+4,""),IF(AND(YEAR(NovSun1+11)=CalendarYear,MONTH(NovSun1+11)=11),NovSun1+11,""))</f>
        <v>44140</v>
      </c>
      <c r="H51" s="814">
        <f>IF(DAY(NovSun1)=1,IF(AND(YEAR(NovSun1+5)=CalendarYear,MONTH(NovSun1+5)=11),NovSun1+5,""),IF(AND(YEAR(NovSun1+12)=CalendarYear,MONTH(NovSun1+12)=11),NovSun1+12,""))</f>
        <v>44141</v>
      </c>
      <c r="I51" s="814">
        <f>IF(DAY(NovSun1)=1,IF(AND(YEAR(NovSun1+6)=CalendarYear,MONTH(NovSun1+6)=11),NovSun1+6,""),IF(AND(YEAR(NovSun1+13)=CalendarYear,MONTH(NovSun1+13)=11),NovSun1+13,""))</f>
        <v>44142</v>
      </c>
      <c r="J51" s="814">
        <f>IF(DAY(NovSun1)=1,IF(AND(YEAR(NovSun1+7)=CalendarYear,MONTH(NovSun1+7)=11),NovSun1+7,""),IF(AND(YEAR(NovSun1+14)=CalendarYear,MONTH(NovSun1+14)=11),NovSun1+14,""))</f>
        <v>44143</v>
      </c>
      <c r="K51" s="815" t="str">
        <f t="shared" si="29"/>
        <v>w</v>
      </c>
      <c r="M51" s="814">
        <f>IF(DAY(DecSun1)=1,IF(AND(YEAR(DecSun1+1)=CalendarYear,MONTH(DecSun1+1)=12),DecSun1+1,""),IF(AND(YEAR(DecSun1+8)=CalendarYear,MONTH(DecSun1+8)=12),DecSun1+8,""))</f>
        <v>44172</v>
      </c>
      <c r="N51" s="815" t="str">
        <f t="shared" si="32"/>
        <v>w</v>
      </c>
      <c r="O51" s="814">
        <f>IF(DAY(DecSun1)=1,IF(AND(YEAR(DecSun1+2)=CalendarYear,MONTH(DecSun1+2)=12),DecSun1+2,""),IF(AND(YEAR(DecSun1+9)=CalendarYear,MONTH(DecSun1+9)=12),DecSun1+9,""))</f>
        <v>44173</v>
      </c>
      <c r="P51" s="814">
        <f>IF(DAY(DecSun1)=1,IF(AND(YEAR(DecSun1+3)=CalendarYear,MONTH(DecSun1+3)=12),DecSun1+3,""),IF(AND(YEAR(DecSun1+10)=CalendarYear,MONTH(DecSun1+10)=12),DecSun1+10,""))</f>
        <v>44174</v>
      </c>
      <c r="Q51" s="814">
        <f>IF(DAY(DecSun1)=1,IF(AND(YEAR(DecSun1+4)=CalendarYear,MONTH(DecSun1+4)=12),DecSun1+4,""),IF(AND(YEAR(DecSun1+11)=CalendarYear,MONTH(DecSun1+11)=12),DecSun1+11,""))</f>
        <v>44175</v>
      </c>
      <c r="R51" s="814">
        <f>IF(DAY(DecSun1)=1,IF(AND(YEAR(DecSun1+5)=CalendarYear,MONTH(DecSun1+5)=12),DecSun1+5,""),IF(AND(YEAR(DecSun1+12)=CalendarYear,MONTH(DecSun1+12)=12),DecSun1+12,""))</f>
        <v>44176</v>
      </c>
      <c r="S51" s="814">
        <f>IF(DAY(DecSun1)=1,IF(AND(YEAR(DecSun1+6)=CalendarYear,MONTH(DecSun1+6)=12),DecSun1+6,""),IF(AND(YEAR(DecSun1+13)=CalendarYear,MONTH(DecSun1+13)=12),DecSun1+13,""))</f>
        <v>44177</v>
      </c>
      <c r="T51" s="814">
        <f>IF(DAY(DecSun1)=1,IF(AND(YEAR(DecSun1+7)=CalendarYear,MONTH(DecSun1+7)=12),DecSun1+7,""),IF(AND(YEAR(DecSun1+14)=CalendarYear,MONTH(DecSun1+14)=12),DecSun1+14,""))</f>
        <v>44178</v>
      </c>
      <c r="U51" s="815" t="str">
        <f t="shared" si="30"/>
        <v>w</v>
      </c>
      <c r="W51" s="802"/>
      <c r="Y51" s="829"/>
      <c r="AB51" s="802"/>
      <c r="AJ51" s="806" t="s">
        <v>1208</v>
      </c>
      <c r="AK51" s="806" t="s">
        <v>1126</v>
      </c>
      <c r="AL51" s="807">
        <v>45023</v>
      </c>
    </row>
    <row r="52" spans="3:38" ht="15" customHeight="1">
      <c r="C52" s="814">
        <f>IF(DAY(NovSun1)=1,IF(AND(YEAR(NovSun1+8)=CalendarYear,MONTH(NovSun1+8)=11),NovSun1+8,""),IF(AND(YEAR(NovSun1+15)=CalendarYear,MONTH(NovSun1+15)=11),NovSun1+15,""))</f>
        <v>44144</v>
      </c>
      <c r="D52" s="815" t="str">
        <f t="shared" si="31"/>
        <v>w</v>
      </c>
      <c r="E52" s="814">
        <f>IF(DAY(NovSun1)=1,IF(AND(YEAR(NovSun1+9)=CalendarYear,MONTH(NovSun1+9)=11),NovSun1+9,""),IF(AND(YEAR(NovSun1+16)=CalendarYear,MONTH(NovSun1+16)=11),NovSun1+16,""))</f>
        <v>44145</v>
      </c>
      <c r="F52" s="814">
        <f>IF(DAY(NovSun1)=1,IF(AND(YEAR(NovSun1+10)=CalendarYear,MONTH(NovSun1+10)=11),NovSun1+10,""),IF(AND(YEAR(NovSun1+17)=CalendarYear,MONTH(NovSun1+17)=11),NovSun1+17,""))</f>
        <v>44146</v>
      </c>
      <c r="G52" s="814">
        <f>IF(DAY(NovSun1)=1,IF(AND(YEAR(NovSun1+11)=CalendarYear,MONTH(NovSun1+11)=11),NovSun1+11,""),IF(AND(YEAR(NovSun1+18)=CalendarYear,MONTH(NovSun1+18)=11),NovSun1+18,""))</f>
        <v>44147</v>
      </c>
      <c r="H52" s="814">
        <f>IF(DAY(NovSun1)=1,IF(AND(YEAR(NovSun1+12)=CalendarYear,MONTH(NovSun1+12)=11),NovSun1+12,""),IF(AND(YEAR(NovSun1+19)=CalendarYear,MONTH(NovSun1+19)=11),NovSun1+19,""))</f>
        <v>44148</v>
      </c>
      <c r="I52" s="814">
        <f>IF(DAY(NovSun1)=1,IF(AND(YEAR(NovSun1+13)=CalendarYear,MONTH(NovSun1+13)=11),NovSun1+13,""),IF(AND(YEAR(NovSun1+20)=CalendarYear,MONTH(NovSun1+20)=11),NovSun1+20,""))</f>
        <v>44149</v>
      </c>
      <c r="J52" s="814">
        <f>IF(DAY(NovSun1)=1,IF(AND(YEAR(NovSun1+14)=CalendarYear,MONTH(NovSun1+14)=11),NovSun1+14,""),IF(AND(YEAR(NovSun1+21)=CalendarYear,MONTH(NovSun1+21)=11),NovSun1+21,""))</f>
        <v>44150</v>
      </c>
      <c r="K52" s="815" t="str">
        <f t="shared" si="29"/>
        <v>w</v>
      </c>
      <c r="M52" s="814">
        <f>IF(DAY(DecSun1)=1,IF(AND(YEAR(DecSun1+8)=CalendarYear,MONTH(DecSun1+8)=12),DecSun1+8,""),IF(AND(YEAR(DecSun1+15)=CalendarYear,MONTH(DecSun1+15)=12),DecSun1+15,""))</f>
        <v>44179</v>
      </c>
      <c r="N52" s="815" t="str">
        <f t="shared" si="32"/>
        <v>w</v>
      </c>
      <c r="O52" s="814">
        <f>IF(DAY(DecSun1)=1,IF(AND(YEAR(DecSun1+9)=CalendarYear,MONTH(DecSun1+9)=12),DecSun1+9,""),IF(AND(YEAR(DecSun1+16)=CalendarYear,MONTH(DecSun1+16)=12),DecSun1+16,""))</f>
        <v>44180</v>
      </c>
      <c r="P52" s="814">
        <f>IF(DAY(DecSun1)=1,IF(AND(YEAR(DecSun1+10)=CalendarYear,MONTH(DecSun1+10)=12),DecSun1+10,""),IF(AND(YEAR(DecSun1+17)=CalendarYear,MONTH(DecSun1+17)=12),DecSun1+17,""))</f>
        <v>44181</v>
      </c>
      <c r="Q52" s="814">
        <f>IF(DAY(DecSun1)=1,IF(AND(YEAR(DecSun1+11)=CalendarYear,MONTH(DecSun1+11)=12),DecSun1+11,""),IF(AND(YEAR(DecSun1+18)=CalendarYear,MONTH(DecSun1+18)=12),DecSun1+18,""))</f>
        <v>44182</v>
      </c>
      <c r="R52" s="814">
        <f>IF(DAY(DecSun1)=1,IF(AND(YEAR(DecSun1+12)=CalendarYear,MONTH(DecSun1+12)=12),DecSun1+12,""),IF(AND(YEAR(DecSun1+19)=CalendarYear,MONTH(DecSun1+19)=12),DecSun1+19,""))</f>
        <v>44183</v>
      </c>
      <c r="S52" s="814">
        <f>IF(DAY(DecSun1)=1,IF(AND(YEAR(DecSun1+13)=CalendarYear,MONTH(DecSun1+13)=12),DecSun1+13,""),IF(AND(YEAR(DecSun1+20)=CalendarYear,MONTH(DecSun1+20)=12),DecSun1+20,""))</f>
        <v>44184</v>
      </c>
      <c r="T52" s="814">
        <f>IF(DAY(DecSun1)=1,IF(AND(YEAR(DecSun1+14)=CalendarYear,MONTH(DecSun1+14)=12),DecSun1+14,""),IF(AND(YEAR(DecSun1+21)=CalendarYear,MONTH(DecSun1+21)=12),DecSun1+21,""))</f>
        <v>44185</v>
      </c>
      <c r="U52" s="815" t="str">
        <f t="shared" si="30"/>
        <v>w</v>
      </c>
      <c r="W52" s="802"/>
      <c r="Y52" s="834"/>
      <c r="AB52" s="802"/>
      <c r="AJ52" s="806" t="s">
        <v>1209</v>
      </c>
      <c r="AK52" s="806" t="s">
        <v>1132</v>
      </c>
      <c r="AL52" s="807">
        <v>45025</v>
      </c>
    </row>
    <row r="53" spans="3:38" ht="15" customHeight="1">
      <c r="C53" s="814">
        <f>IF(DAY(NovSun1)=1,IF(AND(YEAR(NovSun1+15)=CalendarYear,MONTH(NovSun1+15)=11),NovSun1+15,""),IF(AND(YEAR(NovSun1+22)=CalendarYear,MONTH(NovSun1+22)=11),NovSun1+22,""))</f>
        <v>44151</v>
      </c>
      <c r="D53" s="815" t="str">
        <f t="shared" si="31"/>
        <v>w</v>
      </c>
      <c r="E53" s="814">
        <f>IF(DAY(NovSun1)=1,IF(AND(YEAR(NovSun1+16)=CalendarYear,MONTH(NovSun1+16)=11),NovSun1+16,""),IF(AND(YEAR(NovSun1+23)=CalendarYear,MONTH(NovSun1+23)=11),NovSun1+23,""))</f>
        <v>44152</v>
      </c>
      <c r="F53" s="814">
        <f>IF(DAY(NovSun1)=1,IF(AND(YEAR(NovSun1+17)=CalendarYear,MONTH(NovSun1+17)=11),NovSun1+17,""),IF(AND(YEAR(NovSun1+24)=CalendarYear,MONTH(NovSun1+24)=11),NovSun1+24,""))</f>
        <v>44153</v>
      </c>
      <c r="G53" s="814">
        <f>IF(DAY(NovSun1)=1,IF(AND(YEAR(NovSun1+18)=CalendarYear,MONTH(NovSun1+18)=11),NovSun1+18,""),IF(AND(YEAR(NovSun1+25)=CalendarYear,MONTH(NovSun1+25)=11),NovSun1+25,""))</f>
        <v>44154</v>
      </c>
      <c r="H53" s="814">
        <f>IF(DAY(NovSun1)=1,IF(AND(YEAR(NovSun1+19)=CalendarYear,MONTH(NovSun1+19)=11),NovSun1+19,""),IF(AND(YEAR(NovSun1+26)=CalendarYear,MONTH(NovSun1+26)=11),NovSun1+26,""))</f>
        <v>44155</v>
      </c>
      <c r="I53" s="814">
        <f>IF(DAY(NovSun1)=1,IF(AND(YEAR(NovSun1+20)=CalendarYear,MONTH(NovSun1+20)=11),NovSun1+20,""),IF(AND(YEAR(NovSun1+27)=CalendarYear,MONTH(NovSun1+27)=11),NovSun1+27,""))</f>
        <v>44156</v>
      </c>
      <c r="J53" s="814">
        <f>IF(DAY(NovSun1)=1,IF(AND(YEAR(NovSun1+21)=CalendarYear,MONTH(NovSun1+21)=11),NovSun1+21,""),IF(AND(YEAR(NovSun1+28)=CalendarYear,MONTH(NovSun1+28)=11),NovSun1+28,""))</f>
        <v>44157</v>
      </c>
      <c r="K53" s="815" t="str">
        <f t="shared" si="29"/>
        <v>w</v>
      </c>
      <c r="M53" s="814">
        <f>IF(DAY(DecSun1)=1,IF(AND(YEAR(DecSun1+15)=CalendarYear,MONTH(DecSun1+15)=12),DecSun1+15,""),IF(AND(YEAR(DecSun1+22)=CalendarYear,MONTH(DecSun1+22)=12),DecSun1+22,""))</f>
        <v>44186</v>
      </c>
      <c r="N53" s="815" t="str">
        <f t="shared" si="32"/>
        <v>w</v>
      </c>
      <c r="O53" s="814">
        <f>IF(DAY(DecSun1)=1,IF(AND(YEAR(DecSun1+16)=CalendarYear,MONTH(DecSun1+16)=12),DecSun1+16,""),IF(AND(YEAR(DecSun1+23)=CalendarYear,MONTH(DecSun1+23)=12),DecSun1+23,""))</f>
        <v>44187</v>
      </c>
      <c r="P53" s="814">
        <f>IF(DAY(DecSun1)=1,IF(AND(YEAR(DecSun1+17)=CalendarYear,MONTH(DecSun1+17)=12),DecSun1+17,""),IF(AND(YEAR(DecSun1+24)=CalendarYear,MONTH(DecSun1+24)=12),DecSun1+24,""))</f>
        <v>44188</v>
      </c>
      <c r="Q53" s="814">
        <f>IF(DAY(DecSun1)=1,IF(AND(YEAR(DecSun1+18)=CalendarYear,MONTH(DecSun1+18)=12),DecSun1+18,""),IF(AND(YEAR(DecSun1+25)=CalendarYear,MONTH(DecSun1+25)=12),DecSun1+25,""))</f>
        <v>44189</v>
      </c>
      <c r="R53" s="814">
        <f>IF(DAY(DecSun1)=1,IF(AND(YEAR(DecSun1+19)=CalendarYear,MONTH(DecSun1+19)=12),DecSun1+19,""),IF(AND(YEAR(DecSun1+26)=CalendarYear,MONTH(DecSun1+26)=12),DecSun1+26,""))</f>
        <v>44190</v>
      </c>
      <c r="S53" s="814">
        <f>IF(DAY(DecSun1)=1,IF(AND(YEAR(DecSun1+20)=CalendarYear,MONTH(DecSun1+20)=12),DecSun1+20,""),IF(AND(YEAR(DecSun1+27)=CalendarYear,MONTH(DecSun1+27)=12),DecSun1+27,""))</f>
        <v>44191</v>
      </c>
      <c r="T53" s="814">
        <f>IF(DAY(DecSun1)=1,IF(AND(YEAR(DecSun1+21)=CalendarYear,MONTH(DecSun1+21)=12),DecSun1+21,""),IF(AND(YEAR(DecSun1+28)=CalendarYear,MONTH(DecSun1+28)=12),DecSun1+28,""))</f>
        <v>44192</v>
      </c>
      <c r="U53" s="815" t="str">
        <f t="shared" si="30"/>
        <v>w</v>
      </c>
      <c r="W53" s="802"/>
      <c r="Y53" s="834"/>
      <c r="AB53" s="802"/>
      <c r="AJ53" s="806" t="s">
        <v>1210</v>
      </c>
      <c r="AK53" s="806" t="s">
        <v>1134</v>
      </c>
      <c r="AL53" s="807">
        <v>45026</v>
      </c>
    </row>
    <row r="54" spans="3:38" ht="15" customHeight="1">
      <c r="C54" s="814">
        <f>IF(DAY(NovSun1)=1,IF(AND(YEAR(NovSun1+22)=CalendarYear,MONTH(NovSun1+22)=11),NovSun1+22,""),IF(AND(YEAR(NovSun1+29)=CalendarYear,MONTH(NovSun1+29)=11),NovSun1+29,""))</f>
        <v>44158</v>
      </c>
      <c r="D54" s="815" t="str">
        <f t="shared" si="31"/>
        <v>w</v>
      </c>
      <c r="E54" s="814">
        <f>IF(DAY(NovSun1)=1,IF(AND(YEAR(NovSun1+23)=CalendarYear,MONTH(NovSun1+23)=11),NovSun1+23,""),IF(AND(YEAR(NovSun1+30)=CalendarYear,MONTH(NovSun1+30)=11),NovSun1+30,""))</f>
        <v>44159</v>
      </c>
      <c r="F54" s="814">
        <f>IF(DAY(NovSun1)=1,IF(AND(YEAR(NovSun1+24)=CalendarYear,MONTH(NovSun1+24)=11),NovSun1+24,""),IF(AND(YEAR(NovSun1+31)=CalendarYear,MONTH(NovSun1+31)=11),NovSun1+31,""))</f>
        <v>44160</v>
      </c>
      <c r="G54" s="814">
        <f>IF(DAY(NovSun1)=1,IF(AND(YEAR(NovSun1+25)=CalendarYear,MONTH(NovSun1+25)=11),NovSun1+25,""),IF(AND(YEAR(NovSun1+32)=CalendarYear,MONTH(NovSun1+32)=11),NovSun1+32,""))</f>
        <v>44161</v>
      </c>
      <c r="H54" s="814">
        <f>IF(DAY(NovSun1)=1,IF(AND(YEAR(NovSun1+26)=CalendarYear,MONTH(NovSun1+26)=11),NovSun1+26,""),IF(AND(YEAR(NovSun1+33)=CalendarYear,MONTH(NovSun1+33)=11),NovSun1+33,""))</f>
        <v>44162</v>
      </c>
      <c r="I54" s="814">
        <f>IF(DAY(NovSun1)=1,IF(AND(YEAR(NovSun1+27)=CalendarYear,MONTH(NovSun1+27)=11),NovSun1+27,""),IF(AND(YEAR(NovSun1+34)=CalendarYear,MONTH(NovSun1+34)=11),NovSun1+34,""))</f>
        <v>44163</v>
      </c>
      <c r="J54" s="814">
        <f>IF(DAY(NovSun1)=1,IF(AND(YEAR(NovSun1+28)=CalendarYear,MONTH(NovSun1+28)=11),NovSun1+28,""),IF(AND(YEAR(NovSun1+35)=CalendarYear,MONTH(NovSun1+35)=11),NovSun1+35,""))</f>
        <v>44164</v>
      </c>
      <c r="K54" s="815" t="str">
        <f t="shared" si="29"/>
        <v>w</v>
      </c>
      <c r="M54" s="814">
        <f>IF(DAY(DecSun1)=1,IF(AND(YEAR(DecSun1+22)=CalendarYear,MONTH(DecSun1+22)=12),DecSun1+22,""),IF(AND(YEAR(DecSun1+29)=CalendarYear,MONTH(DecSun1+29)=12),DecSun1+29,""))</f>
        <v>44193</v>
      </c>
      <c r="N54" s="815" t="str">
        <f t="shared" si="32"/>
        <v>w</v>
      </c>
      <c r="O54" s="814">
        <f>IF(DAY(DecSun1)=1,IF(AND(YEAR(DecSun1+23)=CalendarYear,MONTH(DecSun1+23)=12),DecSun1+23,""),IF(AND(YEAR(DecSun1+30)=CalendarYear,MONTH(DecSun1+30)=12),DecSun1+30,""))</f>
        <v>44194</v>
      </c>
      <c r="P54" s="814">
        <f>IF(DAY(DecSun1)=1,IF(AND(YEAR(DecSun1+24)=CalendarYear,MONTH(DecSun1+24)=12),DecSun1+24,""),IF(AND(YEAR(DecSun1+31)=CalendarYear,MONTH(DecSun1+31)=12),DecSun1+31,""))</f>
        <v>44195</v>
      </c>
      <c r="Q54" s="814">
        <f>IF(DAY(DecSun1)=1,IF(AND(YEAR(DecSun1+25)=CalendarYear,MONTH(DecSun1+25)=12),DecSun1+25,""),IF(AND(YEAR(DecSun1+32)=CalendarYear,MONTH(DecSun1+32)=12),DecSun1+32,""))</f>
        <v>44196</v>
      </c>
      <c r="R54" s="814" t="str">
        <f>IF(DAY(DecSun1)=1,IF(AND(YEAR(DecSun1+26)=CalendarYear,MONTH(DecSun1+26)=12),DecSun1+26,""),IF(AND(YEAR(DecSun1+33)=CalendarYear,MONTH(DecSun1+33)=12),DecSun1+33,""))</f>
        <v/>
      </c>
      <c r="S54" s="814" t="str">
        <f>IF(DAY(DecSun1)=1,IF(AND(YEAR(DecSun1+27)=CalendarYear,MONTH(DecSun1+27)=12),DecSun1+27,""),IF(AND(YEAR(DecSun1+34)=CalendarYear,MONTH(DecSun1+34)=12),DecSun1+34,""))</f>
        <v/>
      </c>
      <c r="T54" s="814" t="str">
        <f>IF(DAY(DecSun1)=1,IF(AND(YEAR(DecSun1+28)=CalendarYear,MONTH(DecSun1+28)=12),DecSun1+28,""),IF(AND(YEAR(DecSun1+35)=CalendarYear,MONTH(DecSun1+35)=12),DecSun1+35,""))</f>
        <v/>
      </c>
      <c r="U54" s="815" t="str">
        <f t="shared" si="30"/>
        <v/>
      </c>
      <c r="W54" s="802"/>
      <c r="Y54" s="834"/>
      <c r="AB54" s="802"/>
      <c r="AJ54" s="806" t="s">
        <v>1211</v>
      </c>
      <c r="AK54" s="806" t="s">
        <v>1136</v>
      </c>
      <c r="AL54" s="807">
        <v>45043</v>
      </c>
    </row>
    <row r="55" spans="3:38">
      <c r="C55" s="814">
        <f>IF(DAY(NovSun1)=1,IF(AND(YEAR(NovSun1+29)=CalendarYear,MONTH(NovSun1+29)=11),NovSun1+29,""),IF(AND(YEAR(NovSun1+36)=CalendarYear,MONTH(NovSun1+36)=11),NovSun1+36,""))</f>
        <v>44165</v>
      </c>
      <c r="D55" s="815" t="str">
        <f t="shared" si="31"/>
        <v>w</v>
      </c>
      <c r="E55" s="814" t="str">
        <f>IF(DAY(NovSun1)=1,IF(AND(YEAR(NovSun1+30)=CalendarYear,MONTH(NovSun1+30)=11),NovSun1+30,""),IF(AND(YEAR(NovSun1+37)=CalendarYear,MONTH(NovSun1+37)=11),NovSun1+37,""))</f>
        <v/>
      </c>
      <c r="F55" s="814" t="str">
        <f>IF(DAY(NovSun1)=1,IF(AND(YEAR(NovSun1+31)=CalendarYear,MONTH(NovSun1+31)=11),NovSun1+31,""),IF(AND(YEAR(NovSun1+38)=CalendarYear,MONTH(NovSun1+38)=11),NovSun1+38,""))</f>
        <v/>
      </c>
      <c r="G55" s="814" t="str">
        <f>IF(DAY(NovSun1)=1,IF(AND(YEAR(NovSun1+32)=CalendarYear,MONTH(NovSun1+32)=11),NovSun1+32,""),IF(AND(YEAR(NovSun1+39)=CalendarYear,MONTH(NovSun1+39)=11),NovSun1+39,""))</f>
        <v/>
      </c>
      <c r="H55" s="814" t="str">
        <f>IF(DAY(NovSun1)=1,IF(AND(YEAR(NovSun1+33)=CalendarYear,MONTH(NovSun1+33)=11),NovSun1+33,""),IF(AND(YEAR(NovSun1+40)=CalendarYear,MONTH(NovSun1+40)=11),NovSun1+40,""))</f>
        <v/>
      </c>
      <c r="I55" s="814" t="str">
        <f>IF(DAY(NovSun1)=1,IF(AND(YEAR(NovSun1+34)=CalendarYear,MONTH(NovSun1+34)=11),NovSun1+34,""),IF(AND(YEAR(NovSun1+41)=CalendarYear,MONTH(NovSun1+41)=11),NovSun1+41,""))</f>
        <v/>
      </c>
      <c r="J55" s="814" t="str">
        <f>IF(DAY(NovSun1)=1,IF(AND(YEAR(NovSun1+35)=CalendarYear,MONTH(NovSun1+35)=11),NovSun1+35,""),IF(AND(YEAR(NovSun1+42)=CalendarYear,MONTH(NovSun1+42)=11),NovSun1+42,""))</f>
        <v/>
      </c>
      <c r="K55" s="815" t="str">
        <f t="shared" si="29"/>
        <v/>
      </c>
      <c r="M55" s="814" t="str">
        <f>IF(DAY(DecSun1)=1,IF(AND(YEAR(DecSun1+29)=CalendarYear,MONTH(DecSun1+29)=12),DecSun1+29,""),IF(AND(YEAR(DecSun1+36)=CalendarYear,MONTH(DecSun1+36)=12),DecSun1+36,""))</f>
        <v/>
      </c>
      <c r="N55" s="815" t="str">
        <f t="shared" si="32"/>
        <v/>
      </c>
      <c r="O55" s="814" t="str">
        <f>IF(DAY(DecSun1)=1,IF(AND(YEAR(DecSun1+30)=CalendarYear,MONTH(DecSun1+30)=12),DecSun1+30,""),IF(AND(YEAR(DecSun1+37)=CalendarYear,MONTH(DecSun1+37)=12),DecSun1+37,""))</f>
        <v/>
      </c>
      <c r="P55" s="814" t="str">
        <f>IF(DAY(DecSun1)=1,IF(AND(YEAR(DecSun1+31)=CalendarYear,MONTH(DecSun1+31)=12),DecSun1+31,""),IF(AND(YEAR(DecSun1+38)=CalendarYear,MONTH(DecSun1+38)=12),DecSun1+38,""))</f>
        <v/>
      </c>
      <c r="Q55" s="814" t="str">
        <f>IF(DAY(DecSun1)=1,IF(AND(YEAR(DecSun1+32)=CalendarYear,MONTH(DecSun1+32)=12),DecSun1+32,""),IF(AND(YEAR(DecSun1+39)=CalendarYear,MONTH(DecSun1+39)=12),DecSun1+39,""))</f>
        <v/>
      </c>
      <c r="R55" s="814" t="str">
        <f>IF(DAY(DecSun1)=1,IF(AND(YEAR(DecSun1+33)=CalendarYear,MONTH(DecSun1+33)=12),DecSun1+33,""),IF(AND(YEAR(DecSun1+40)=CalendarYear,MONTH(DecSun1+40)=12),DecSun1+40,""))</f>
        <v/>
      </c>
      <c r="S55" s="814" t="str">
        <f>IF(DAY(DecSun1)=1,IF(AND(YEAR(DecSun1+34)=CalendarYear,MONTH(DecSun1+34)=12),DecSun1+34,""),IF(AND(YEAR(DecSun1+41)=CalendarYear,MONTH(DecSun1+41)=12),DecSun1+41,""))</f>
        <v/>
      </c>
      <c r="T55" s="814" t="str">
        <f>IF(DAY(DecSun1)=1,IF(AND(YEAR(DecSun1+35)=CalendarYear,MONTH(DecSun1+35)=12),DecSun1+35,""),IF(AND(YEAR(DecSun1+42)=CalendarYear,MONTH(DecSun1+42)=12),DecSun1+42,""))</f>
        <v/>
      </c>
      <c r="U55" s="815" t="str">
        <f t="shared" si="30"/>
        <v/>
      </c>
      <c r="W55" s="802"/>
      <c r="Y55" s="834"/>
      <c r="AB55" s="802"/>
      <c r="AJ55" s="806" t="s">
        <v>1212</v>
      </c>
      <c r="AK55" s="806" t="s">
        <v>1139</v>
      </c>
      <c r="AL55" s="807">
        <v>45064</v>
      </c>
    </row>
    <row r="56" spans="3:38">
      <c r="Y56" s="834"/>
      <c r="AJ56" s="806" t="s">
        <v>1213</v>
      </c>
      <c r="AK56" s="806" t="s">
        <v>1141</v>
      </c>
      <c r="AL56" s="807">
        <v>45074</v>
      </c>
    </row>
    <row r="57" spans="3:38">
      <c r="D57" s="835">
        <f>COUNTIF(D4:D56,"W")</f>
        <v>25</v>
      </c>
      <c r="K57" s="835">
        <f>COUNTIF(K4:K56,"W")</f>
        <v>27</v>
      </c>
      <c r="N57" s="835">
        <f>COUNTIF(N4:N56,"W")</f>
        <v>24</v>
      </c>
      <c r="U57" s="835">
        <f>COUNTIF(U4:U56,"W")</f>
        <v>25</v>
      </c>
      <c r="Y57" s="834"/>
      <c r="AJ57" s="806" t="s">
        <v>1214</v>
      </c>
      <c r="AK57" s="806" t="s">
        <v>1143</v>
      </c>
      <c r="AL57" s="807">
        <v>45075</v>
      </c>
    </row>
    <row r="58" spans="3:38">
      <c r="D58" s="814"/>
      <c r="K58" s="814"/>
      <c r="N58" s="814"/>
      <c r="U58" s="814"/>
      <c r="Y58" s="834"/>
      <c r="AJ58" s="806" t="s">
        <v>1215</v>
      </c>
      <c r="AK58" s="806" t="s">
        <v>1146</v>
      </c>
      <c r="AL58" s="807">
        <v>45285</v>
      </c>
    </row>
    <row r="59" spans="3:38" hidden="1">
      <c r="D59" s="814"/>
      <c r="K59" s="814"/>
      <c r="N59" s="814"/>
      <c r="U59" s="814"/>
      <c r="Y59" s="834"/>
      <c r="AJ59" s="806" t="s">
        <v>1216</v>
      </c>
      <c r="AK59" s="818" t="s">
        <v>1148</v>
      </c>
      <c r="AL59" s="807">
        <v>45286</v>
      </c>
    </row>
    <row r="60" spans="3:38" hidden="1">
      <c r="D60" s="814"/>
      <c r="K60" s="814"/>
      <c r="N60" s="814"/>
      <c r="U60" s="814"/>
      <c r="Y60" s="834"/>
      <c r="AJ60" s="806" t="s">
        <v>1217</v>
      </c>
    </row>
    <row r="61" spans="3:38" hidden="1">
      <c r="C61" s="806">
        <v>2019</v>
      </c>
    </row>
    <row r="62" spans="3:38" hidden="1">
      <c r="C62" s="806">
        <v>2020</v>
      </c>
    </row>
    <row r="63" spans="3:38" hidden="1">
      <c r="C63" s="806">
        <v>2021</v>
      </c>
    </row>
    <row r="64" spans="3:38" hidden="1">
      <c r="C64" s="806">
        <v>2022</v>
      </c>
    </row>
    <row r="65" spans="3:26" hidden="1">
      <c r="C65" s="806">
        <v>2023</v>
      </c>
    </row>
    <row r="66" spans="3:26" hidden="1"/>
    <row r="67" spans="3:26" hidden="1"/>
    <row r="68" spans="3:26" hidden="1"/>
    <row r="69" spans="3:26" hidden="1"/>
    <row r="75" spans="3:26">
      <c r="Z75" s="836"/>
    </row>
    <row r="76" spans="3:26">
      <c r="Z76" s="836"/>
    </row>
  </sheetData>
  <mergeCells count="1">
    <mergeCell ref="C1:G1"/>
  </mergeCells>
  <conditionalFormatting sqref="C5:C10 C14:C20 C23:C29 C32:C38 C41:C47 C50:C56 J5:J12 J14:J21 J23:J30 J32:J39 J41:J48 J50:J56 M5:M11 M14:M20 M23:M29 M32:M38 M41:M47 M50:M56 T5:T12 T14:T21 T23:T29 T32:T39 T41:T48 T50:T56">
    <cfRule type="notContainsBlanks" dxfId="317" priority="7">
      <formula>LEN(TRIM(C5))&gt;0</formula>
    </cfRule>
  </conditionalFormatting>
  <conditionalFormatting sqref="Y8">
    <cfRule type="notContainsBlanks" dxfId="316" priority="6">
      <formula>LEN(TRIM(Y8))&gt;0</formula>
    </cfRule>
  </conditionalFormatting>
  <conditionalFormatting sqref="Z13:Z22">
    <cfRule type="expression" dxfId="315" priority="4">
      <formula>WEEKDAY($Z13)=7</formula>
    </cfRule>
  </conditionalFormatting>
  <conditionalFormatting sqref="Z23">
    <cfRule type="expression" dxfId="314" priority="3">
      <formula>WEEKDAY($Z23)=7</formula>
    </cfRule>
  </conditionalFormatting>
  <conditionalFormatting sqref="Z13:Z23">
    <cfRule type="expression" dxfId="313" priority="1">
      <formula>WEEKDAY($Z13)=1</formula>
    </cfRule>
    <cfRule type="containsBlanks" dxfId="312" priority="5">
      <formula>LEN(TRIM(Z13))=0</formula>
    </cfRule>
  </conditionalFormatting>
  <conditionalFormatting sqref="C5:T12 C14:T21 K13:L13 C23:T30 K22:L22 C32:T39 K31:L31 C41:T48 K40:L40 C50:T55 K49:L49">
    <cfRule type="timePeriod" dxfId="311" priority="2" timePeriod="today">
      <formula>FLOOR(C5,1)=TODAY()</formula>
    </cfRule>
  </conditionalFormatting>
  <dataValidations count="1">
    <dataValidation type="list" allowBlank="1" showInputMessage="1" showErrorMessage="1" sqref="C1:G1" xr:uid="{D5CD51B7-5746-AB49-9A6F-16C19911621B}">
      <formula1>$C$61:$C$65</formula1>
    </dataValidation>
  </dataValidations>
  <printOptions horizontalCentered="1" verticalCentered="1"/>
  <pageMargins left="0.5" right="0.5" top="0.5" bottom="0.5" header="0.3" footer="0.3"/>
  <pageSetup paperSize="9" scale="92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59</vt:i4>
      </vt:variant>
    </vt:vector>
  </HeadingPairs>
  <TitlesOfParts>
    <vt:vector size="72" baseType="lpstr">
      <vt:lpstr>Toelichting Calculatiemodel</vt:lpstr>
      <vt:lpstr>Voorblad</vt:lpstr>
      <vt:lpstr>1.0-Contractblad</vt:lpstr>
      <vt:lpstr>1.1a-Jaarprijzen</vt:lpstr>
      <vt:lpstr>1.2-Kengetal</vt:lpstr>
      <vt:lpstr>1.3-Basis ruimtestaat</vt:lpstr>
      <vt:lpstr>1.3a-Mutaties</vt:lpstr>
      <vt:lpstr>1.3b Verrekening mutaties</vt:lpstr>
      <vt:lpstr>1.3a-Jaarkalender</vt:lpstr>
      <vt:lpstr>1.5-Opbouw uurtarieven</vt:lpstr>
      <vt:lpstr>1.6-Machine-investeringskosten</vt:lpstr>
      <vt:lpstr>1.8-Afroepprijs</vt:lpstr>
      <vt:lpstr>1.9-Glasbewassing</vt:lpstr>
      <vt:lpstr>'1.0-Contractblad'!Afdrukbereik</vt:lpstr>
      <vt:lpstr>'1.1a-Jaarprijzen'!Afdrukbereik</vt:lpstr>
      <vt:lpstr>'1.2-Kengetal'!Afdrukbereik</vt:lpstr>
      <vt:lpstr>'1.3-Basis ruimtestaat'!Afdrukbereik</vt:lpstr>
      <vt:lpstr>'1.3a-Jaarkalender'!Afdrukbereik</vt:lpstr>
      <vt:lpstr>'1.3a-Mutaties'!Afdrukbereik</vt:lpstr>
      <vt:lpstr>'1.5-Opbouw uurtarieven'!Afdrukbereik</vt:lpstr>
      <vt:lpstr>'1.6-Machine-investeringskosten'!Afdrukbereik</vt:lpstr>
      <vt:lpstr>'1.8-Afroepprijs'!Afdrukbereik</vt:lpstr>
      <vt:lpstr>'1.9-Glasbewassing'!Afdrukbereik</vt:lpstr>
      <vt:lpstr>'Toelichting Calculatiemodel'!Afdrukbereik</vt:lpstr>
      <vt:lpstr>Voorblad!Afdrukbereik</vt:lpstr>
      <vt:lpstr>'1.0-Contractblad'!Afdruktitels</vt:lpstr>
      <vt:lpstr>'1.1a-Jaarprijzen'!Afdruktitels</vt:lpstr>
      <vt:lpstr>'1.2-Kengetal'!Afdruktitels</vt:lpstr>
      <vt:lpstr>'1.3-Basis ruimtestaat'!Afdruktitels</vt:lpstr>
      <vt:lpstr>'1.3a-Mutaties'!Afdruktitels</vt:lpstr>
      <vt:lpstr>'1.6-Machine-investeringskosten'!Afdruktitels</vt:lpstr>
      <vt:lpstr>'1.8-Afroepprijs'!Afdruktitels</vt:lpstr>
      <vt:lpstr>'1.9-Glasbewassing'!Afdruktitels</vt:lpstr>
      <vt:lpstr>'1.3a-Mutaties'!Allelocaties</vt:lpstr>
      <vt:lpstr>Allelocaties</vt:lpstr>
      <vt:lpstr>'1.5-Opbouw uurtarieven'!BasisTarief</vt:lpstr>
      <vt:lpstr>basistariefglas</vt:lpstr>
      <vt:lpstr>basistarieftoez</vt:lpstr>
      <vt:lpstr>basistariefuit</vt:lpstr>
      <vt:lpstr>CalendarYear</vt:lpstr>
      <vt:lpstr>'1.5-Opbouw uurtarieven'!CatMedewschoonmaak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'1.5-Opbouw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'1.5-Opbouw uurtarieven'!Tabel</vt:lpstr>
      <vt:lpstr>TariefGLAS</vt:lpstr>
      <vt:lpstr>'1.5-Opbouw uurtarieven'!tariefschoonmaak</vt:lpstr>
      <vt:lpstr>tariefSMO</vt:lpstr>
      <vt:lpstr>tariefTZ</vt:lpstr>
      <vt:lpstr>tarievenglas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  <vt:lpstr>vloerafwerking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van leijen</dc:creator>
  <cp:lastModifiedBy>Pieter van leijen</cp:lastModifiedBy>
  <cp:lastPrinted>2020-04-15T10:21:09Z</cp:lastPrinted>
  <dcterms:created xsi:type="dcterms:W3CDTF">1999-10-05T12:28:40Z</dcterms:created>
  <dcterms:modified xsi:type="dcterms:W3CDTF">2020-04-24T12:16:49Z</dcterms:modified>
</cp:coreProperties>
</file>