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tables/table1.xml" ContentType="application/vnd.openxmlformats-officedocument.spreadsheetml.table+xml"/>
  <Override PartName="/xl/drawings/drawing2.xml" ContentType="application/vnd.openxmlformats-officedocument.drawing+xml"/>
  <Override PartName="/xl/ctrlProps/ctrlProp2.xml" ContentType="application/vnd.ms-excel.controlproperties+xml"/>
  <Override PartName="/xl/tables/table2.xml" ContentType="application/vnd.openxmlformats-officedocument.spreadsheetml.table+xml"/>
  <Override PartName="/xl/drawings/drawing3.xml" ContentType="application/vnd.openxmlformats-officedocument.drawing+xml"/>
  <Override PartName="/xl/ctrlProps/ctrlProp3.xml" ContentType="application/vnd.ms-excel.controlproperties+xml"/>
  <Override PartName="/xl/tables/table3.xml" ContentType="application/vnd.openxmlformats-officedocument.spreadsheetml.table+xml"/>
  <Override PartName="/xl/drawings/drawing4.xml" ContentType="application/vnd.openxmlformats-officedocument.drawing+xml"/>
  <Override PartName="/xl/ctrlProps/ctrlProp4.xml" ContentType="application/vnd.ms-excel.controlproperties+xml"/>
  <Override PartName="/xl/tables/table4.xml" ContentType="application/vnd.openxmlformats-officedocument.spreadsheetml.table+xml"/>
  <Override PartName="/xl/drawings/drawing5.xml" ContentType="application/vnd.openxmlformats-officedocument.drawing+xml"/>
  <Override PartName="/xl/ctrlProps/ctrlProp5.xml" ContentType="application/vnd.ms-excel.controlproperties+xml"/>
  <Override PartName="/xl/tables/table5.xml" ContentType="application/vnd.openxmlformats-officedocument.spreadsheetml.table+xml"/>
  <Override PartName="/xl/drawings/drawing6.xml" ContentType="application/vnd.openxmlformats-officedocument.drawing+xml"/>
  <Override PartName="/xl/ctrlProps/ctrlProp6.xml" ContentType="application/vnd.ms-excel.controlproperties+xml"/>
  <Override PartName="/xl/tables/table6.xml" ContentType="application/vnd.openxmlformats-officedocument.spreadsheetml.table+xml"/>
  <Override PartName="/xl/drawings/drawing7.xml" ContentType="application/vnd.openxmlformats-officedocument.drawing+xml"/>
  <Override PartName="/xl/ctrlProps/ctrlProp7.xml" ContentType="application/vnd.ms-excel.controlproperties+xml"/>
  <Override PartName="/xl/tables/table7.xml" ContentType="application/vnd.openxmlformats-officedocument.spreadsheetml.table+xml"/>
  <Override PartName="/xl/drawings/drawing8.xml" ContentType="application/vnd.openxmlformats-officedocument.drawing+xml"/>
  <Override PartName="/xl/ctrlProps/ctrlProp8.xml" ContentType="application/vnd.ms-excel.controlproperties+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codeName="ThisWorkbook" defaultThemeVersion="166925"/>
  <mc:AlternateContent xmlns:mc="http://schemas.openxmlformats.org/markup-compatibility/2006">
    <mc:Choice Requires="x15">
      <x15ac:absPath xmlns:x15ac="http://schemas.microsoft.com/office/spreadsheetml/2010/11/ac" url="F:\BBP\36_Facilitaire_Zaken\02_Interne_Faciliteiten\07_Centrale_Inkoop\_W_\_G_\Aanbestedingen actueel\Slibtransport\03 Aanbestedingsdocumenten (definitief)\"/>
    </mc:Choice>
  </mc:AlternateContent>
  <xr:revisionPtr revIDLastSave="0" documentId="13_ncr:1_{A30C0EBF-F667-4171-A80B-4ED733AE2508}" xr6:coauthVersionLast="47" xr6:coauthVersionMax="47" xr10:uidLastSave="{00000000-0000-0000-0000-000000000000}"/>
  <bookViews>
    <workbookView xWindow="-120" yWindow="-120" windowWidth="23280" windowHeight="12600" tabRatio="797" firstSheet="1" activeTab="3" xr2:uid="{4BFBE45B-A570-8F40-8435-CFE5B6EB4ECB}"/>
  </bookViews>
  <sheets>
    <sheet name="Maatregelscore MW" sheetId="2" state="hidden" r:id="rId1"/>
    <sheet name="Toelichting" sheetId="11" r:id="rId2"/>
    <sheet name="Maatregelscore T" sheetId="5" state="hidden" r:id="rId3"/>
    <sheet name="Transportkosten" sheetId="26" r:id="rId4"/>
    <sheet name="Overige kosten" sheetId="27" r:id="rId5"/>
    <sheet name="Jaar 1" sheetId="20" r:id="rId6"/>
    <sheet name="Jaar 2" sheetId="21" r:id="rId7"/>
    <sheet name="Jaar 3" sheetId="22" r:id="rId8"/>
    <sheet name="Jaar 4" sheetId="23" r:id="rId9"/>
    <sheet name="Jaar 5" sheetId="24" r:id="rId10"/>
    <sheet name="Jaar 6" sheetId="25" r:id="rId11"/>
    <sheet name="Referentie uitstoot" sheetId="19" r:id="rId12"/>
    <sheet name="Verzamelblad" sheetId="17" r:id="rId13"/>
    <sheet name="Brongegevens" sheetId="3" r:id="rId14"/>
  </sheets>
  <definedNames>
    <definedName name="_xlnm.Print_Area" localSheetId="5">'Jaar 1'!$A$2:$O$26</definedName>
    <definedName name="_xlnm.Print_Area" localSheetId="6">'Jaar 2'!$A$2:$O$26</definedName>
    <definedName name="_xlnm.Print_Area" localSheetId="7">'Jaar 3'!$A$2:$O$26</definedName>
    <definedName name="_xlnm.Print_Area" localSheetId="8">'Jaar 4'!$A$2:$O$26</definedName>
    <definedName name="_xlnm.Print_Area" localSheetId="9">'Jaar 5'!$A$2:$O$26</definedName>
    <definedName name="_xlnm.Print_Area" localSheetId="10">'Jaar 6'!$A$2:$O$26</definedName>
    <definedName name="_xlnm.Print_Area" localSheetId="11">'Referentie uitstoot'!$A$2:$O$26</definedName>
    <definedName name="_xlnm.Print_Area" localSheetId="3">Transportkosten!$A$2:$J$26</definedName>
    <definedName name="bezettingsgraad" localSheetId="5">TblBezettingsgraad[bezettingsgraad]</definedName>
    <definedName name="bezettingsgraad" localSheetId="6">TblBezettingsgraad[bezettingsgraad]</definedName>
    <definedName name="bezettingsgraad" localSheetId="7">TblBezettingsgraad[bezettingsgraad]</definedName>
    <definedName name="bezettingsgraad" localSheetId="8">TblBezettingsgraad[bezettingsgraad]</definedName>
    <definedName name="bezettingsgraad" localSheetId="9">TblBezettingsgraad[bezettingsgraad]</definedName>
    <definedName name="bezettingsgraad" localSheetId="10">TblBezettingsgraad[bezettingsgraad]</definedName>
    <definedName name="bezettingsgraad" localSheetId="11">TblBezettingsgraad[bezettingsgraad]</definedName>
    <definedName name="bezettingsgraad" localSheetId="3">TblBezettingsgraad[bezettingsgraad]</definedName>
    <definedName name="bezettingsgraad">TblBezettingsgraad[bezettingsgraad]</definedName>
    <definedName name="brandstof" localSheetId="5">TblBrandstof[Brandstof]</definedName>
    <definedName name="brandstof" localSheetId="6">TblBrandstof[Brandstof]</definedName>
    <definedName name="brandstof" localSheetId="7">TblBrandstof[Brandstof]</definedName>
    <definedName name="brandstof" localSheetId="8">TblBrandstof[Brandstof]</definedName>
    <definedName name="brandstof" localSheetId="9">TblBrandstof[Brandstof]</definedName>
    <definedName name="brandstof" localSheetId="10">TblBrandstof[Brandstof]</definedName>
    <definedName name="brandstof" localSheetId="11">TblBrandstof[Brandstof]</definedName>
    <definedName name="brandstof" localSheetId="3">TblBrandstof[Brandstof]</definedName>
    <definedName name="brandstof">TblBrandstof[Brandstof]</definedName>
    <definedName name="dichtheid_diesel">Brongegevens!$J$4</definedName>
    <definedName name="Diesel__B7" localSheetId="5">TblMotortypeKeuze[Diesel]</definedName>
    <definedName name="Diesel__B7" localSheetId="6">TblMotortypeKeuze[Diesel]</definedName>
    <definedName name="Diesel__B7" localSheetId="7">TblMotortypeKeuze[Diesel]</definedName>
    <definedName name="Diesel__B7" localSheetId="8">TblMotortypeKeuze[Diesel]</definedName>
    <definedName name="Diesel__B7" localSheetId="9">TblMotortypeKeuze[Diesel]</definedName>
    <definedName name="Diesel__B7" localSheetId="10">TblMotortypeKeuze[Diesel]</definedName>
    <definedName name="Diesel__B7" localSheetId="11">TblMotortypeKeuze[Diesel]</definedName>
    <definedName name="Diesel__B7" localSheetId="3">TblMotortypeKeuze[Diesel]</definedName>
    <definedName name="Diesel__B7">TblMotortypeKeuze[Diesel]</definedName>
    <definedName name="Diesel__fo" localSheetId="5">TblMotortypeKeuze[Diesel]</definedName>
    <definedName name="Diesel__fo" localSheetId="6">TblMotortypeKeuze[Diesel]</definedName>
    <definedName name="Diesel__fo" localSheetId="7">TblMotortypeKeuze[Diesel]</definedName>
    <definedName name="Diesel__fo" localSheetId="8">TblMotortypeKeuze[Diesel]</definedName>
    <definedName name="Diesel__fo" localSheetId="9">TblMotortypeKeuze[Diesel]</definedName>
    <definedName name="Diesel__fo" localSheetId="10">TblMotortypeKeuze[Diesel]</definedName>
    <definedName name="Diesel__fo" localSheetId="11">TblMotortypeKeuze[Diesel]</definedName>
    <definedName name="Diesel__fo" localSheetId="3">TblMotortypeKeuze[Diesel]</definedName>
    <definedName name="Diesel__fo">TblMotortypeKeuze[Diesel]</definedName>
    <definedName name="elekt" localSheetId="5">TblMotortypeKeuze[Elektrisch]</definedName>
    <definedName name="elekt" localSheetId="6">TblMotortypeKeuze[Elektrisch]</definedName>
    <definedName name="elekt" localSheetId="7">TblMotortypeKeuze[Elektrisch]</definedName>
    <definedName name="elekt" localSheetId="8">TblMotortypeKeuze[Elektrisch]</definedName>
    <definedName name="elekt" localSheetId="9">TblMotortypeKeuze[Elektrisch]</definedName>
    <definedName name="elekt" localSheetId="10">TblMotortypeKeuze[Elektrisch]</definedName>
    <definedName name="elekt" localSheetId="11">TblMotortypeKeuze[Elektrisch]</definedName>
    <definedName name="elekt" localSheetId="3">TblMotortypeKeuze[Elektrisch]</definedName>
    <definedName name="elekt">TblMotortypeKeuze[Elektrisch]</definedName>
    <definedName name="emissiefactor_diesel">Brongegevens!$G$4</definedName>
    <definedName name="Euro">Brongegevens!$E$4:$E$17</definedName>
    <definedName name="motortypes" localSheetId="5">TblMotortype[Motortype]</definedName>
    <definedName name="motortypes" localSheetId="6">TblMotortype[Motortype]</definedName>
    <definedName name="motortypes" localSheetId="7">TblMotortype[Motortype]</definedName>
    <definedName name="motortypes" localSheetId="8">TblMotortype[Motortype]</definedName>
    <definedName name="motortypes" localSheetId="9">TblMotortype[Motortype]</definedName>
    <definedName name="motortypes" localSheetId="10">TblMotortype[Motortype]</definedName>
    <definedName name="motortypes" localSheetId="11">TblMotortype[Motortype]</definedName>
    <definedName name="motortypes" localSheetId="3">TblMotortype[Motortype]</definedName>
    <definedName name="motortypes">TblMotortype[Motortype]</definedName>
    <definedName name="motortypest" localSheetId="5">TblMotortypeT[Motortype]</definedName>
    <definedName name="motortypest" localSheetId="6">TblMotortypeT[Motortype]</definedName>
    <definedName name="motortypest" localSheetId="7">TblMotortypeT[Motortype]</definedName>
    <definedName name="motortypest" localSheetId="8">TblMotortypeT[Motortype]</definedName>
    <definedName name="motortypest" localSheetId="9">TblMotortypeT[Motortype]</definedName>
    <definedName name="motortypest" localSheetId="10">TblMotortypeT[Motortype]</definedName>
    <definedName name="motortypest" localSheetId="11">TblMotortypeT[Motortype]</definedName>
    <definedName name="motortypest" localSheetId="3">TblMotortypeT[Motortype]</definedName>
    <definedName name="motortypest">TblMotortypeT[Motortype]</definedName>
    <definedName name="overi" localSheetId="5">TblMotortypeKeuze[Overig]</definedName>
    <definedName name="overi" localSheetId="6">TblMotortypeKeuze[Overig]</definedName>
    <definedName name="overi" localSheetId="7">TblMotortypeKeuze[Overig]</definedName>
    <definedName name="overi" localSheetId="8">TblMotortypeKeuze[Overig]</definedName>
    <definedName name="overi" localSheetId="9">TblMotortypeKeuze[Overig]</definedName>
    <definedName name="overi" localSheetId="10">TblMotortypeKeuze[Overig]</definedName>
    <definedName name="overi" localSheetId="11">TblMotortypeKeuze[Overig]</definedName>
    <definedName name="overi" localSheetId="3">TblMotortypeKeuze[Overig]</definedName>
    <definedName name="overi">TblMotortypeKeuze[Overig]</definedName>
    <definedName name="stage" localSheetId="5">TblMotortypeKeuze[Stage]</definedName>
    <definedName name="stage" localSheetId="6">TblMotortypeKeuze[Stage]</definedName>
    <definedName name="stage" localSheetId="7">TblMotortypeKeuze[Stage]</definedName>
    <definedName name="stage" localSheetId="8">TblMotortypeKeuze[Stage]</definedName>
    <definedName name="stage" localSheetId="9">TblMotortypeKeuze[Stage]</definedName>
    <definedName name="stage" localSheetId="10">TblMotortypeKeuze[Stage]</definedName>
    <definedName name="stage" localSheetId="11">TblMotortypeKeuze[Stage]</definedName>
    <definedName name="stage" localSheetId="3">TblMotortypeKeuze[Stage]</definedName>
    <definedName name="stage">TblMotortypeKeuze[Stage]</definedName>
    <definedName name="stookwaarde_diesel">Brongegevens!$H$4</definedName>
    <definedName name="stroom_gro" localSheetId="5">TblMotortypeKeuze[Groene stroom]</definedName>
    <definedName name="stroom_gro" localSheetId="6">TblMotortypeKeuze[Groene stroom]</definedName>
    <definedName name="stroom_gro" localSheetId="7">TblMotortypeKeuze[Groene stroom]</definedName>
    <definedName name="stroom_gro" localSheetId="8">TblMotortypeKeuze[Groene stroom]</definedName>
    <definedName name="stroom_gro" localSheetId="9">TblMotortypeKeuze[Groene stroom]</definedName>
    <definedName name="stroom_gro" localSheetId="10">TblMotortypeKeuze[Groene stroom]</definedName>
    <definedName name="stroom_gro" localSheetId="11">TblMotortypeKeuze[Groene stroom]</definedName>
    <definedName name="stroom_gro" localSheetId="3">TblMotortypeKeuze[Groene stroom]</definedName>
    <definedName name="stroom_gro">TblMotortypeKeuze[Groene stroom]</definedName>
    <definedName name="types" localSheetId="5">TblType[Type]</definedName>
    <definedName name="types" localSheetId="6">TblType[Type]</definedName>
    <definedName name="types" localSheetId="7">TblType[Type]</definedName>
    <definedName name="types" localSheetId="8">TblType[Type]</definedName>
    <definedName name="types" localSheetId="9">TblType[Type]</definedName>
    <definedName name="types" localSheetId="10">TblType[Type]</definedName>
    <definedName name="types" localSheetId="11">TblType[Type]</definedName>
    <definedName name="types" localSheetId="3">TblType[Type]</definedName>
    <definedName name="types">TblType[Type]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9" i="19" l="1"/>
  <c r="E12" i="23"/>
  <c r="F4" i="27"/>
  <c r="F6" i="27"/>
  <c r="F5" i="27"/>
  <c r="J6" i="26"/>
  <c r="E11" i="25"/>
  <c r="J7" i="26"/>
  <c r="J8" i="26"/>
  <c r="J9" i="26"/>
  <c r="J10" i="26"/>
  <c r="J11" i="26"/>
  <c r="J12" i="26"/>
  <c r="J13" i="26"/>
  <c r="J14" i="26"/>
  <c r="J15" i="26"/>
  <c r="J16" i="26"/>
  <c r="J17" i="26"/>
  <c r="J18" i="26"/>
  <c r="J19" i="26"/>
  <c r="J20" i="26"/>
  <c r="J21" i="26"/>
  <c r="J22" i="26"/>
  <c r="J23" i="26"/>
  <c r="J24" i="26"/>
  <c r="J25" i="26"/>
  <c r="B26" i="26"/>
  <c r="F7" i="27" l="1"/>
  <c r="B3" i="17" s="1"/>
  <c r="J26" i="26"/>
  <c r="B2" i="17" s="1"/>
  <c r="B26" i="25"/>
  <c r="P25" i="25"/>
  <c r="L25" i="25"/>
  <c r="M25" i="25" s="1"/>
  <c r="N25" i="25" s="1"/>
  <c r="O25" i="25" s="1"/>
  <c r="E25" i="25"/>
  <c r="P24" i="25"/>
  <c r="L24" i="25"/>
  <c r="M24" i="25" s="1"/>
  <c r="N24" i="25" s="1"/>
  <c r="O24" i="25" s="1"/>
  <c r="E24" i="25"/>
  <c r="P23" i="25"/>
  <c r="L23" i="25"/>
  <c r="M23" i="25" s="1"/>
  <c r="N23" i="25" s="1"/>
  <c r="O23" i="25" s="1"/>
  <c r="E23" i="25"/>
  <c r="P22" i="25"/>
  <c r="L22" i="25"/>
  <c r="M22" i="25" s="1"/>
  <c r="N22" i="25" s="1"/>
  <c r="O22" i="25" s="1"/>
  <c r="E22" i="25"/>
  <c r="P21" i="25"/>
  <c r="L21" i="25"/>
  <c r="M21" i="25" s="1"/>
  <c r="N21" i="25" s="1"/>
  <c r="O21" i="25" s="1"/>
  <c r="E21" i="25"/>
  <c r="P20" i="25"/>
  <c r="L20" i="25"/>
  <c r="M20" i="25" s="1"/>
  <c r="N20" i="25" s="1"/>
  <c r="O20" i="25" s="1"/>
  <c r="E20" i="25"/>
  <c r="P19" i="25"/>
  <c r="L19" i="25"/>
  <c r="M19" i="25" s="1"/>
  <c r="N19" i="25" s="1"/>
  <c r="O19" i="25" s="1"/>
  <c r="E19" i="25"/>
  <c r="P18" i="25"/>
  <c r="L18" i="25"/>
  <c r="M18" i="25" s="1"/>
  <c r="N18" i="25" s="1"/>
  <c r="O18" i="25" s="1"/>
  <c r="E18" i="25"/>
  <c r="P17" i="25"/>
  <c r="L17" i="25"/>
  <c r="M17" i="25" s="1"/>
  <c r="N17" i="25" s="1"/>
  <c r="O17" i="25" s="1"/>
  <c r="E17" i="25"/>
  <c r="P16" i="25"/>
  <c r="L16" i="25"/>
  <c r="M16" i="25" s="1"/>
  <c r="N16" i="25" s="1"/>
  <c r="O16" i="25" s="1"/>
  <c r="E16" i="25"/>
  <c r="P15" i="25"/>
  <c r="L15" i="25"/>
  <c r="M15" i="25" s="1"/>
  <c r="N15" i="25" s="1"/>
  <c r="O15" i="25" s="1"/>
  <c r="E15" i="25"/>
  <c r="P14" i="25"/>
  <c r="L14" i="25"/>
  <c r="M14" i="25" s="1"/>
  <c r="N14" i="25" s="1"/>
  <c r="O14" i="25" s="1"/>
  <c r="E14" i="25"/>
  <c r="P13" i="25"/>
  <c r="L13" i="25"/>
  <c r="M13" i="25" s="1"/>
  <c r="N13" i="25" s="1"/>
  <c r="O13" i="25" s="1"/>
  <c r="E13" i="25"/>
  <c r="P12" i="25"/>
  <c r="L12" i="25"/>
  <c r="M12" i="25" s="1"/>
  <c r="N12" i="25" s="1"/>
  <c r="O12" i="25" s="1"/>
  <c r="E12" i="25"/>
  <c r="P11" i="25"/>
  <c r="L11" i="25"/>
  <c r="M11" i="25" s="1"/>
  <c r="N11" i="25" s="1"/>
  <c r="O11" i="25" s="1"/>
  <c r="P10" i="25"/>
  <c r="L10" i="25"/>
  <c r="M10" i="25" s="1"/>
  <c r="N10" i="25" s="1"/>
  <c r="O10" i="25" s="1"/>
  <c r="E10" i="25"/>
  <c r="P9" i="25"/>
  <c r="L9" i="25"/>
  <c r="M9" i="25" s="1"/>
  <c r="N9" i="25" s="1"/>
  <c r="O9" i="25" s="1"/>
  <c r="E9" i="25"/>
  <c r="P8" i="25"/>
  <c r="L8" i="25"/>
  <c r="M8" i="25" s="1"/>
  <c r="N8" i="25" s="1"/>
  <c r="O8" i="25" s="1"/>
  <c r="E8" i="25"/>
  <c r="P7" i="25"/>
  <c r="L7" i="25"/>
  <c r="M7" i="25" s="1"/>
  <c r="N7" i="25" s="1"/>
  <c r="O7" i="25" s="1"/>
  <c r="E7" i="25"/>
  <c r="P6" i="25"/>
  <c r="L6" i="25"/>
  <c r="M6" i="25" s="1"/>
  <c r="E6" i="25"/>
  <c r="B26" i="24"/>
  <c r="E25" i="24"/>
  <c r="P25" i="24" s="1"/>
  <c r="E24" i="24"/>
  <c r="P24" i="24" s="1"/>
  <c r="E23" i="24"/>
  <c r="P23" i="24" s="1"/>
  <c r="E22" i="24"/>
  <c r="P22" i="24" s="1"/>
  <c r="E21" i="24"/>
  <c r="P21" i="24" s="1"/>
  <c r="E20" i="24"/>
  <c r="P20" i="24" s="1"/>
  <c r="E19" i="24"/>
  <c r="P19" i="24" s="1"/>
  <c r="E18" i="24"/>
  <c r="P18" i="24" s="1"/>
  <c r="E17" i="24"/>
  <c r="P17" i="24" s="1"/>
  <c r="E16" i="24"/>
  <c r="P16" i="24" s="1"/>
  <c r="E15" i="24"/>
  <c r="P15" i="24" s="1"/>
  <c r="E14" i="24"/>
  <c r="P14" i="24" s="1"/>
  <c r="E13" i="24"/>
  <c r="P13" i="24" s="1"/>
  <c r="E12" i="24"/>
  <c r="P12" i="24" s="1"/>
  <c r="E11" i="24"/>
  <c r="P11" i="24" s="1"/>
  <c r="E10" i="24"/>
  <c r="P10" i="24" s="1"/>
  <c r="E9" i="24"/>
  <c r="P9" i="24" s="1"/>
  <c r="P8" i="24"/>
  <c r="E8" i="24"/>
  <c r="L8" i="24" s="1"/>
  <c r="M8" i="24" s="1"/>
  <c r="N8" i="24" s="1"/>
  <c r="O8" i="24" s="1"/>
  <c r="P7" i="24"/>
  <c r="E7" i="24"/>
  <c r="L7" i="24" s="1"/>
  <c r="M7" i="24" s="1"/>
  <c r="N7" i="24" s="1"/>
  <c r="O7" i="24" s="1"/>
  <c r="P6" i="24"/>
  <c r="E6" i="24"/>
  <c r="L6" i="24" s="1"/>
  <c r="M6" i="24" s="1"/>
  <c r="B26" i="23"/>
  <c r="E25" i="23"/>
  <c r="P25" i="23" s="1"/>
  <c r="P24" i="23"/>
  <c r="E24" i="23"/>
  <c r="L24" i="23" s="1"/>
  <c r="M24" i="23" s="1"/>
  <c r="N24" i="23" s="1"/>
  <c r="O24" i="23" s="1"/>
  <c r="P23" i="23"/>
  <c r="E23" i="23"/>
  <c r="L23" i="23" s="1"/>
  <c r="M23" i="23" s="1"/>
  <c r="N23" i="23" s="1"/>
  <c r="O23" i="23" s="1"/>
  <c r="P22" i="23"/>
  <c r="E22" i="23"/>
  <c r="L22" i="23" s="1"/>
  <c r="M22" i="23" s="1"/>
  <c r="N22" i="23" s="1"/>
  <c r="O22" i="23" s="1"/>
  <c r="P21" i="23"/>
  <c r="E21" i="23"/>
  <c r="L21" i="23" s="1"/>
  <c r="M21" i="23" s="1"/>
  <c r="N21" i="23" s="1"/>
  <c r="O21" i="23" s="1"/>
  <c r="P20" i="23"/>
  <c r="E20" i="23"/>
  <c r="L20" i="23" s="1"/>
  <c r="M20" i="23" s="1"/>
  <c r="N20" i="23" s="1"/>
  <c r="O20" i="23" s="1"/>
  <c r="P19" i="23"/>
  <c r="E19" i="23"/>
  <c r="L19" i="23" s="1"/>
  <c r="M19" i="23" s="1"/>
  <c r="N19" i="23" s="1"/>
  <c r="O19" i="23" s="1"/>
  <c r="P18" i="23"/>
  <c r="E18" i="23"/>
  <c r="L18" i="23" s="1"/>
  <c r="M18" i="23" s="1"/>
  <c r="N18" i="23" s="1"/>
  <c r="O18" i="23" s="1"/>
  <c r="P17" i="23"/>
  <c r="E17" i="23"/>
  <c r="L17" i="23" s="1"/>
  <c r="M17" i="23" s="1"/>
  <c r="N17" i="23" s="1"/>
  <c r="O17" i="23" s="1"/>
  <c r="P16" i="23"/>
  <c r="E16" i="23"/>
  <c r="L16" i="23" s="1"/>
  <c r="M16" i="23" s="1"/>
  <c r="N16" i="23" s="1"/>
  <c r="O16" i="23" s="1"/>
  <c r="P15" i="23"/>
  <c r="E15" i="23"/>
  <c r="L15" i="23" s="1"/>
  <c r="M15" i="23" s="1"/>
  <c r="N15" i="23" s="1"/>
  <c r="O15" i="23" s="1"/>
  <c r="P14" i="23"/>
  <c r="E14" i="23"/>
  <c r="L14" i="23" s="1"/>
  <c r="M14" i="23" s="1"/>
  <c r="N14" i="23" s="1"/>
  <c r="O14" i="23" s="1"/>
  <c r="P13" i="23"/>
  <c r="E13" i="23"/>
  <c r="L13" i="23" s="1"/>
  <c r="M13" i="23" s="1"/>
  <c r="N13" i="23" s="1"/>
  <c r="O13" i="23" s="1"/>
  <c r="P12" i="23"/>
  <c r="L12" i="23"/>
  <c r="M12" i="23" s="1"/>
  <c r="N12" i="23" s="1"/>
  <c r="O12" i="23" s="1"/>
  <c r="P11" i="23"/>
  <c r="E11" i="23"/>
  <c r="L11" i="23" s="1"/>
  <c r="M11" i="23" s="1"/>
  <c r="N11" i="23" s="1"/>
  <c r="O11" i="23" s="1"/>
  <c r="P10" i="23"/>
  <c r="E10" i="23"/>
  <c r="L10" i="23" s="1"/>
  <c r="M10" i="23" s="1"/>
  <c r="N10" i="23" s="1"/>
  <c r="O10" i="23" s="1"/>
  <c r="P9" i="23"/>
  <c r="E9" i="23"/>
  <c r="L9" i="23" s="1"/>
  <c r="M9" i="23" s="1"/>
  <c r="N9" i="23" s="1"/>
  <c r="O9" i="23" s="1"/>
  <c r="P8" i="23"/>
  <c r="E8" i="23"/>
  <c r="L8" i="23" s="1"/>
  <c r="M8" i="23" s="1"/>
  <c r="N8" i="23" s="1"/>
  <c r="O8" i="23" s="1"/>
  <c r="P7" i="23"/>
  <c r="E7" i="23"/>
  <c r="L7" i="23" s="1"/>
  <c r="M7" i="23" s="1"/>
  <c r="N7" i="23" s="1"/>
  <c r="O7" i="23" s="1"/>
  <c r="P6" i="23"/>
  <c r="E6" i="23"/>
  <c r="L6" i="23" s="1"/>
  <c r="M6" i="23" s="1"/>
  <c r="B26" i="22"/>
  <c r="E25" i="22"/>
  <c r="P25" i="22" s="1"/>
  <c r="E24" i="22"/>
  <c r="P24" i="22" s="1"/>
  <c r="E23" i="22"/>
  <c r="P23" i="22" s="1"/>
  <c r="E22" i="22"/>
  <c r="P22" i="22" s="1"/>
  <c r="E21" i="22"/>
  <c r="P21" i="22" s="1"/>
  <c r="E20" i="22"/>
  <c r="P20" i="22" s="1"/>
  <c r="E19" i="22"/>
  <c r="P19" i="22" s="1"/>
  <c r="E18" i="22"/>
  <c r="P18" i="22" s="1"/>
  <c r="E17" i="22"/>
  <c r="P17" i="22" s="1"/>
  <c r="E16" i="22"/>
  <c r="P16" i="22" s="1"/>
  <c r="E15" i="22"/>
  <c r="P15" i="22" s="1"/>
  <c r="E14" i="22"/>
  <c r="P14" i="22" s="1"/>
  <c r="E13" i="22"/>
  <c r="P13" i="22" s="1"/>
  <c r="E12" i="22"/>
  <c r="P12" i="22" s="1"/>
  <c r="E11" i="22"/>
  <c r="P11" i="22" s="1"/>
  <c r="E10" i="22"/>
  <c r="P10" i="22" s="1"/>
  <c r="E9" i="22"/>
  <c r="P9" i="22" s="1"/>
  <c r="E8" i="22"/>
  <c r="P8" i="22" s="1"/>
  <c r="E7" i="22"/>
  <c r="P7" i="22" s="1"/>
  <c r="E6" i="22"/>
  <c r="P6" i="22" s="1"/>
  <c r="B26" i="21"/>
  <c r="E25" i="21"/>
  <c r="P25" i="21" s="1"/>
  <c r="E24" i="21"/>
  <c r="P24" i="21" s="1"/>
  <c r="E23" i="21"/>
  <c r="P23" i="21" s="1"/>
  <c r="E22" i="21"/>
  <c r="P22" i="21" s="1"/>
  <c r="E21" i="21"/>
  <c r="P21" i="21" s="1"/>
  <c r="E20" i="21"/>
  <c r="P20" i="21" s="1"/>
  <c r="E19" i="21"/>
  <c r="P19" i="21" s="1"/>
  <c r="E18" i="21"/>
  <c r="P18" i="21" s="1"/>
  <c r="E17" i="21"/>
  <c r="P17" i="21" s="1"/>
  <c r="E16" i="21"/>
  <c r="P16" i="21" s="1"/>
  <c r="E15" i="21"/>
  <c r="P15" i="21" s="1"/>
  <c r="E14" i="21"/>
  <c r="P14" i="21" s="1"/>
  <c r="E13" i="21"/>
  <c r="P13" i="21" s="1"/>
  <c r="P12" i="21"/>
  <c r="E12" i="21"/>
  <c r="L12" i="21" s="1"/>
  <c r="M12" i="21" s="1"/>
  <c r="N12" i="21" s="1"/>
  <c r="O12" i="21" s="1"/>
  <c r="P11" i="21"/>
  <c r="E11" i="21"/>
  <c r="L11" i="21" s="1"/>
  <c r="M11" i="21" s="1"/>
  <c r="N11" i="21" s="1"/>
  <c r="O11" i="21" s="1"/>
  <c r="P10" i="21"/>
  <c r="E10" i="21"/>
  <c r="L10" i="21" s="1"/>
  <c r="M10" i="21" s="1"/>
  <c r="N10" i="21" s="1"/>
  <c r="O10" i="21" s="1"/>
  <c r="P9" i="21"/>
  <c r="E9" i="21"/>
  <c r="L9" i="21" s="1"/>
  <c r="M9" i="21" s="1"/>
  <c r="N9" i="21" s="1"/>
  <c r="O9" i="21" s="1"/>
  <c r="P8" i="21"/>
  <c r="E8" i="21"/>
  <c r="L8" i="21" s="1"/>
  <c r="M8" i="21" s="1"/>
  <c r="N8" i="21" s="1"/>
  <c r="O8" i="21" s="1"/>
  <c r="P7" i="21"/>
  <c r="E7" i="21"/>
  <c r="L7" i="21" s="1"/>
  <c r="M7" i="21" s="1"/>
  <c r="N7" i="21" s="1"/>
  <c r="O7" i="21" s="1"/>
  <c r="P6" i="21"/>
  <c r="E6" i="21"/>
  <c r="L6" i="21" s="1"/>
  <c r="M6" i="21" s="1"/>
  <c r="B26" i="20"/>
  <c r="E25" i="20"/>
  <c r="P25" i="20" s="1"/>
  <c r="E24" i="20"/>
  <c r="P24" i="20" s="1"/>
  <c r="E23" i="20"/>
  <c r="P23" i="20" s="1"/>
  <c r="E22" i="20"/>
  <c r="P22" i="20" s="1"/>
  <c r="E21" i="20"/>
  <c r="P21" i="20" s="1"/>
  <c r="E20" i="20"/>
  <c r="P20" i="20" s="1"/>
  <c r="E19" i="20"/>
  <c r="P19" i="20" s="1"/>
  <c r="E18" i="20"/>
  <c r="P18" i="20" s="1"/>
  <c r="E17" i="20"/>
  <c r="P17" i="20" s="1"/>
  <c r="E16" i="20"/>
  <c r="P16" i="20" s="1"/>
  <c r="E15" i="20"/>
  <c r="P15" i="20" s="1"/>
  <c r="E14" i="20"/>
  <c r="P14" i="20" s="1"/>
  <c r="E13" i="20"/>
  <c r="P13" i="20" s="1"/>
  <c r="E12" i="20"/>
  <c r="P12" i="20" s="1"/>
  <c r="E11" i="20"/>
  <c r="P11" i="20" s="1"/>
  <c r="E10" i="20"/>
  <c r="P10" i="20" s="1"/>
  <c r="P9" i="20"/>
  <c r="E9" i="20"/>
  <c r="L9" i="20" s="1"/>
  <c r="M9" i="20" s="1"/>
  <c r="N9" i="20" s="1"/>
  <c r="O9" i="20" s="1"/>
  <c r="E8" i="20"/>
  <c r="L8" i="20" s="1"/>
  <c r="M8" i="20" s="1"/>
  <c r="N8" i="20" s="1"/>
  <c r="O8" i="20" s="1"/>
  <c r="P7" i="20"/>
  <c r="E7" i="20"/>
  <c r="L7" i="20" s="1"/>
  <c r="M7" i="20" s="1"/>
  <c r="N7" i="20" s="1"/>
  <c r="O7" i="20" s="1"/>
  <c r="P6" i="20"/>
  <c r="E6" i="20"/>
  <c r="L6" i="20" s="1"/>
  <c r="M6" i="20" s="1"/>
  <c r="E7" i="19"/>
  <c r="E8" i="19"/>
  <c r="E9" i="19"/>
  <c r="E10" i="19"/>
  <c r="E11" i="19"/>
  <c r="E12" i="19"/>
  <c r="E13" i="19"/>
  <c r="E14" i="19"/>
  <c r="E15" i="19"/>
  <c r="E16" i="19"/>
  <c r="E17" i="19"/>
  <c r="E18" i="19"/>
  <c r="E20" i="19"/>
  <c r="E21" i="19"/>
  <c r="E22" i="19"/>
  <c r="E23" i="19"/>
  <c r="E24" i="19"/>
  <c r="E25" i="19"/>
  <c r="E6" i="19"/>
  <c r="B26" i="19"/>
  <c r="B4" i="17" l="1"/>
  <c r="N6" i="25"/>
  <c r="M26" i="25"/>
  <c r="N6" i="24"/>
  <c r="L9" i="24"/>
  <c r="M9" i="24" s="1"/>
  <c r="N9" i="24" s="1"/>
  <c r="O9" i="24" s="1"/>
  <c r="L10" i="24"/>
  <c r="M10" i="24" s="1"/>
  <c r="N10" i="24" s="1"/>
  <c r="O10" i="24" s="1"/>
  <c r="L11" i="24"/>
  <c r="M11" i="24" s="1"/>
  <c r="N11" i="24" s="1"/>
  <c r="O11" i="24" s="1"/>
  <c r="L12" i="24"/>
  <c r="M12" i="24" s="1"/>
  <c r="N12" i="24" s="1"/>
  <c r="O12" i="24" s="1"/>
  <c r="L13" i="24"/>
  <c r="M13" i="24" s="1"/>
  <c r="N13" i="24" s="1"/>
  <c r="O13" i="24" s="1"/>
  <c r="L14" i="24"/>
  <c r="M14" i="24" s="1"/>
  <c r="N14" i="24" s="1"/>
  <c r="O14" i="24" s="1"/>
  <c r="L15" i="24"/>
  <c r="M15" i="24" s="1"/>
  <c r="N15" i="24" s="1"/>
  <c r="O15" i="24" s="1"/>
  <c r="L16" i="24"/>
  <c r="M16" i="24" s="1"/>
  <c r="N16" i="24" s="1"/>
  <c r="O16" i="24" s="1"/>
  <c r="L17" i="24"/>
  <c r="M17" i="24" s="1"/>
  <c r="N17" i="24" s="1"/>
  <c r="O17" i="24" s="1"/>
  <c r="L18" i="24"/>
  <c r="M18" i="24" s="1"/>
  <c r="N18" i="24" s="1"/>
  <c r="O18" i="24" s="1"/>
  <c r="L19" i="24"/>
  <c r="M19" i="24" s="1"/>
  <c r="N19" i="24" s="1"/>
  <c r="O19" i="24" s="1"/>
  <c r="L20" i="24"/>
  <c r="M20" i="24" s="1"/>
  <c r="N20" i="24" s="1"/>
  <c r="O20" i="24" s="1"/>
  <c r="L21" i="24"/>
  <c r="M21" i="24" s="1"/>
  <c r="N21" i="24" s="1"/>
  <c r="O21" i="24" s="1"/>
  <c r="L22" i="24"/>
  <c r="M22" i="24" s="1"/>
  <c r="N22" i="24" s="1"/>
  <c r="O22" i="24" s="1"/>
  <c r="L23" i="24"/>
  <c r="M23" i="24" s="1"/>
  <c r="N23" i="24" s="1"/>
  <c r="O23" i="24" s="1"/>
  <c r="L24" i="24"/>
  <c r="M24" i="24" s="1"/>
  <c r="N24" i="24" s="1"/>
  <c r="O24" i="24" s="1"/>
  <c r="L25" i="24"/>
  <c r="M25" i="24" s="1"/>
  <c r="N25" i="24" s="1"/>
  <c r="O25" i="24" s="1"/>
  <c r="N6" i="23"/>
  <c r="L25" i="23"/>
  <c r="M25" i="23" s="1"/>
  <c r="N25" i="23" s="1"/>
  <c r="O25" i="23" s="1"/>
  <c r="L6" i="22"/>
  <c r="M6" i="22" s="1"/>
  <c r="L7" i="22"/>
  <c r="M7" i="22" s="1"/>
  <c r="N7" i="22" s="1"/>
  <c r="O7" i="22" s="1"/>
  <c r="L8" i="22"/>
  <c r="M8" i="22" s="1"/>
  <c r="N8" i="22" s="1"/>
  <c r="O8" i="22" s="1"/>
  <c r="L9" i="22"/>
  <c r="M9" i="22" s="1"/>
  <c r="N9" i="22" s="1"/>
  <c r="O9" i="22" s="1"/>
  <c r="L10" i="22"/>
  <c r="M10" i="22" s="1"/>
  <c r="N10" i="22" s="1"/>
  <c r="O10" i="22" s="1"/>
  <c r="L11" i="22"/>
  <c r="M11" i="22" s="1"/>
  <c r="N11" i="22" s="1"/>
  <c r="O11" i="22" s="1"/>
  <c r="L12" i="22"/>
  <c r="M12" i="22" s="1"/>
  <c r="N12" i="22" s="1"/>
  <c r="O12" i="22" s="1"/>
  <c r="L13" i="22"/>
  <c r="M13" i="22" s="1"/>
  <c r="N13" i="22" s="1"/>
  <c r="O13" i="22" s="1"/>
  <c r="L14" i="22"/>
  <c r="M14" i="22" s="1"/>
  <c r="N14" i="22" s="1"/>
  <c r="O14" i="22" s="1"/>
  <c r="L15" i="22"/>
  <c r="M15" i="22" s="1"/>
  <c r="N15" i="22" s="1"/>
  <c r="O15" i="22" s="1"/>
  <c r="L16" i="22"/>
  <c r="M16" i="22" s="1"/>
  <c r="N16" i="22" s="1"/>
  <c r="O16" i="22" s="1"/>
  <c r="L17" i="22"/>
  <c r="M17" i="22" s="1"/>
  <c r="N17" i="22" s="1"/>
  <c r="O17" i="22" s="1"/>
  <c r="L18" i="22"/>
  <c r="M18" i="22" s="1"/>
  <c r="N18" i="22" s="1"/>
  <c r="O18" i="22" s="1"/>
  <c r="L19" i="22"/>
  <c r="M19" i="22" s="1"/>
  <c r="N19" i="22" s="1"/>
  <c r="O19" i="22" s="1"/>
  <c r="L20" i="22"/>
  <c r="M20" i="22" s="1"/>
  <c r="N20" i="22" s="1"/>
  <c r="O20" i="22" s="1"/>
  <c r="L21" i="22"/>
  <c r="M21" i="22" s="1"/>
  <c r="N21" i="22" s="1"/>
  <c r="O21" i="22" s="1"/>
  <c r="L22" i="22"/>
  <c r="M22" i="22" s="1"/>
  <c r="N22" i="22" s="1"/>
  <c r="O22" i="22" s="1"/>
  <c r="L23" i="22"/>
  <c r="M23" i="22" s="1"/>
  <c r="N23" i="22" s="1"/>
  <c r="O23" i="22" s="1"/>
  <c r="L24" i="22"/>
  <c r="M24" i="22" s="1"/>
  <c r="N24" i="22" s="1"/>
  <c r="O24" i="22" s="1"/>
  <c r="L25" i="22"/>
  <c r="M25" i="22" s="1"/>
  <c r="N25" i="22" s="1"/>
  <c r="O25" i="22" s="1"/>
  <c r="N6" i="21"/>
  <c r="L13" i="21"/>
  <c r="M13" i="21" s="1"/>
  <c r="N13" i="21" s="1"/>
  <c r="O13" i="21" s="1"/>
  <c r="L14" i="21"/>
  <c r="M14" i="21" s="1"/>
  <c r="N14" i="21" s="1"/>
  <c r="O14" i="21" s="1"/>
  <c r="L15" i="21"/>
  <c r="M15" i="21" s="1"/>
  <c r="N15" i="21" s="1"/>
  <c r="O15" i="21" s="1"/>
  <c r="L16" i="21"/>
  <c r="M16" i="21" s="1"/>
  <c r="N16" i="21" s="1"/>
  <c r="O16" i="21" s="1"/>
  <c r="L17" i="21"/>
  <c r="M17" i="21" s="1"/>
  <c r="N17" i="21" s="1"/>
  <c r="O17" i="21" s="1"/>
  <c r="L18" i="21"/>
  <c r="M18" i="21" s="1"/>
  <c r="N18" i="21" s="1"/>
  <c r="O18" i="21" s="1"/>
  <c r="L19" i="21"/>
  <c r="M19" i="21" s="1"/>
  <c r="N19" i="21" s="1"/>
  <c r="O19" i="21" s="1"/>
  <c r="L20" i="21"/>
  <c r="M20" i="21" s="1"/>
  <c r="N20" i="21" s="1"/>
  <c r="O20" i="21" s="1"/>
  <c r="L21" i="21"/>
  <c r="M21" i="21" s="1"/>
  <c r="N21" i="21" s="1"/>
  <c r="O21" i="21" s="1"/>
  <c r="L22" i="21"/>
  <c r="M22" i="21" s="1"/>
  <c r="N22" i="21" s="1"/>
  <c r="O22" i="21" s="1"/>
  <c r="L23" i="21"/>
  <c r="M23" i="21" s="1"/>
  <c r="N23" i="21" s="1"/>
  <c r="O23" i="21" s="1"/>
  <c r="L24" i="21"/>
  <c r="M24" i="21" s="1"/>
  <c r="N24" i="21" s="1"/>
  <c r="O24" i="21" s="1"/>
  <c r="L25" i="21"/>
  <c r="M25" i="21" s="1"/>
  <c r="N25" i="21" s="1"/>
  <c r="O25" i="21" s="1"/>
  <c r="P8" i="20"/>
  <c r="N6" i="20"/>
  <c r="L10" i="20"/>
  <c r="M10" i="20" s="1"/>
  <c r="N10" i="20" s="1"/>
  <c r="O10" i="20" s="1"/>
  <c r="L11" i="20"/>
  <c r="M11" i="20" s="1"/>
  <c r="N11" i="20" s="1"/>
  <c r="O11" i="20" s="1"/>
  <c r="L12" i="20"/>
  <c r="M12" i="20" s="1"/>
  <c r="N12" i="20" s="1"/>
  <c r="O12" i="20" s="1"/>
  <c r="L13" i="20"/>
  <c r="M13" i="20" s="1"/>
  <c r="N13" i="20" s="1"/>
  <c r="O13" i="20" s="1"/>
  <c r="L14" i="20"/>
  <c r="M14" i="20" s="1"/>
  <c r="N14" i="20" s="1"/>
  <c r="O14" i="20" s="1"/>
  <c r="L15" i="20"/>
  <c r="M15" i="20" s="1"/>
  <c r="N15" i="20" s="1"/>
  <c r="O15" i="20" s="1"/>
  <c r="L16" i="20"/>
  <c r="M16" i="20" s="1"/>
  <c r="N16" i="20" s="1"/>
  <c r="O16" i="20" s="1"/>
  <c r="L17" i="20"/>
  <c r="M17" i="20" s="1"/>
  <c r="N17" i="20" s="1"/>
  <c r="O17" i="20" s="1"/>
  <c r="L18" i="20"/>
  <c r="M18" i="20" s="1"/>
  <c r="N18" i="20" s="1"/>
  <c r="O18" i="20" s="1"/>
  <c r="L19" i="20"/>
  <c r="M19" i="20" s="1"/>
  <c r="N19" i="20" s="1"/>
  <c r="O19" i="20" s="1"/>
  <c r="L20" i="20"/>
  <c r="M20" i="20" s="1"/>
  <c r="N20" i="20" s="1"/>
  <c r="O20" i="20" s="1"/>
  <c r="L21" i="20"/>
  <c r="M21" i="20" s="1"/>
  <c r="N21" i="20" s="1"/>
  <c r="O21" i="20" s="1"/>
  <c r="L22" i="20"/>
  <c r="M22" i="20" s="1"/>
  <c r="N22" i="20" s="1"/>
  <c r="O22" i="20" s="1"/>
  <c r="L23" i="20"/>
  <c r="M23" i="20" s="1"/>
  <c r="N23" i="20" s="1"/>
  <c r="O23" i="20" s="1"/>
  <c r="L24" i="20"/>
  <c r="M24" i="20" s="1"/>
  <c r="N24" i="20" s="1"/>
  <c r="O24" i="20" s="1"/>
  <c r="L25" i="20"/>
  <c r="M25" i="20" s="1"/>
  <c r="N25" i="20" s="1"/>
  <c r="O25" i="20" s="1"/>
  <c r="P7" i="19"/>
  <c r="L9" i="19"/>
  <c r="M9" i="19" s="1"/>
  <c r="P10" i="19"/>
  <c r="L12" i="19"/>
  <c r="M12" i="19" s="1"/>
  <c r="P13" i="19"/>
  <c r="L15" i="19"/>
  <c r="M15" i="19" s="1"/>
  <c r="L16" i="19"/>
  <c r="M16" i="19" s="1"/>
  <c r="L18" i="19"/>
  <c r="M18" i="19" s="1"/>
  <c r="P19" i="19"/>
  <c r="L21" i="19"/>
  <c r="M21" i="19" s="1"/>
  <c r="P22" i="19"/>
  <c r="P24" i="19"/>
  <c r="L25" i="19"/>
  <c r="M25" i="19" s="1"/>
  <c r="L6" i="19"/>
  <c r="M6" i="19" s="1"/>
  <c r="P25" i="19"/>
  <c r="P23" i="19"/>
  <c r="L23" i="19"/>
  <c r="M23" i="19" s="1"/>
  <c r="P20" i="19"/>
  <c r="L20" i="19"/>
  <c r="M20" i="19" s="1"/>
  <c r="L19" i="19"/>
  <c r="M19" i="19" s="1"/>
  <c r="P17" i="19"/>
  <c r="L17" i="19"/>
  <c r="M17" i="19" s="1"/>
  <c r="P16" i="19"/>
  <c r="P14" i="19"/>
  <c r="L14" i="19"/>
  <c r="M14" i="19" s="1"/>
  <c r="P11" i="19"/>
  <c r="L11" i="19"/>
  <c r="M11" i="19" s="1"/>
  <c r="L10" i="19"/>
  <c r="M10" i="19" s="1"/>
  <c r="P8" i="19"/>
  <c r="L8" i="19"/>
  <c r="M8" i="19" s="1"/>
  <c r="N26" i="25" l="1"/>
  <c r="B12" i="17" s="1"/>
  <c r="O6" i="25"/>
  <c r="O26" i="25" s="1"/>
  <c r="N26" i="24"/>
  <c r="B11" i="17" s="1"/>
  <c r="O6" i="24"/>
  <c r="O26" i="24" s="1"/>
  <c r="M26" i="24"/>
  <c r="M26" i="23"/>
  <c r="N26" i="23"/>
  <c r="B10" i="17" s="1"/>
  <c r="O6" i="23"/>
  <c r="O26" i="23" s="1"/>
  <c r="M26" i="22"/>
  <c r="N6" i="22"/>
  <c r="N26" i="21"/>
  <c r="B8" i="17" s="1"/>
  <c r="O6" i="21"/>
  <c r="O26" i="21" s="1"/>
  <c r="M26" i="21"/>
  <c r="N26" i="20"/>
  <c r="B7" i="17" s="1"/>
  <c r="O6" i="20"/>
  <c r="O26" i="20" s="1"/>
  <c r="M26" i="20"/>
  <c r="L7" i="19"/>
  <c r="M7" i="19" s="1"/>
  <c r="L13" i="19"/>
  <c r="M13" i="19" s="1"/>
  <c r="L22" i="19"/>
  <c r="M22" i="19" s="1"/>
  <c r="P9" i="19"/>
  <c r="P21" i="19"/>
  <c r="P12" i="19"/>
  <c r="P18" i="19"/>
  <c r="P15" i="19"/>
  <c r="L24" i="19"/>
  <c r="M24" i="19" s="1"/>
  <c r="P6" i="19"/>
  <c r="N26" i="22" l="1"/>
  <c r="B9" i="17" s="1"/>
  <c r="O6" i="22"/>
  <c r="O26" i="22" s="1"/>
  <c r="M26" i="19"/>
  <c r="K4" i="3" l="1"/>
  <c r="M23" i="3" s="1"/>
  <c r="N23" i="3" s="1"/>
  <c r="O23" i="3" s="1"/>
  <c r="M22" i="3" l="1"/>
  <c r="N22" i="3" s="1"/>
  <c r="O22" i="3" s="1"/>
  <c r="L10" i="3"/>
  <c r="M10" i="3" s="1"/>
  <c r="N10" i="3" s="1"/>
  <c r="O10" i="3" s="1"/>
  <c r="L5" i="3"/>
  <c r="M5" i="3" s="1"/>
  <c r="N5" i="3" s="1"/>
  <c r="O5" i="3" s="1"/>
  <c r="L4" i="3"/>
  <c r="M4" i="3" s="1"/>
  <c r="N4" i="3" s="1"/>
  <c r="O4" i="3" s="1"/>
  <c r="L6" i="3"/>
  <c r="M6" i="3" s="1"/>
  <c r="N6" i="3" s="1"/>
  <c r="O6" i="3" s="1"/>
  <c r="L9" i="3"/>
  <c r="M9" i="3" s="1"/>
  <c r="N9" i="3" s="1"/>
  <c r="O9" i="3" s="1"/>
  <c r="L16" i="3"/>
  <c r="N16" i="3" s="1"/>
  <c r="O16" i="3" s="1"/>
  <c r="L18" i="3"/>
  <c r="N18" i="3" s="1"/>
  <c r="O18" i="3" s="1"/>
  <c r="L8" i="3"/>
  <c r="M8" i="3" s="1"/>
  <c r="N8" i="3" s="1"/>
  <c r="O8" i="3" s="1"/>
  <c r="L12" i="3"/>
  <c r="M12" i="3" s="1"/>
  <c r="N12" i="3" s="1"/>
  <c r="O12" i="3" s="1"/>
  <c r="L13" i="3"/>
  <c r="N13" i="3" s="1"/>
  <c r="O13" i="3" s="1"/>
  <c r="M21" i="3"/>
  <c r="N21" i="3" s="1"/>
  <c r="O21" i="3" s="1"/>
  <c r="L11" i="3"/>
  <c r="M11" i="3" s="1"/>
  <c r="N11" i="3" s="1"/>
  <c r="O11" i="3" s="1"/>
  <c r="L7" i="3"/>
  <c r="M7" i="3" s="1"/>
  <c r="N7" i="3" s="1"/>
  <c r="O7" i="3" s="1"/>
  <c r="L17" i="3"/>
  <c r="M17" i="3" s="1"/>
  <c r="N17" i="3" s="1"/>
  <c r="O17" i="3" s="1"/>
  <c r="L15" i="3"/>
  <c r="N15" i="3" s="1"/>
  <c r="O15" i="3" s="1"/>
  <c r="M20" i="3"/>
  <c r="L14" i="3"/>
  <c r="N14" i="3" s="1"/>
  <c r="O14" i="3" s="1"/>
  <c r="L19" i="3"/>
  <c r="N19" i="3" s="1"/>
  <c r="O19" i="3" s="1"/>
  <c r="N17" i="19" l="1"/>
  <c r="O17" i="19" s="1"/>
  <c r="N8" i="19"/>
  <c r="O8" i="19" s="1"/>
  <c r="N10" i="19"/>
  <c r="O10" i="19" s="1"/>
  <c r="N21" i="19"/>
  <c r="O21" i="19" s="1"/>
  <c r="N23" i="19"/>
  <c r="O23" i="19" s="1"/>
  <c r="N9" i="19"/>
  <c r="O9" i="19" s="1"/>
  <c r="N15" i="19"/>
  <c r="O15" i="19" s="1"/>
  <c r="N18" i="19"/>
  <c r="O18" i="19" s="1"/>
  <c r="N25" i="19"/>
  <c r="O25" i="19" s="1"/>
  <c r="N11" i="19"/>
  <c r="O11" i="19" s="1"/>
  <c r="N14" i="19"/>
  <c r="O14" i="19" s="1"/>
  <c r="N12" i="19"/>
  <c r="O12" i="19" s="1"/>
  <c r="N6" i="19"/>
  <c r="N16" i="19"/>
  <c r="O16" i="19" s="1"/>
  <c r="N20" i="19"/>
  <c r="O20" i="19" s="1"/>
  <c r="N19" i="19"/>
  <c r="O19" i="19" s="1"/>
  <c r="N7" i="19"/>
  <c r="O7" i="19" s="1"/>
  <c r="N13" i="19"/>
  <c r="O13" i="19" s="1"/>
  <c r="N22" i="19"/>
  <c r="O22" i="19" s="1"/>
  <c r="N24" i="19"/>
  <c r="O24" i="19" s="1"/>
  <c r="O20" i="3"/>
  <c r="N20" i="3"/>
  <c r="O6" i="19" l="1"/>
  <c r="O26" i="19" s="1"/>
  <c r="N26" i="19"/>
  <c r="B14" i="17" s="1"/>
  <c r="B13" i="17"/>
  <c r="B15" i="17" l="1"/>
  <c r="B18" i="17" s="1"/>
</calcChain>
</file>

<file path=xl/sharedStrings.xml><?xml version="1.0" encoding="utf-8"?>
<sst xmlns="http://schemas.openxmlformats.org/spreadsheetml/2006/main" count="955" uniqueCount="290">
  <si>
    <t>invulvelden</t>
  </si>
  <si>
    <t>Naam machine</t>
  </si>
  <si>
    <t>motorvermogen</t>
  </si>
  <si>
    <t>eenheid</t>
  </si>
  <si>
    <t>kW</t>
  </si>
  <si>
    <t>draaiuren</t>
  </si>
  <si>
    <t>h</t>
  </si>
  <si>
    <t>opmerkingen</t>
  </si>
  <si>
    <t>Invoer</t>
  </si>
  <si>
    <t>kg CO2</t>
  </si>
  <si>
    <t>moet liggen tussen 37-560 kW</t>
  </si>
  <si>
    <t>invulveld</t>
  </si>
  <si>
    <t>dieselgebruik</t>
  </si>
  <si>
    <t>kg/kWh</t>
  </si>
  <si>
    <t>37-75 kW</t>
  </si>
  <si>
    <t>75-130 kW</t>
  </si>
  <si>
    <t>130-560 kW</t>
  </si>
  <si>
    <t>MJ/kg</t>
  </si>
  <si>
    <t>stookwaarde diesel</t>
  </si>
  <si>
    <t>bron</t>
  </si>
  <si>
    <t>TNO EMMA</t>
  </si>
  <si>
    <t>STREAM</t>
  </si>
  <si>
    <t>diesel b7 2020 blend</t>
  </si>
  <si>
    <t>Opmerkingen</t>
  </si>
  <si>
    <t>TNO-034-UT-2009-01782 RP-ML</t>
  </si>
  <si>
    <t>bezettingsgraad</t>
  </si>
  <si>
    <t>Stap 1</t>
  </si>
  <si>
    <t>Berekenen benodigde energievraag (MJ) per machine</t>
  </si>
  <si>
    <t>Energievraag</t>
  </si>
  <si>
    <t>zie stap 1</t>
  </si>
  <si>
    <t>Mj/kg</t>
  </si>
  <si>
    <t>dichtheid diesel</t>
  </si>
  <si>
    <t xml:space="preserve"> kg/l</t>
  </si>
  <si>
    <t>emissiefactor diesel</t>
  </si>
  <si>
    <t xml:space="preserve">Stap 2 </t>
  </si>
  <si>
    <t>in te vullen door inschrijver</t>
  </si>
  <si>
    <t>Motortype</t>
  </si>
  <si>
    <t>Brandstof</t>
  </si>
  <si>
    <t xml:space="preserve">Aandeel diesel </t>
  </si>
  <si>
    <t>Hybride</t>
  </si>
  <si>
    <t>HND</t>
  </si>
  <si>
    <t>variant: vastzetten op 1 uur (door opdrachtgever)</t>
  </si>
  <si>
    <t>keuzemenu: standaard: stage IIIb</t>
  </si>
  <si>
    <t>Stage II</t>
  </si>
  <si>
    <t>Stage IIIa</t>
  </si>
  <si>
    <t>Stage IIIb</t>
  </si>
  <si>
    <t>Stage IV</t>
  </si>
  <si>
    <t>Stage V</t>
  </si>
  <si>
    <t>(standaard)</t>
  </si>
  <si>
    <t xml:space="preserve">Keuzemenu: </t>
  </si>
  <si>
    <t>Benzine (E10, 2020 blend)</t>
  </si>
  <si>
    <t>Bio-ethanol (100%)</t>
  </si>
  <si>
    <t>E85</t>
  </si>
  <si>
    <t>Diesel (B7, 2020 blend)</t>
  </si>
  <si>
    <t>Biodiesel (HVO)</t>
  </si>
  <si>
    <t>Biodiesel (FAME)</t>
  </si>
  <si>
    <t>GTL</t>
  </si>
  <si>
    <t>CNG (aardgas)</t>
  </si>
  <si>
    <t>Bio-CNG (groengas)</t>
  </si>
  <si>
    <t>LNG</t>
  </si>
  <si>
    <t>Bio-LNG</t>
  </si>
  <si>
    <t>LPG</t>
  </si>
  <si>
    <t>Waterstof grijs</t>
  </si>
  <si>
    <t>Waterstof groen</t>
  </si>
  <si>
    <t>Stroom (onbekend)</t>
  </si>
  <si>
    <t>Stroom (groen)</t>
  </si>
  <si>
    <t xml:space="preserve">Indien diesel: blend met HVO mogelijk </t>
  </si>
  <si>
    <t>indien blend</t>
  </si>
  <si>
    <t>aandeel HVO</t>
  </si>
  <si>
    <t>berekening score zonder maatregelen per machine</t>
  </si>
  <si>
    <t>som van scores zonder maatregelen per machine</t>
  </si>
  <si>
    <t>Stap 5</t>
  </si>
  <si>
    <t>Stap 6</t>
  </si>
  <si>
    <t>Berekening maatregelscore per machine</t>
  </si>
  <si>
    <t>Totalen</t>
  </si>
  <si>
    <t>som van maatregelscores per machine</t>
  </si>
  <si>
    <t>Projectscore</t>
  </si>
  <si>
    <t>Totale maatregelscore:</t>
  </si>
  <si>
    <t>Projectscore:</t>
  </si>
  <si>
    <t>totale maatregelscore/totale referentiescore</t>
  </si>
  <si>
    <t>Totale score zonder maatregelen</t>
  </si>
  <si>
    <t>Totale CO2-impact zonder maatregelen</t>
  </si>
  <si>
    <t>Totale CO2-impact met maatregelen</t>
  </si>
  <si>
    <t>Berekening CO2-impact per machine incl maatregelen</t>
  </si>
  <si>
    <t>som van  CO2-impact per machine incl maatregelen</t>
  </si>
  <si>
    <t>stap 3</t>
  </si>
  <si>
    <t>Stap 4</t>
  </si>
  <si>
    <t>rekening houden met blend</t>
  </si>
  <si>
    <t xml:space="preserve">maatregelscore per machine = </t>
  </si>
  <si>
    <t>CO2-impact incl maatregelen*waardering stageniveau</t>
  </si>
  <si>
    <t>NB geldt alleen bij gebruik diesel, HVO, GTL</t>
  </si>
  <si>
    <t>Waardering stageniveau</t>
  </si>
  <si>
    <t>Stage IIIb (st)</t>
  </si>
  <si>
    <t>Waardering hybride</t>
  </si>
  <si>
    <t>Waardering HND</t>
  </si>
  <si>
    <t>NB: Geldt altijd voor elektrisch/waterstof</t>
  </si>
  <si>
    <t>Eigen aanname</t>
  </si>
  <si>
    <t>CO2-impact incl maatregelen =</t>
  </si>
  <si>
    <t>Waardering brandstof</t>
  </si>
  <si>
    <t xml:space="preserve"> energievraag (MJ)*waardering brandstof*waardering hybride*waardering HND</t>
  </si>
  <si>
    <t xml:space="preserve">Score zonder maatregelen = </t>
  </si>
  <si>
    <t>(energievraag (MJ)/stookwaarde diesel (MJ/kg)/dichtheid(kg/l))* emissiefactor CO2 (kgCO2)</t>
  </si>
  <si>
    <t xml:space="preserve">energievraag = </t>
  </si>
  <si>
    <t>motorvermogen*draaiuren*dieselgebruik (kg/kWh)*stookwaarde diesel (MJ/kg)* bezettingsgraad (%)</t>
  </si>
  <si>
    <t>Bron:</t>
  </si>
  <si>
    <t>Lijst emissiefactoren | CO2 emissiefactoren</t>
  </si>
  <si>
    <t>versie januari 2021</t>
  </si>
  <si>
    <t>Eenheid</t>
  </si>
  <si>
    <r>
      <t>kg CO</t>
    </r>
    <r>
      <rPr>
        <vertAlign val="subscript"/>
        <sz val="11"/>
        <color theme="1"/>
        <rFont val="Calibri"/>
        <family val="2"/>
        <scheme val="minor"/>
      </rPr>
      <t>2</t>
    </r>
    <r>
      <rPr>
        <sz val="12"/>
        <color theme="1"/>
        <rFont val="Calibri"/>
        <family val="2"/>
        <scheme val="minor"/>
      </rPr>
      <t>/eenheid (WTW)</t>
    </r>
  </si>
  <si>
    <t>MJ/l</t>
  </si>
  <si>
    <t>kg</t>
  </si>
  <si>
    <t>liter</t>
  </si>
  <si>
    <t>waardering tov diesel</t>
  </si>
  <si>
    <t>Energiegebruik</t>
  </si>
  <si>
    <t>Stookwaarde</t>
  </si>
  <si>
    <t>Dichtheid</t>
  </si>
  <si>
    <t xml:space="preserve">energie-inhoud </t>
  </si>
  <si>
    <t>Gewicht</t>
  </si>
  <si>
    <t>Hoeveelheid</t>
  </si>
  <si>
    <t>kg/l</t>
  </si>
  <si>
    <t>Benzine (fossiel)</t>
  </si>
  <si>
    <t>Diesel (fossiel)</t>
  </si>
  <si>
    <t>kWh</t>
  </si>
  <si>
    <t>MJ/kWh</t>
  </si>
  <si>
    <t>Biomassa</t>
  </si>
  <si>
    <t>Bestelauto &lt;2 ton</t>
  </si>
  <si>
    <t>Vrachtwagen &lt;10 ton</t>
  </si>
  <si>
    <t>Vrachtwagen 10 - 20 ton</t>
  </si>
  <si>
    <t>Vrachtwagen &gt; 20 ton + aanhanger</t>
  </si>
  <si>
    <t>Vrachtwagen LZV</t>
  </si>
  <si>
    <t>zie tabel brandstoffen</t>
  </si>
  <si>
    <t>tabblad Maattregelscore mobiele werktuigen</t>
  </si>
  <si>
    <t>Naam vrachtwagen</t>
  </si>
  <si>
    <t>Type</t>
  </si>
  <si>
    <t>keuzemenu</t>
  </si>
  <si>
    <t>ton</t>
  </si>
  <si>
    <t>gemiddelde vracht per volle rit</t>
  </si>
  <si>
    <t>km</t>
  </si>
  <si>
    <t>Berekenen benodigde energievraag (MJ) per vrachtwagen</t>
  </si>
  <si>
    <t xml:space="preserve">tonkm per vrachtwagen = </t>
  </si>
  <si>
    <t>aantal ritten</t>
  </si>
  <si>
    <t>afstand per rit (heen en terug)</t>
  </si>
  <si>
    <t>aantal ritten*afstand per rit*gemiddelde vracht</t>
  </si>
  <si>
    <t>energievraag =</t>
  </si>
  <si>
    <t>tonkm*energievraag per tonkm</t>
  </si>
  <si>
    <t>energievraag per tonkm</t>
  </si>
  <si>
    <t>MJ/tonkm</t>
  </si>
  <si>
    <t>TABEL 4</t>
  </si>
  <si>
    <t>Euro 5</t>
  </si>
  <si>
    <t>Euro 6</t>
  </si>
  <si>
    <t>Variant: vastzetten op 1tonkm door opdrachtgever</t>
  </si>
  <si>
    <t>Berekening maatregelscore</t>
  </si>
  <si>
    <t xml:space="preserve"> energievraag (MJ)*waardering brandstof*waardering hybride</t>
  </si>
  <si>
    <t>CO2-impact incl maatregelen*waardering Euroniveau</t>
  </si>
  <si>
    <t>Euro 4</t>
  </si>
  <si>
    <t>Euro 3</t>
  </si>
  <si>
    <t>keuzemenu: standaard: Euro 6</t>
  </si>
  <si>
    <t>Waardering Euroniveau</t>
  </si>
  <si>
    <t>Zware trekker + oplader</t>
  </si>
  <si>
    <t>Totaal</t>
  </si>
  <si>
    <t>bron: TNO EMMA</t>
  </si>
  <si>
    <t>Nee</t>
  </si>
  <si>
    <t>Elektrisch</t>
  </si>
  <si>
    <t>Overig</t>
  </si>
  <si>
    <t>diesel</t>
  </si>
  <si>
    <t>benzine</t>
  </si>
  <si>
    <t>overig</t>
  </si>
  <si>
    <t>elektriciteit</t>
  </si>
  <si>
    <t xml:space="preserve">Waardering </t>
  </si>
  <si>
    <t>bron: TNO-034-UT-2009-01782 RP-ML</t>
  </si>
  <si>
    <t>voertuigen en schepen</t>
  </si>
  <si>
    <t>Categorie</t>
  </si>
  <si>
    <t>eenheid2</t>
  </si>
  <si>
    <t>Energiebron</t>
  </si>
  <si>
    <r>
      <t>2</t>
    </r>
    <r>
      <rPr>
        <vertAlign val="superscript"/>
        <sz val="12"/>
        <color theme="0"/>
        <rFont val="Calibri"/>
        <family val="2"/>
      </rPr>
      <t>e</t>
    </r>
    <r>
      <rPr>
        <sz val="12"/>
        <color theme="0"/>
        <rFont val="Calibri"/>
        <family val="2"/>
      </rPr>
      <t xml:space="preserve"> energiebron</t>
    </r>
  </si>
  <si>
    <t>Stroom grijs</t>
  </si>
  <si>
    <t>Stroom onbekend</t>
  </si>
  <si>
    <t>Stroom groen</t>
  </si>
  <si>
    <t>Stage</t>
  </si>
  <si>
    <t>Diesel</t>
  </si>
  <si>
    <t>Groene stroom</t>
  </si>
  <si>
    <t>Bron: STREAM</t>
  </si>
  <si>
    <r>
      <t>CO</t>
    </r>
    <r>
      <rPr>
        <vertAlign val="subscript"/>
        <sz val="12"/>
        <color theme="0"/>
        <rFont val="Calibri"/>
        <family val="2"/>
        <scheme val="minor"/>
      </rPr>
      <t>2</t>
    </r>
  </si>
  <si>
    <t>Referentie-score</t>
  </si>
  <si>
    <t>Energie-vraag (MJ)</t>
  </si>
  <si>
    <t>Energievraag per tonkm (MJ/tonkm)</t>
  </si>
  <si>
    <t>bron: STREAM TABEL 4</t>
  </si>
  <si>
    <t>Waardering</t>
  </si>
  <si>
    <t>N.v.t.</t>
  </si>
  <si>
    <t>Naam inschrijver</t>
  </si>
  <si>
    <t>Datum</t>
  </si>
  <si>
    <t>2e energiebron</t>
  </si>
  <si>
    <t>liter of kWh</t>
  </si>
  <si>
    <t>CO2 uitstoot verg 1l diesel</t>
  </si>
  <si>
    <t>Biodiesel (FAME-100%)</t>
  </si>
  <si>
    <t>GTL (100%)</t>
  </si>
  <si>
    <t>Biodiesel (HVO-100%)</t>
  </si>
  <si>
    <t>(punten)</t>
  </si>
  <si>
    <t>Wieringermeer -&gt; Den Helder</t>
  </si>
  <si>
    <t>Wieringen -&gt; Den Helder</t>
  </si>
  <si>
    <t>Stolpen -&gt; Den Helder</t>
  </si>
  <si>
    <t>Everstekoog -&gt; Den Helder</t>
  </si>
  <si>
    <t>Heiloo -&gt; Alkmaar</t>
  </si>
  <si>
    <t>Heiloo -&gt; Beverwijk</t>
  </si>
  <si>
    <t>Ursem -&gt; Beverwijk</t>
  </si>
  <si>
    <t>Zaandam -&gt; Beverwijk</t>
  </si>
  <si>
    <t>Ursem -&gt; Wervershoof</t>
  </si>
  <si>
    <t>Wieringermeer &gt; Wervershoof</t>
  </si>
  <si>
    <t>Wieringen &gt; Wervershoof</t>
  </si>
  <si>
    <t>Oosthuizen -&gt; Beverwijk</t>
  </si>
  <si>
    <t>Stolpen -&gt; Beverwijk</t>
  </si>
  <si>
    <t>Stolpen -&gt; Geestmerambacht</t>
  </si>
  <si>
    <t>Ursem  -&gt; Katwoude</t>
  </si>
  <si>
    <t>Stolpen -&gt; Wervershoof</t>
  </si>
  <si>
    <t>Stolpen -&gt; Alkmaar</t>
  </si>
  <si>
    <t>Ursem  -&gt; Alkmaar</t>
  </si>
  <si>
    <t>Ursem -&gt; Zaandam-Oost</t>
  </si>
  <si>
    <t>Oosthuizen -&gt; Zaandam-Oost</t>
  </si>
  <si>
    <t>Aantal
ritten</t>
  </si>
  <si>
    <t>Afstand
per rit
[km]</t>
  </si>
  <si>
    <t>Transport
score</t>
  </si>
  <si>
    <r>
      <t xml:space="preserve">Slibtransport
</t>
    </r>
    <r>
      <rPr>
        <sz val="10"/>
        <color theme="1"/>
        <rFont val="Verdana"/>
        <family val="2"/>
      </rPr>
      <t>van rwzi naar rwzi</t>
    </r>
  </si>
  <si>
    <r>
      <t>CO</t>
    </r>
    <r>
      <rPr>
        <b/>
        <vertAlign val="subscript"/>
        <sz val="10"/>
        <color theme="0"/>
        <rFont val="Verdana"/>
        <family val="2"/>
      </rPr>
      <t>2</t>
    </r>
    <r>
      <rPr>
        <b/>
        <sz val="10"/>
        <color theme="0"/>
        <rFont val="Verdana"/>
        <family val="2"/>
      </rPr>
      <t>-impact
[kg CO2]</t>
    </r>
  </si>
  <si>
    <t>Controle
melding</t>
  </si>
  <si>
    <t>Gemiddeld
volume
per rit
[ton]</t>
  </si>
  <si>
    <t>Gemiddeld
volume 
per jaar
[ton]</t>
  </si>
  <si>
    <t>Aandeel
2e energie
-bron</t>
  </si>
  <si>
    <t>Type transportmiddel</t>
  </si>
  <si>
    <t>Transport-
kosten*
jaar 1
[€/ton]</t>
  </si>
  <si>
    <t>Transport-
kosten*
jaar 6
[€/ton]</t>
  </si>
  <si>
    <t>Transport-
kosten*
jaar 5
[€/ton]</t>
  </si>
  <si>
    <t>Transport-
kosten*
jaar 4
[€/ton]</t>
  </si>
  <si>
    <t>Transport-
kosten*
jaar 3
[€/ton]</t>
  </si>
  <si>
    <t>Transport-
kosten*
jaar 2
[€/ton]</t>
  </si>
  <si>
    <t>Transportkosten
totaal
[€]</t>
  </si>
  <si>
    <t>Uw aanbieding</t>
  </si>
  <si>
    <t>Verschil</t>
  </si>
  <si>
    <t>Fictieve korting per ton vermeden uitstoot</t>
  </si>
  <si>
    <t>Uw fictieve korting</t>
  </si>
  <si>
    <t>Berekening uitstoot transport jaar 6</t>
  </si>
  <si>
    <t>Berekening uitstoot transport jaar 5</t>
  </si>
  <si>
    <t>Berekening uitstoot transport jaar 4</t>
  </si>
  <si>
    <t>Berekening uitstoot transport jaar 3</t>
  </si>
  <si>
    <t>Berekening uitstoot transport jaar 2</t>
  </si>
  <si>
    <t>Berekening uitstoot transport jaar 1</t>
  </si>
  <si>
    <t>Transportkosten</t>
  </si>
  <si>
    <t>per uur</t>
  </si>
  <si>
    <t>Toeslag voor rijden na gestelde tijden</t>
  </si>
  <si>
    <t xml:space="preserve">Wachttijd </t>
  </si>
  <si>
    <t>Gebeurtenis</t>
  </si>
  <si>
    <t>Inzet tankauto (30 m³) voor calamiteiten</t>
  </si>
  <si>
    <t>uur</t>
  </si>
  <si>
    <t>bovenop ritprijs</t>
  </si>
  <si>
    <t>omvang van de ritten</t>
  </si>
  <si>
    <t>Aanname
per jaar</t>
  </si>
  <si>
    <t>Overige kosten per jaar</t>
  </si>
  <si>
    <t>Verzoek aan de inschrijver om de gele cellen in te vullen voor het bepalen van de overige kosten.</t>
  </si>
  <si>
    <t>Verzoek aan de inschrijver om in de gele kolommen het tarief te vermelden.</t>
  </si>
  <si>
    <t>Transport</t>
  </si>
  <si>
    <t>Kosten over 6 jaar</t>
  </si>
  <si>
    <t>Inschrijfsom</t>
  </si>
  <si>
    <t>CO2-uitstoot per jaar</t>
  </si>
  <si>
    <t>[kg CO2]</t>
  </si>
  <si>
    <t>Aanbesteding transport vloeibaar slib</t>
  </si>
  <si>
    <t>Overige kosten</t>
  </si>
  <si>
    <t>Referentie uitstoot</t>
  </si>
  <si>
    <t>Verzoek aan de inschrijver om de gele kolommen te vullen, maak gebruik van de keuzelijst.</t>
  </si>
  <si>
    <t>Jaar 1 tot en met 6</t>
  </si>
  <si>
    <t>Verzamelblad</t>
  </si>
  <si>
    <t>Referentie over 6 jaar</t>
  </si>
  <si>
    <t>Brongegevens</t>
  </si>
  <si>
    <t>Deze methodiek voor het berekenen van de CO2-uitstoot voor transport is overgenomen uit de Meetlat Materieelinzet van de Stichting Klimaatvriendelijk Aanbesteden en Ondernemen (SKAO). De berekening maakt gebruik van kentallen van de website CO2emissiefactoren.nl, aangevuld met aannames voor de efficiency van het ingezette voertuig. De gehanteerde ketallen staan op het tabblad 'brongegevens'.</t>
  </si>
  <si>
    <t>Bij een blend met diesel altijd diesel als eerste energiebron kiezen en biodiesel (HVO, FAME), GTL of waterstof als tweede energiebron.</t>
  </si>
  <si>
    <t>Voor inzet van elektriciteit, afkomstig van het net, kan in deze aanbesteding altijd 'Stroom groen' worden aangeklikt. Dit om het gebruik van elektrisch materieel te stimuleren.</t>
  </si>
  <si>
    <t>Voor inzet van waterstof kan in deze aanbesteding altijd 'Waterstof groen' worden aangeklikt. Dit om het gebruik van materieel op waterstof te stimuleren.</t>
  </si>
  <si>
    <t>Disclaimer</t>
  </si>
  <si>
    <t>Met hybride wordt een brandstofmotor bedoeld, aangevuld met een elektrische aandrijving waarbij er sprake moet zijn van terugwinning van kinetische energie bij bijvoorbeeld het remmen.</t>
  </si>
  <si>
    <t>1.</t>
  </si>
  <si>
    <t>2.</t>
  </si>
  <si>
    <t>3.</t>
  </si>
  <si>
    <t>4.</t>
  </si>
  <si>
    <t>Berekende referentie uitstoot voor transport per jaar</t>
  </si>
  <si>
    <t>Op het tabblad 'overige kosten' staan drie gebeurtenissen waar u een tarief (exclusief BTW) of percentage voor kunt opgeven. Voor de mate waarin deze gebeurtenissen per jaar voorkomen is door ons een aanname gedaan.</t>
  </si>
  <si>
    <t>Duurzaam transport wordt in deze aanbesteding beloond. U vult daarom in de tabbladen 'jaar 1' tot en met 'jaar 6' onder andere in met welk transportmiddel en welke brandstof u rijdt. Op basis van die gegevens wordt in kolom N een CO2-emissie berekend.</t>
  </si>
  <si>
    <t>De voor u berekende CO2-uitstoot wordt vergeleken met een referentiewaarde. Deze referentie is gebaseerd op de uitstoot van een voertuig met Euro 6 motor en HVO50 als brandstof. Voor iedere ton CO2 die u minder uitstoot, rekenen wij een fictieve korting van € 500. Iedere extra ton CO2 levert juist een fictieve bijtelling.</t>
  </si>
  <si>
    <t>Het verzamelblad vat samen wat de totale kosten van uw aanbieding zijn. Ook wordt daar de fictieve korting berekend gebaseerd de CO2-emissie van uw aanbieding ten opzichte van de referentiewaarde.</t>
  </si>
  <si>
    <t xml:space="preserve">De Meetlat is ontwikkeld door Vincent Swinkels Sustainable Strategy in opdracht van SKAO. Vincent Swinkels Sustainable Strategy of SKAO zijn niet verantwoordelijk voor eventuele fouten of afwijkingen. Berekende CO2-cijfers zijn indicatief. </t>
  </si>
  <si>
    <t>* = inclusief laden en lossen, exclusief BTW</t>
  </si>
  <si>
    <t>Tarief
(excl. BTW)</t>
  </si>
  <si>
    <t>Op het tabblad 'transportkosten' vindt u de te rijden routes en slibhoeveelheden. U geeft hier voor iedere route per jaar op welke kosten, exclusief BTW, u rekent voor het transport van 1 ton slib. De totale transportkosten per route voor de contractperiode van 6 jaar worden berekend in kolom J. 
In cel J26 staan de transportkosten voor alle routes bij elkaar opgeteld. HHNK hanteert voor deze aanbesteding een plafondbedrag van € 3.200.000 exclusief BTW. Aanbiedingen waarin de waarde van cel J26 hoger is dan het plafondbedrag worden niet in behandeling genomen.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</si>
</sst>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 #,##0_ ;_ * \-#,##0_ ;_ * &quot;-&quot;_ ;_ @_ "/>
    <numFmt numFmtId="44" formatCode="_ &quot;€&quot;\ * #,##0.00_ ;_ &quot;€&quot;\ * \-#,##0.00_ ;_ &quot;€&quot;\ * &quot;-&quot;??_ ;_ @_ "/>
    <numFmt numFmtId="43" formatCode="_ * #,##0.00_ ;_ * \-#,##0.00_ ;_ * &quot;-&quot;??_ ;_ @_ "/>
    <numFmt numFmtId="164" formatCode="0.0"/>
    <numFmt numFmtId="165" formatCode="_ * #,##0_ ;_ * \-#,##0_ ;_ * &quot;-&quot;??_ ;_ @_ "/>
    <numFmt numFmtId="166" formatCode="_ * #,##0.000_ ;_ * \-#,##0.000_ ;_ * &quot;-&quot;??_ ;_ @_ "/>
    <numFmt numFmtId="167" formatCode="_ [$€-413]\ * #,##0.00_ ;_ [$€-413]\ * \-#,##0.00_ ;_ [$€-413]\ * &quot;-&quot;??_ ;_ @_ "/>
    <numFmt numFmtId="168" formatCode="_-&quot;€&quot;\ * #,##0.00_-;_-&quot;€&quot;\ * #,##0.00\-;_-&quot;€&quot;\ * &quot;-&quot;??_-;_-@_-"/>
    <numFmt numFmtId="169" formatCode="_ &quot;€&quot;\ * #,##0_ ;_ &quot;€&quot;\ * \-#,##0_ ;_ &quot;€&quot;\ * &quot;-&quot;??_ ;_ @_ "/>
  </numFmts>
  <fonts count="33" x14ac:knownFonts="1">
    <font>
      <sz val="12"/>
      <color theme="1"/>
      <name val="Calibri"/>
      <family val="2"/>
      <scheme val="minor"/>
    </font>
    <font>
      <b/>
      <sz val="12"/>
      <color theme="1"/>
      <name val="Calibri"/>
      <family val="2"/>
      <scheme val="minor"/>
    </font>
    <font>
      <sz val="12"/>
      <color theme="1"/>
      <name val="Calibri"/>
      <family val="2"/>
      <scheme val="minor"/>
    </font>
    <font>
      <u/>
      <sz val="12"/>
      <color theme="10"/>
      <name val="Calibri"/>
      <family val="2"/>
      <scheme val="minor"/>
    </font>
    <font>
      <u/>
      <sz val="11"/>
      <color theme="1"/>
      <name val="Calibri"/>
      <family val="2"/>
      <scheme val="minor"/>
    </font>
    <font>
      <i/>
      <sz val="11"/>
      <color theme="1"/>
      <name val="Calibri"/>
      <family val="2"/>
      <scheme val="minor"/>
    </font>
    <font>
      <vertAlign val="subscript"/>
      <sz val="11"/>
      <color theme="1"/>
      <name val="Calibri"/>
      <family val="2"/>
      <scheme val="minor"/>
    </font>
    <font>
      <sz val="12"/>
      <name val="Calibri"/>
      <family val="2"/>
      <scheme val="minor"/>
    </font>
    <font>
      <sz val="11"/>
      <name val="Calibri"/>
      <family val="2"/>
      <scheme val="minor"/>
    </font>
    <font>
      <sz val="12"/>
      <color theme="0"/>
      <name val="Calibri"/>
      <family val="2"/>
    </font>
    <font>
      <vertAlign val="superscript"/>
      <sz val="12"/>
      <color theme="0"/>
      <name val="Calibri"/>
      <family val="2"/>
    </font>
    <font>
      <sz val="12"/>
      <color theme="0"/>
      <name val="Calibri"/>
      <family val="2"/>
      <scheme val="minor"/>
    </font>
    <font>
      <sz val="8"/>
      <name val="Calibri"/>
      <family val="2"/>
      <scheme val="minor"/>
    </font>
    <font>
      <vertAlign val="subscript"/>
      <sz val="12"/>
      <color theme="0"/>
      <name val="Calibri"/>
      <family val="2"/>
      <scheme val="minor"/>
    </font>
    <font>
      <b/>
      <sz val="12"/>
      <color theme="0"/>
      <name val="Calibri"/>
      <family val="2"/>
      <scheme val="minor"/>
    </font>
    <font>
      <sz val="12"/>
      <color rgb="FF000000"/>
      <name val="Calibri"/>
      <family val="2"/>
    </font>
    <font>
      <b/>
      <sz val="12"/>
      <color theme="0"/>
      <name val="Calibri"/>
      <family val="2"/>
    </font>
    <font>
      <sz val="10"/>
      <color theme="1"/>
      <name val="Verdana"/>
      <family val="2"/>
    </font>
    <font>
      <b/>
      <sz val="10"/>
      <color theme="1"/>
      <name val="Verdana"/>
      <family val="2"/>
    </font>
    <font>
      <u/>
      <sz val="10"/>
      <color theme="1"/>
      <name val="Verdana"/>
      <family val="2"/>
    </font>
    <font>
      <sz val="12"/>
      <color theme="1"/>
      <name val="Verdana"/>
      <family val="2"/>
    </font>
    <font>
      <b/>
      <sz val="10"/>
      <color theme="0"/>
      <name val="Verdana"/>
      <family val="2"/>
    </font>
    <font>
      <b/>
      <vertAlign val="subscript"/>
      <sz val="10"/>
      <color theme="0"/>
      <name val="Verdana"/>
      <family val="2"/>
    </font>
    <font>
      <sz val="10"/>
      <color rgb="FF000000"/>
      <name val="Verdana"/>
      <family val="2"/>
    </font>
    <font>
      <sz val="10"/>
      <color rgb="FFFF0000"/>
      <name val="Verdana"/>
      <family val="2"/>
    </font>
    <font>
      <sz val="10"/>
      <color theme="0"/>
      <name val="Verdana"/>
      <family val="2"/>
    </font>
    <font>
      <sz val="11"/>
      <color theme="1"/>
      <name val="Calibri"/>
      <family val="2"/>
      <scheme val="minor"/>
    </font>
    <font>
      <sz val="9"/>
      <name val="Verdana"/>
      <family val="2"/>
    </font>
    <font>
      <sz val="10"/>
      <name val="Arial"/>
      <family val="2"/>
    </font>
    <font>
      <sz val="10"/>
      <name val="Verdana"/>
      <family val="2"/>
    </font>
    <font>
      <b/>
      <sz val="10"/>
      <name val="Verdana"/>
      <family val="2"/>
    </font>
    <font>
      <i/>
      <u/>
      <sz val="10"/>
      <color theme="1"/>
      <name val="Verdana"/>
      <family val="2"/>
    </font>
    <font>
      <sz val="11"/>
      <color theme="1"/>
      <name val="Verdana"/>
      <family val="2"/>
    </font>
  </fonts>
  <fills count="16">
    <fill>
      <patternFill patternType="none"/>
    </fill>
    <fill>
      <patternFill patternType="gray125"/>
    </fill>
    <fill>
      <patternFill patternType="solid">
        <fgColor theme="0"/>
        <bgColor indexed="64"/>
      </patternFill>
    </fill>
    <fill>
      <patternFill patternType="solid">
        <fgColor theme="9"/>
        <bgColor theme="9"/>
      </patternFill>
    </fill>
    <fill>
      <patternFill patternType="solid">
        <fgColor theme="9" tint="0.79998168889431442"/>
        <bgColor theme="9" tint="0.79998168889431442"/>
      </patternFill>
    </fill>
    <fill>
      <patternFill patternType="solid">
        <fgColor theme="9" tint="0.79998168889431442"/>
        <bgColor indexed="64"/>
      </patternFill>
    </fill>
    <fill>
      <patternFill patternType="solid">
        <fgColor theme="8" tint="-0.249977111117893"/>
        <bgColor indexed="64"/>
      </patternFill>
    </fill>
    <fill>
      <patternFill patternType="solid">
        <fgColor theme="9" tint="0.59999389629810485"/>
        <bgColor indexed="64"/>
      </patternFill>
    </fill>
    <fill>
      <patternFill patternType="solid">
        <fgColor theme="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rgb="FFFFFF66"/>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right>
      <top style="thin">
        <color theme="0"/>
      </top>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bottom style="thick">
        <color theme="0"/>
      </bottom>
      <diagonal/>
    </border>
    <border>
      <left style="thin">
        <color indexed="64"/>
      </left>
      <right style="thin">
        <color indexed="64"/>
      </right>
      <top/>
      <bottom/>
      <diagonal/>
    </border>
    <border>
      <left/>
      <right/>
      <top style="thick">
        <color theme="0"/>
      </top>
      <bottom style="thick">
        <color theme="0"/>
      </bottom>
      <diagonal/>
    </border>
    <border>
      <left style="thin">
        <color theme="0"/>
      </left>
      <right style="thin">
        <color theme="0"/>
      </right>
      <top/>
      <bottom style="thick">
        <color theme="0"/>
      </bottom>
      <diagonal/>
    </border>
    <border>
      <left style="medium">
        <color rgb="FFFF0000"/>
      </left>
      <right style="medium">
        <color rgb="FFFF0000"/>
      </right>
      <top style="medium">
        <color rgb="FFFF0000"/>
      </top>
      <bottom style="medium">
        <color rgb="FFFF0000"/>
      </bottom>
      <diagonal/>
    </border>
    <border>
      <left/>
      <right/>
      <top style="double">
        <color auto="1"/>
      </top>
      <bottom/>
      <diagonal/>
    </border>
    <border>
      <left/>
      <right/>
      <top/>
      <bottom style="thin">
        <color indexed="64"/>
      </bottom>
      <diagonal/>
    </border>
    <border>
      <left/>
      <right/>
      <top style="thin">
        <color theme="0"/>
      </top>
      <bottom style="thin">
        <color theme="0"/>
      </bottom>
      <diagonal/>
    </border>
  </borders>
  <cellStyleXfs count="14">
    <xf numFmtId="0" fontId="0" fillId="0" borderId="0"/>
    <xf numFmtId="9" fontId="2" fillId="0" borderId="0" applyFont="0" applyFill="0" applyBorder="0" applyAlignment="0" applyProtection="0"/>
    <xf numFmtId="0" fontId="3" fillId="0" borderId="0" applyNumberForma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6" fillId="0" borderId="0"/>
    <xf numFmtId="0" fontId="27" fillId="0" borderId="0"/>
    <xf numFmtId="9" fontId="27" fillId="0" borderId="0" applyFont="0" applyFill="0" applyBorder="0" applyAlignment="0" applyProtection="0"/>
    <xf numFmtId="0" fontId="28" fillId="0" borderId="0"/>
    <xf numFmtId="0" fontId="26" fillId="0" borderId="0"/>
    <xf numFmtId="168" fontId="26" fillId="0" borderId="0" applyFont="0" applyFill="0" applyBorder="0" applyAlignment="0" applyProtection="0"/>
    <xf numFmtId="44" fontId="26" fillId="0" borderId="0" applyFont="0" applyFill="0" applyBorder="0" applyAlignment="0" applyProtection="0"/>
    <xf numFmtId="0" fontId="27" fillId="0" borderId="0"/>
    <xf numFmtId="41" fontId="26" fillId="0" borderId="0" applyFont="0" applyFill="0" applyBorder="0" applyAlignment="0" applyProtection="0"/>
  </cellStyleXfs>
  <cellXfs count="176">
    <xf numFmtId="0" fontId="0" fillId="0" borderId="0" xfId="0"/>
    <xf numFmtId="0" fontId="0" fillId="0" borderId="1" xfId="0" applyBorder="1"/>
    <xf numFmtId="0" fontId="1" fillId="0" borderId="0" xfId="0" applyFont="1"/>
    <xf numFmtId="0" fontId="0" fillId="0" borderId="0" xfId="0" applyBorder="1"/>
    <xf numFmtId="9" fontId="0" fillId="0" borderId="0" xfId="0" applyNumberFormat="1"/>
    <xf numFmtId="0" fontId="0" fillId="0" borderId="0" xfId="0" applyFill="1" applyBorder="1"/>
    <xf numFmtId="0" fontId="0" fillId="0" borderId="0" xfId="0" applyFont="1"/>
    <xf numFmtId="0" fontId="4" fillId="0" borderId="0" xfId="0" applyFont="1"/>
    <xf numFmtId="0" fontId="3" fillId="0" borderId="0" xfId="2" applyFill="1"/>
    <xf numFmtId="0" fontId="5" fillId="0" borderId="0" xfId="0" applyFont="1"/>
    <xf numFmtId="0" fontId="1" fillId="0" borderId="0" xfId="0" applyFont="1" applyFill="1" applyBorder="1"/>
    <xf numFmtId="0" fontId="0" fillId="0" borderId="0" xfId="0" applyFill="1" applyBorder="1" applyAlignment="1">
      <alignment horizontal="center"/>
    </xf>
    <xf numFmtId="9" fontId="0" fillId="0" borderId="0" xfId="0" applyNumberFormat="1" applyFill="1" applyBorder="1"/>
    <xf numFmtId="0" fontId="0" fillId="0" borderId="0" xfId="0" applyFill="1"/>
    <xf numFmtId="0" fontId="7" fillId="0" borderId="0" xfId="0" applyFont="1" applyFill="1" applyBorder="1" applyAlignment="1">
      <alignment vertical="center"/>
    </xf>
    <xf numFmtId="9" fontId="0" fillId="0" borderId="0" xfId="0" applyNumberFormat="1" applyFill="1"/>
    <xf numFmtId="0" fontId="7" fillId="0" borderId="0" xfId="0" applyFont="1" applyFill="1" applyBorder="1"/>
    <xf numFmtId="0" fontId="8" fillId="0" borderId="0" xfId="0" applyFont="1" applyFill="1" applyBorder="1"/>
    <xf numFmtId="2" fontId="7" fillId="0" borderId="0" xfId="0" applyNumberFormat="1" applyFont="1" applyFill="1" applyBorder="1"/>
    <xf numFmtId="9" fontId="7" fillId="0" borderId="0" xfId="1" applyFont="1" applyFill="1" applyBorder="1"/>
    <xf numFmtId="0" fontId="8" fillId="0" borderId="0" xfId="0" applyFont="1" applyFill="1" applyBorder="1" applyAlignment="1">
      <alignment horizontal="left" vertical="top" wrapText="1"/>
    </xf>
    <xf numFmtId="0" fontId="7" fillId="0" borderId="0" xfId="0" applyFont="1" applyFill="1"/>
    <xf numFmtId="0" fontId="0" fillId="0" borderId="0" xfId="0" applyFill="1" applyAlignment="1">
      <alignment horizontal="right"/>
    </xf>
    <xf numFmtId="0" fontId="0" fillId="0" borderId="0" xfId="0" applyFill="1" applyBorder="1" applyAlignment="1">
      <alignment horizontal="right"/>
    </xf>
    <xf numFmtId="0" fontId="8" fillId="0" borderId="0" xfId="0" applyFont="1" applyFill="1"/>
    <xf numFmtId="0" fontId="8" fillId="0" borderId="2" xfId="0" applyFont="1" applyFill="1" applyBorder="1"/>
    <xf numFmtId="0" fontId="8" fillId="0" borderId="3" xfId="0" applyFont="1" applyFill="1" applyBorder="1" applyAlignment="1">
      <alignment horizontal="left" vertical="top" wrapText="1"/>
    </xf>
    <xf numFmtId="0" fontId="8" fillId="0" borderId="2" xfId="0" applyFont="1" applyFill="1" applyBorder="1" applyAlignment="1">
      <alignment horizontal="left" vertical="top" wrapText="1"/>
    </xf>
    <xf numFmtId="0" fontId="8" fillId="0" borderId="5" xfId="0" applyFont="1" applyFill="1" applyBorder="1" applyAlignment="1">
      <alignment horizontal="left" vertical="top" wrapText="1"/>
    </xf>
    <xf numFmtId="0" fontId="7" fillId="0" borderId="5" xfId="0" applyFont="1" applyFill="1" applyBorder="1"/>
    <xf numFmtId="0" fontId="7" fillId="0" borderId="3" xfId="0" applyFont="1" applyFill="1" applyBorder="1"/>
    <xf numFmtId="2" fontId="7" fillId="0" borderId="3" xfId="0" applyNumberFormat="1" applyFont="1" applyFill="1" applyBorder="1"/>
    <xf numFmtId="9" fontId="7" fillId="0" borderId="3" xfId="1" applyFont="1" applyFill="1" applyBorder="1"/>
    <xf numFmtId="0" fontId="7" fillId="0" borderId="4" xfId="0" applyFont="1" applyFill="1" applyBorder="1"/>
    <xf numFmtId="0" fontId="11" fillId="0" borderId="0" xfId="0" applyFont="1" applyFill="1" applyBorder="1" applyAlignment="1">
      <alignment horizontal="left" vertical="center" wrapText="1"/>
    </xf>
    <xf numFmtId="0" fontId="11" fillId="0" borderId="0" xfId="0" applyFont="1" applyFill="1" applyBorder="1" applyAlignment="1">
      <alignment vertical="center" wrapText="1"/>
    </xf>
    <xf numFmtId="0" fontId="11" fillId="0" borderId="0" xfId="0" applyFont="1" applyFill="1" applyBorder="1"/>
    <xf numFmtId="0" fontId="11" fillId="0" borderId="0" xfId="0" applyFont="1" applyFill="1" applyBorder="1" applyAlignment="1">
      <alignment vertical="center"/>
    </xf>
    <xf numFmtId="0" fontId="11" fillId="0" borderId="0" xfId="0" applyFont="1" applyFill="1"/>
    <xf numFmtId="0" fontId="14" fillId="3" borderId="11" xfId="0" applyFont="1" applyFill="1" applyBorder="1" applyAlignment="1">
      <alignment horizontal="center" wrapText="1"/>
    </xf>
    <xf numFmtId="0" fontId="16" fillId="3" borderId="11" xfId="0" applyFont="1" applyFill="1" applyBorder="1" applyAlignment="1">
      <alignment horizontal="center"/>
    </xf>
    <xf numFmtId="0" fontId="17" fillId="0" borderId="0" xfId="0" applyFont="1"/>
    <xf numFmtId="165" fontId="17" fillId="0" borderId="0" xfId="3" applyNumberFormat="1" applyFont="1"/>
    <xf numFmtId="0" fontId="17" fillId="0" borderId="0" xfId="0" quotePrefix="1" applyFont="1" applyAlignment="1">
      <alignment horizontal="right"/>
    </xf>
    <xf numFmtId="0" fontId="19" fillId="0" borderId="0" xfId="0" applyFont="1"/>
    <xf numFmtId="0" fontId="20" fillId="0" borderId="0" xfId="0" applyFont="1" applyProtection="1"/>
    <xf numFmtId="0" fontId="20" fillId="0" borderId="0" xfId="0" applyFont="1" applyFill="1" applyProtection="1"/>
    <xf numFmtId="165" fontId="20" fillId="2" borderId="0" xfId="0" applyNumberFormat="1" applyFont="1" applyFill="1" applyProtection="1"/>
    <xf numFmtId="165" fontId="20" fillId="0" borderId="0" xfId="0" applyNumberFormat="1" applyFont="1" applyFill="1" applyProtection="1"/>
    <xf numFmtId="0" fontId="17" fillId="0" borderId="0" xfId="0" applyFont="1" applyBorder="1" applyAlignment="1" applyProtection="1">
      <alignment horizontal="right"/>
    </xf>
    <xf numFmtId="0" fontId="17" fillId="0" borderId="0" xfId="0" applyFont="1" applyBorder="1" applyAlignment="1" applyProtection="1">
      <alignment horizontal="left"/>
    </xf>
    <xf numFmtId="0" fontId="17" fillId="0" borderId="0" xfId="0" applyFont="1" applyBorder="1" applyAlignment="1" applyProtection="1">
      <alignment horizontal="right" wrapText="1"/>
    </xf>
    <xf numFmtId="0" fontId="17" fillId="0" borderId="0" xfId="0" applyFont="1" applyProtection="1"/>
    <xf numFmtId="0" fontId="18" fillId="0" borderId="0" xfId="0" applyFont="1" applyProtection="1"/>
    <xf numFmtId="0" fontId="17" fillId="0" borderId="0" xfId="0" applyFont="1" applyAlignment="1" applyProtection="1">
      <alignment horizontal="right"/>
    </xf>
    <xf numFmtId="0" fontId="17" fillId="0" borderId="0" xfId="0" applyFont="1" applyAlignment="1" applyProtection="1">
      <alignment horizontal="center"/>
    </xf>
    <xf numFmtId="0" fontId="21" fillId="3" borderId="8" xfId="0" applyFont="1" applyFill="1" applyBorder="1" applyAlignment="1"/>
    <xf numFmtId="0" fontId="21" fillId="3" borderId="10" xfId="0" applyFont="1" applyFill="1" applyBorder="1" applyAlignment="1"/>
    <xf numFmtId="0" fontId="17" fillId="0" borderId="0" xfId="0" applyFont="1" applyAlignment="1" applyProtection="1">
      <alignment horizontal="center" vertical="center"/>
    </xf>
    <xf numFmtId="0" fontId="18" fillId="0" borderId="0" xfId="0" applyFont="1" applyFill="1" applyBorder="1" applyAlignment="1" applyProtection="1">
      <alignment wrapText="1"/>
    </xf>
    <xf numFmtId="0" fontId="18" fillId="0" borderId="0" xfId="0" applyFont="1" applyFill="1" applyBorder="1" applyAlignment="1" applyProtection="1">
      <alignment horizontal="right" wrapText="1"/>
    </xf>
    <xf numFmtId="0" fontId="17" fillId="0" borderId="0" xfId="0" applyFont="1" applyAlignment="1">
      <alignment horizontal="center"/>
    </xf>
    <xf numFmtId="0" fontId="21" fillId="0" borderId="0" xfId="0" applyFont="1" applyFill="1" applyBorder="1" applyAlignment="1" applyProtection="1">
      <alignment horizontal="right" wrapText="1"/>
    </xf>
    <xf numFmtId="0" fontId="17" fillId="0" borderId="0" xfId="0" applyFont="1" applyAlignment="1" applyProtection="1">
      <alignment vertical="center"/>
    </xf>
    <xf numFmtId="0" fontId="17" fillId="0" borderId="0" xfId="0" applyFont="1" applyFill="1" applyBorder="1" applyAlignment="1" applyProtection="1">
      <protection locked="0"/>
    </xf>
    <xf numFmtId="0" fontId="17" fillId="0" borderId="0" xfId="0" applyFont="1" applyFill="1" applyBorder="1" applyAlignment="1" applyProtection="1">
      <alignment horizontal="right" indent="1"/>
      <protection locked="0"/>
    </xf>
    <xf numFmtId="0" fontId="17" fillId="0" borderId="0" xfId="3" applyNumberFormat="1" applyFont="1" applyFill="1" applyBorder="1" applyAlignment="1" applyProtection="1">
      <alignment horizontal="center"/>
      <protection locked="0"/>
    </xf>
    <xf numFmtId="9" fontId="17" fillId="0" borderId="0" xfId="0" applyNumberFormat="1" applyFont="1" applyFill="1" applyBorder="1" applyProtection="1">
      <protection locked="0"/>
    </xf>
    <xf numFmtId="9" fontId="17" fillId="0" borderId="0" xfId="1" applyFont="1" applyFill="1" applyBorder="1" applyProtection="1">
      <protection locked="0"/>
    </xf>
    <xf numFmtId="0" fontId="17" fillId="0" borderId="0" xfId="0" applyFont="1" applyFill="1" applyBorder="1" applyAlignment="1" applyProtection="1">
      <alignment horizontal="center"/>
      <protection locked="0"/>
    </xf>
    <xf numFmtId="165" fontId="24" fillId="0" borderId="0" xfId="3" applyNumberFormat="1" applyFont="1" applyFill="1" applyBorder="1" applyProtection="1"/>
    <xf numFmtId="165" fontId="24" fillId="0" borderId="0" xfId="3" applyNumberFormat="1" applyFont="1" applyFill="1" applyProtection="1"/>
    <xf numFmtId="9" fontId="17" fillId="0" borderId="0" xfId="1" applyFont="1" applyFill="1" applyProtection="1"/>
    <xf numFmtId="9" fontId="17" fillId="0" borderId="0" xfId="0" applyNumberFormat="1" applyFont="1" applyFill="1" applyProtection="1"/>
    <xf numFmtId="0" fontId="18" fillId="0" borderId="0" xfId="0" applyFont="1" applyAlignment="1" applyProtection="1">
      <alignment horizontal="right"/>
    </xf>
    <xf numFmtId="164" fontId="18" fillId="0" borderId="0" xfId="0" applyNumberFormat="1" applyFont="1" applyProtection="1"/>
    <xf numFmtId="0" fontId="17" fillId="0" borderId="0" xfId="0" applyFont="1" applyBorder="1"/>
    <xf numFmtId="0" fontId="17" fillId="0" borderId="0" xfId="0" applyFont="1" applyBorder="1" applyAlignment="1">
      <alignment horizontal="right"/>
    </xf>
    <xf numFmtId="0" fontId="17" fillId="0" borderId="0" xfId="0" applyFont="1" applyBorder="1" applyAlignment="1"/>
    <xf numFmtId="165" fontId="20" fillId="0" borderId="12" xfId="0" applyNumberFormat="1" applyFont="1" applyFill="1" applyBorder="1" applyProtection="1"/>
    <xf numFmtId="0" fontId="18" fillId="0" borderId="9" xfId="0" applyFont="1" applyFill="1" applyBorder="1" applyAlignment="1" applyProtection="1">
      <alignment horizontal="right" wrapText="1"/>
    </xf>
    <xf numFmtId="167" fontId="17" fillId="0" borderId="0" xfId="0" applyNumberFormat="1" applyFont="1" applyFill="1" applyBorder="1" applyProtection="1">
      <protection locked="0"/>
    </xf>
    <xf numFmtId="165" fontId="17" fillId="0" borderId="0" xfId="3" applyNumberFormat="1" applyFont="1" applyFill="1" applyBorder="1" applyAlignment="1" applyProtection="1">
      <alignment horizontal="right" indent="1"/>
    </xf>
    <xf numFmtId="164" fontId="23" fillId="0" borderId="0" xfId="3" applyNumberFormat="1" applyFont="1" applyFill="1" applyBorder="1" applyAlignment="1" applyProtection="1"/>
    <xf numFmtId="0" fontId="17" fillId="0" borderId="0" xfId="0" applyFont="1" applyAlignment="1" applyProtection="1">
      <alignment horizontal="right" wrapText="1"/>
    </xf>
    <xf numFmtId="0" fontId="17" fillId="0" borderId="0" xfId="0" applyFont="1" applyBorder="1" applyProtection="1"/>
    <xf numFmtId="166" fontId="17" fillId="0" borderId="0" xfId="0" applyNumberFormat="1" applyFont="1" applyBorder="1" applyProtection="1"/>
    <xf numFmtId="167" fontId="17" fillId="0" borderId="0" xfId="0" applyNumberFormat="1" applyFont="1" applyFill="1" applyBorder="1" applyProtection="1"/>
    <xf numFmtId="0" fontId="17" fillId="7" borderId="14" xfId="0" applyFont="1" applyFill="1" applyBorder="1" applyAlignment="1">
      <alignment horizontal="left" vertical="top"/>
    </xf>
    <xf numFmtId="165" fontId="17" fillId="7" borderId="14" xfId="3" applyNumberFormat="1" applyFont="1" applyFill="1" applyBorder="1" applyAlignment="1">
      <alignment horizontal="right" vertical="top" wrapText="1"/>
    </xf>
    <xf numFmtId="0" fontId="17" fillId="10" borderId="14" xfId="0" applyFont="1" applyFill="1" applyBorder="1"/>
    <xf numFmtId="0" fontId="30" fillId="12" borderId="0" xfId="0" applyFont="1" applyFill="1" applyBorder="1" applyAlignment="1" applyProtection="1">
      <alignment wrapText="1"/>
    </xf>
    <xf numFmtId="0" fontId="29" fillId="12" borderId="0" xfId="0" applyFont="1" applyFill="1" applyAlignment="1">
      <alignment horizontal="right" wrapText="1"/>
    </xf>
    <xf numFmtId="0" fontId="29" fillId="12" borderId="0" xfId="0" applyFont="1" applyFill="1" applyAlignment="1">
      <alignment horizontal="center"/>
    </xf>
    <xf numFmtId="0" fontId="29" fillId="12" borderId="0" xfId="0" applyFont="1" applyFill="1"/>
    <xf numFmtId="0" fontId="29" fillId="12" borderId="0" xfId="0" applyFont="1" applyFill="1" applyAlignment="1">
      <alignment wrapText="1"/>
    </xf>
    <xf numFmtId="0" fontId="30" fillId="12" borderId="0" xfId="0" applyFont="1" applyFill="1" applyBorder="1" applyAlignment="1" applyProtection="1">
      <alignment horizontal="right" wrapText="1"/>
    </xf>
    <xf numFmtId="0" fontId="30" fillId="12" borderId="0" xfId="0" applyFont="1" applyFill="1" applyBorder="1" applyAlignment="1" applyProtection="1">
      <alignment horizontal="center" wrapText="1"/>
    </xf>
    <xf numFmtId="0" fontId="18" fillId="12" borderId="0" xfId="0" applyFont="1" applyFill="1" applyBorder="1" applyAlignment="1" applyProtection="1">
      <alignment wrapText="1"/>
    </xf>
    <xf numFmtId="165" fontId="17" fillId="10" borderId="14" xfId="3" applyNumberFormat="1" applyFont="1" applyFill="1" applyBorder="1"/>
    <xf numFmtId="0" fontId="17" fillId="13" borderId="0" xfId="0" applyFont="1" applyFill="1"/>
    <xf numFmtId="44" fontId="17" fillId="13" borderId="0" xfId="4" applyFont="1" applyFill="1"/>
    <xf numFmtId="0" fontId="17" fillId="13" borderId="13" xfId="0" applyFont="1" applyFill="1" applyBorder="1"/>
    <xf numFmtId="44" fontId="17" fillId="13" borderId="13" xfId="4" applyFont="1" applyFill="1" applyBorder="1"/>
    <xf numFmtId="0" fontId="17" fillId="5" borderId="0" xfId="0" applyFont="1" applyFill="1" applyAlignment="1">
      <alignment horizontal="left"/>
    </xf>
    <xf numFmtId="165" fontId="17" fillId="5" borderId="0" xfId="3" applyNumberFormat="1" applyFont="1" applyFill="1"/>
    <xf numFmtId="0" fontId="17" fillId="5" borderId="13" xfId="0" applyFont="1" applyFill="1" applyBorder="1" applyAlignment="1">
      <alignment horizontal="left"/>
    </xf>
    <xf numFmtId="165" fontId="18" fillId="5" borderId="13" xfId="3" applyNumberFormat="1" applyFont="1" applyFill="1" applyBorder="1"/>
    <xf numFmtId="0" fontId="17" fillId="5" borderId="0" xfId="0" applyFont="1" applyFill="1"/>
    <xf numFmtId="165" fontId="17" fillId="5" borderId="0" xfId="0" applyNumberFormat="1" applyFont="1" applyFill="1"/>
    <xf numFmtId="0" fontId="17" fillId="5" borderId="13" xfId="0" applyFont="1" applyFill="1" applyBorder="1"/>
    <xf numFmtId="165" fontId="17" fillId="5" borderId="13" xfId="0" applyNumberFormat="1" applyFont="1" applyFill="1" applyBorder="1"/>
    <xf numFmtId="0" fontId="17" fillId="5" borderId="0" xfId="0" applyFont="1" applyFill="1" applyAlignment="1"/>
    <xf numFmtId="167" fontId="17" fillId="5" borderId="0" xfId="0" applyNumberFormat="1" applyFont="1" applyFill="1"/>
    <xf numFmtId="0" fontId="21" fillId="8" borderId="0" xfId="0" applyFont="1" applyFill="1" applyAlignment="1">
      <alignment horizontal="center" wrapText="1"/>
    </xf>
    <xf numFmtId="0" fontId="17" fillId="9" borderId="0" xfId="0" applyFont="1" applyFill="1" applyAlignment="1">
      <alignment horizontal="center" wrapText="1"/>
    </xf>
    <xf numFmtId="0" fontId="17" fillId="0" borderId="0" xfId="0" applyFont="1" applyAlignment="1">
      <alignment wrapText="1"/>
    </xf>
    <xf numFmtId="0" fontId="25" fillId="6" borderId="0" xfId="0" applyFont="1" applyFill="1" applyAlignment="1">
      <alignment horizontal="center"/>
    </xf>
    <xf numFmtId="0" fontId="18" fillId="0" borderId="0" xfId="0" applyFont="1" applyAlignment="1" applyProtection="1">
      <alignment horizontal="left"/>
    </xf>
    <xf numFmtId="0" fontId="29" fillId="14" borderId="0" xfId="0" applyFont="1" applyFill="1" applyAlignment="1">
      <alignment horizontal="center"/>
    </xf>
    <xf numFmtId="0" fontId="17" fillId="7" borderId="0" xfId="0" applyFont="1" applyFill="1" applyAlignment="1">
      <alignment horizontal="center"/>
    </xf>
    <xf numFmtId="0" fontId="21" fillId="8" borderId="0" xfId="0" applyFont="1" applyFill="1" applyAlignment="1"/>
    <xf numFmtId="0" fontId="17" fillId="9" borderId="0" xfId="0" applyFont="1" applyFill="1" applyAlignment="1"/>
    <xf numFmtId="0" fontId="29" fillId="14" borderId="0" xfId="0" applyFont="1" applyFill="1" applyAlignment="1"/>
    <xf numFmtId="0" fontId="25" fillId="6" borderId="0" xfId="0" applyFont="1" applyFill="1" applyAlignment="1"/>
    <xf numFmtId="0" fontId="17" fillId="7" borderId="0" xfId="0" applyFont="1" applyFill="1" applyAlignment="1"/>
    <xf numFmtId="0" fontId="17" fillId="15" borderId="0" xfId="0" applyFont="1" applyFill="1" applyAlignment="1">
      <alignment horizontal="center"/>
    </xf>
    <xf numFmtId="0" fontId="17" fillId="15" borderId="0" xfId="0" applyFont="1" applyFill="1" applyAlignment="1"/>
    <xf numFmtId="0" fontId="17" fillId="0" borderId="0" xfId="0" applyFont="1" applyFill="1" applyBorder="1"/>
    <xf numFmtId="0" fontId="17" fillId="0" borderId="0" xfId="0" applyFont="1" applyFill="1" applyBorder="1" applyAlignment="1">
      <alignment horizontal="center"/>
    </xf>
    <xf numFmtId="0" fontId="17" fillId="0" borderId="0" xfId="0" applyFont="1" applyFill="1" applyBorder="1" applyAlignment="1">
      <alignment horizontal="left" vertical="center" wrapText="1"/>
    </xf>
    <xf numFmtId="0" fontId="17" fillId="0" borderId="0" xfId="0" applyFont="1" applyFill="1" applyBorder="1" applyAlignment="1">
      <alignment wrapText="1"/>
    </xf>
    <xf numFmtId="0" fontId="17" fillId="0" borderId="0" xfId="0" applyFont="1" applyFill="1" applyBorder="1" applyAlignment="1" applyProtection="1">
      <alignment horizontal="left" wrapText="1"/>
    </xf>
    <xf numFmtId="0" fontId="31" fillId="0" borderId="0" xfId="0" applyFont="1" applyAlignment="1">
      <alignment wrapText="1"/>
    </xf>
    <xf numFmtId="0" fontId="31" fillId="0" borderId="0" xfId="0" applyFont="1" applyFill="1" applyBorder="1" applyAlignment="1">
      <alignment wrapText="1"/>
    </xf>
    <xf numFmtId="0" fontId="17" fillId="0" borderId="0" xfId="0" applyFont="1" applyFill="1" applyBorder="1" applyAlignment="1">
      <alignment horizontal="center" vertical="top"/>
    </xf>
    <xf numFmtId="165" fontId="17" fillId="0" borderId="0" xfId="0" applyNumberFormat="1" applyFont="1" applyFill="1" applyBorder="1" applyProtection="1"/>
    <xf numFmtId="0" fontId="17" fillId="0" borderId="0" xfId="0" applyFont="1" applyFill="1" applyBorder="1" applyProtection="1"/>
    <xf numFmtId="0" fontId="18" fillId="0" borderId="13" xfId="0" applyFont="1" applyBorder="1" applyProtection="1"/>
    <xf numFmtId="44" fontId="18" fillId="0" borderId="13" xfId="4" applyFont="1" applyBorder="1" applyAlignment="1" applyProtection="1">
      <alignment horizontal="right"/>
    </xf>
    <xf numFmtId="44" fontId="18" fillId="0" borderId="13" xfId="0" applyNumberFormat="1" applyFont="1" applyBorder="1" applyProtection="1"/>
    <xf numFmtId="44" fontId="17" fillId="0" borderId="0" xfId="4" applyFont="1" applyAlignment="1" applyProtection="1">
      <alignment horizontal="right"/>
    </xf>
    <xf numFmtId="165" fontId="17" fillId="0" borderId="0" xfId="3" applyNumberFormat="1" applyFont="1" applyProtection="1"/>
    <xf numFmtId="44" fontId="17" fillId="0" borderId="0" xfId="4" applyFont="1" applyProtection="1"/>
    <xf numFmtId="169" fontId="17" fillId="0" borderId="0" xfId="4" applyNumberFormat="1" applyFont="1" applyProtection="1"/>
    <xf numFmtId="0" fontId="29" fillId="11" borderId="14" xfId="0" applyFont="1" applyFill="1" applyBorder="1" applyAlignment="1" applyProtection="1">
      <alignment vertical="top"/>
    </xf>
    <xf numFmtId="44" fontId="29" fillId="11" borderId="14" xfId="4" applyFont="1" applyFill="1" applyBorder="1" applyAlignment="1" applyProtection="1">
      <alignment horizontal="right" vertical="top" wrapText="1"/>
    </xf>
    <xf numFmtId="0" fontId="29" fillId="11" borderId="14" xfId="0" applyFont="1" applyFill="1" applyBorder="1" applyAlignment="1" applyProtection="1">
      <alignment horizontal="right" vertical="top" wrapText="1"/>
    </xf>
    <xf numFmtId="0" fontId="29" fillId="0" borderId="0" xfId="0" applyFont="1" applyAlignment="1" applyProtection="1">
      <alignment vertical="top"/>
    </xf>
    <xf numFmtId="44" fontId="17" fillId="12" borderId="0" xfId="4" applyFont="1" applyFill="1" applyAlignment="1" applyProtection="1">
      <alignment horizontal="right"/>
      <protection locked="0"/>
    </xf>
    <xf numFmtId="9" fontId="17" fillId="12" borderId="0" xfId="1" applyFont="1" applyFill="1" applyAlignment="1" applyProtection="1">
      <alignment horizontal="right"/>
      <protection locked="0"/>
    </xf>
    <xf numFmtId="0" fontId="0" fillId="0" borderId="0" xfId="0" applyProtection="1"/>
    <xf numFmtId="0" fontId="21" fillId="3" borderId="8" xfId="0" applyFont="1" applyFill="1" applyBorder="1" applyAlignment="1" applyProtection="1"/>
    <xf numFmtId="0" fontId="21" fillId="3" borderId="10" xfId="0" applyFont="1" applyFill="1" applyBorder="1" applyAlignment="1" applyProtection="1"/>
    <xf numFmtId="0" fontId="17" fillId="0" borderId="0" xfId="0" applyFont="1" applyBorder="1" applyAlignment="1" applyProtection="1"/>
    <xf numFmtId="0" fontId="29" fillId="12" borderId="0" xfId="0" applyFont="1" applyFill="1" applyAlignment="1" applyProtection="1">
      <alignment horizontal="right" wrapText="1"/>
    </xf>
    <xf numFmtId="0" fontId="29" fillId="12" borderId="0" xfId="0" applyFont="1" applyFill="1" applyAlignment="1" applyProtection="1">
      <alignment horizontal="center"/>
    </xf>
    <xf numFmtId="0" fontId="29" fillId="12" borderId="0" xfId="0" applyFont="1" applyFill="1" applyProtection="1"/>
    <xf numFmtId="0" fontId="29" fillId="12" borderId="0" xfId="0" applyFont="1" applyFill="1" applyAlignment="1" applyProtection="1">
      <alignment wrapText="1"/>
    </xf>
    <xf numFmtId="0" fontId="17" fillId="0" borderId="0" xfId="0" applyFont="1" applyAlignment="1" applyProtection="1">
      <alignment horizontal="left" wrapText="1"/>
    </xf>
    <xf numFmtId="0" fontId="17" fillId="0" borderId="0" xfId="0" applyFont="1" applyAlignment="1" applyProtection="1">
      <alignment horizontal="center" wrapText="1"/>
    </xf>
    <xf numFmtId="0" fontId="17" fillId="0" borderId="0" xfId="0" applyFont="1" applyFill="1" applyBorder="1" applyAlignment="1" applyProtection="1"/>
    <xf numFmtId="0" fontId="17" fillId="0" borderId="0" xfId="0" applyFont="1" applyFill="1" applyBorder="1" applyAlignment="1" applyProtection="1">
      <alignment horizontal="right" indent="1"/>
    </xf>
    <xf numFmtId="0" fontId="17" fillId="0" borderId="0" xfId="3" applyNumberFormat="1" applyFont="1" applyFill="1" applyBorder="1" applyAlignment="1" applyProtection="1">
      <alignment horizontal="center"/>
    </xf>
    <xf numFmtId="9" fontId="17" fillId="0" borderId="0" xfId="0" applyNumberFormat="1" applyFont="1" applyFill="1" applyBorder="1" applyProtection="1"/>
    <xf numFmtId="9" fontId="17" fillId="0" borderId="0" xfId="1" applyFont="1" applyFill="1" applyBorder="1" applyProtection="1"/>
    <xf numFmtId="0" fontId="17" fillId="0" borderId="0" xfId="0" applyFont="1" applyFill="1" applyBorder="1" applyAlignment="1" applyProtection="1">
      <alignment horizontal="center"/>
    </xf>
    <xf numFmtId="167" fontId="32" fillId="0" borderId="0" xfId="0" applyNumberFormat="1" applyFont="1" applyFill="1" applyProtection="1"/>
    <xf numFmtId="165" fontId="32" fillId="0" borderId="0" xfId="0" applyNumberFormat="1" applyFont="1" applyFill="1" applyProtection="1"/>
    <xf numFmtId="0" fontId="17" fillId="4" borderId="7" xfId="0" applyFont="1" applyFill="1" applyBorder="1" applyAlignment="1" applyProtection="1">
      <alignment horizontal="left"/>
      <protection locked="0"/>
    </xf>
    <xf numFmtId="0" fontId="17" fillId="4" borderId="15" xfId="0" applyFont="1" applyFill="1" applyBorder="1" applyAlignment="1" applyProtection="1">
      <alignment horizontal="left"/>
      <protection locked="0"/>
    </xf>
    <xf numFmtId="14" fontId="17" fillId="4" borderId="7" xfId="0" applyNumberFormat="1" applyFont="1" applyFill="1" applyBorder="1" applyAlignment="1" applyProtection="1">
      <alignment horizontal="left"/>
      <protection locked="0"/>
    </xf>
    <xf numFmtId="14" fontId="17" fillId="4" borderId="15" xfId="0" applyNumberFormat="1" applyFont="1" applyFill="1" applyBorder="1" applyAlignment="1" applyProtection="1">
      <alignment horizontal="left"/>
      <protection locked="0"/>
    </xf>
    <xf numFmtId="0" fontId="17" fillId="4" borderId="6" xfId="0" applyFont="1" applyFill="1" applyBorder="1" applyAlignment="1" applyProtection="1">
      <alignment horizontal="left"/>
      <protection locked="0"/>
    </xf>
    <xf numFmtId="14" fontId="17" fillId="4" borderId="6" xfId="0" applyNumberFormat="1" applyFont="1" applyFill="1" applyBorder="1" applyAlignment="1" applyProtection="1">
      <alignment horizontal="left"/>
      <protection locked="0"/>
    </xf>
    <xf numFmtId="0" fontId="0" fillId="0" borderId="0" xfId="0" applyFill="1" applyBorder="1" applyAlignment="1">
      <alignment horizontal="center"/>
    </xf>
  </cellXfs>
  <cellStyles count="14">
    <cellStyle name="Hyperlink" xfId="2" builtinId="8"/>
    <cellStyle name="Komma" xfId="3" builtinId="3"/>
    <cellStyle name="Komma [0] 2" xfId="13" xr:uid="{88C152A9-0C64-45F4-82D8-461A80FAFE78}"/>
    <cellStyle name="Procent" xfId="1" builtinId="5"/>
    <cellStyle name="Procent 2" xfId="7" xr:uid="{99D9E369-CDC1-4B68-9085-8193D5A48BE7}"/>
    <cellStyle name="Standaard" xfId="0" builtinId="0"/>
    <cellStyle name="Standaard 2" xfId="6" xr:uid="{C03297A5-AFB4-4506-9FC4-2CDDC7D17D2D}"/>
    <cellStyle name="Standaard 2 2" xfId="8" xr:uid="{8D1C5F48-88E3-49D0-B099-72185FE7E7BE}"/>
    <cellStyle name="Standaard 3" xfId="9" xr:uid="{0B1248C2-B6C0-45C1-A54F-4CC4C258C180}"/>
    <cellStyle name="Standaard 4" xfId="12" xr:uid="{94E1B9B9-ECF6-45E7-89FC-9C28048066C5}"/>
    <cellStyle name="Standaard 5" xfId="5" xr:uid="{BE0F4DFC-8BC0-4D27-B0FE-C03F535A7BED}"/>
    <cellStyle name="Valuta" xfId="4" builtinId="4"/>
    <cellStyle name="Valuta 2" xfId="11" xr:uid="{F652085B-FBB9-44F0-A7B3-9375929E633B}"/>
    <cellStyle name="Valuta 3" xfId="10" xr:uid="{D069E564-217A-49C1-AF9A-603AD92C998D}"/>
  </cellStyles>
  <dxfs count="299">
    <dxf>
      <fill>
        <patternFill patternType="none">
          <fgColor indexed="64"/>
          <bgColor indexed="65"/>
        </patternFill>
      </fill>
    </dxf>
    <dxf>
      <fill>
        <patternFill patternType="none">
          <fgColor indexed="64"/>
          <bgColor indexed="65"/>
        </patternFill>
      </fill>
    </dxf>
    <dxf>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dxf>
    <dxf>
      <fill>
        <patternFill patternType="none">
          <bgColor auto="1"/>
        </patternFill>
      </fill>
    </dxf>
    <dxf>
      <font>
        <b val="0"/>
        <i val="0"/>
        <strike val="0"/>
        <condense val="0"/>
        <extend val="0"/>
        <outline val="0"/>
        <shadow val="0"/>
        <u val="none"/>
        <vertAlign val="baseline"/>
        <sz val="11"/>
        <color auto="1"/>
        <name val="Calibri"/>
        <family val="2"/>
        <scheme val="minor"/>
      </font>
      <fill>
        <patternFill patternType="none">
          <fgColor indexed="64"/>
          <bgColor auto="1"/>
        </patternFill>
      </fill>
    </dxf>
    <dxf>
      <fill>
        <patternFill patternType="none">
          <bgColor auto="1"/>
        </patternFill>
      </fill>
    </dxf>
    <dxf>
      <fill>
        <patternFill patternType="none">
          <fgColor indexed="64"/>
          <bgColor indexed="65"/>
        </patternFill>
      </fill>
    </dxf>
    <dxf>
      <font>
        <strike val="0"/>
        <outline val="0"/>
        <shadow val="0"/>
        <u val="none"/>
        <color auto="1"/>
        <name val="Calibri"/>
        <family val="2"/>
        <scheme val="minor"/>
      </font>
      <fill>
        <patternFill patternType="none">
          <fgColor indexed="64"/>
          <bgColor auto="1"/>
        </patternFill>
      </fill>
    </dxf>
    <dxf>
      <font>
        <strike val="0"/>
        <outline val="0"/>
        <shadow val="0"/>
        <u val="none"/>
        <color auto="1"/>
        <name val="Calibri"/>
        <family val="2"/>
        <scheme val="minor"/>
      </font>
      <fill>
        <patternFill patternType="none">
          <fgColor indexed="64"/>
          <bgColor auto="1"/>
        </patternFill>
      </fill>
    </dxf>
    <dxf>
      <font>
        <b val="0"/>
        <i val="0"/>
        <strike val="0"/>
        <condense val="0"/>
        <extend val="0"/>
        <outline val="0"/>
        <shadow val="0"/>
        <u val="none"/>
        <vertAlign val="baseline"/>
        <sz val="12"/>
        <color auto="1"/>
        <name val="Calibri"/>
        <family val="2"/>
        <scheme val="minor"/>
      </font>
      <fill>
        <patternFill patternType="none">
          <fgColor indexed="64"/>
          <bgColor auto="1"/>
        </patternFill>
      </fill>
    </dxf>
    <dxf>
      <font>
        <strike val="0"/>
        <outline val="0"/>
        <shadow val="0"/>
        <u val="none"/>
        <color auto="1"/>
        <name val="Calibri"/>
        <family val="2"/>
        <scheme val="minor"/>
      </font>
      <numFmt numFmtId="2" formatCode="0.00"/>
      <fill>
        <patternFill patternType="none">
          <fgColor indexed="64"/>
          <bgColor auto="1"/>
        </patternFill>
      </fill>
    </dxf>
    <dxf>
      <font>
        <strike val="0"/>
        <outline val="0"/>
        <shadow val="0"/>
        <u val="none"/>
        <color auto="1"/>
        <name val="Calibri"/>
        <family val="2"/>
        <scheme val="minor"/>
      </font>
      <numFmt numFmtId="2" formatCode="0.00"/>
      <fill>
        <patternFill patternType="none">
          <fgColor indexed="64"/>
          <bgColor auto="1"/>
        </patternFill>
      </fill>
    </dxf>
    <dxf>
      <font>
        <strike val="0"/>
        <outline val="0"/>
        <shadow val="0"/>
        <u val="none"/>
        <color auto="1"/>
        <name val="Calibri"/>
        <family val="2"/>
        <scheme val="minor"/>
      </font>
      <fill>
        <patternFill patternType="none">
          <fgColor indexed="64"/>
          <bgColor auto="1"/>
        </patternFill>
      </fill>
    </dxf>
    <dxf>
      <font>
        <strike val="0"/>
        <outline val="0"/>
        <shadow val="0"/>
        <u val="none"/>
        <color auto="1"/>
        <name val="Calibri"/>
        <family val="2"/>
        <scheme val="minor"/>
      </font>
      <fill>
        <patternFill patternType="none">
          <fgColor indexed="64"/>
          <bgColor auto="1"/>
        </patternFill>
      </fill>
    </dxf>
    <dxf>
      <font>
        <strike val="0"/>
        <outline val="0"/>
        <shadow val="0"/>
        <u val="none"/>
        <color auto="1"/>
        <name val="Calibri"/>
        <family val="2"/>
        <scheme val="minor"/>
      </font>
      <fill>
        <patternFill patternType="none">
          <fgColor indexed="64"/>
          <bgColor auto="1"/>
        </patternFill>
      </fill>
    </dxf>
    <dxf>
      <font>
        <strike val="0"/>
        <outline val="0"/>
        <shadow val="0"/>
        <u val="none"/>
        <color auto="1"/>
        <name val="Calibri"/>
        <family val="2"/>
        <scheme val="minor"/>
      </font>
      <fill>
        <patternFill patternType="none">
          <fgColor indexed="64"/>
          <bgColor auto="1"/>
        </patternFill>
      </fill>
    </dxf>
    <dxf>
      <font>
        <strike val="0"/>
        <outline val="0"/>
        <shadow val="0"/>
        <u val="none"/>
        <color auto="1"/>
        <name val="Calibri"/>
        <family val="2"/>
        <scheme val="minor"/>
      </font>
      <fill>
        <patternFill patternType="none">
          <fgColor indexed="64"/>
          <bgColor auto="1"/>
        </patternFill>
      </fill>
    </dxf>
    <dxf>
      <font>
        <strike val="0"/>
        <outline val="0"/>
        <shadow val="0"/>
        <u val="none"/>
        <color auto="1"/>
        <name val="Calibri"/>
        <family val="2"/>
        <scheme val="minor"/>
      </font>
      <fill>
        <patternFill patternType="none">
          <fgColor indexed="64"/>
          <bgColor auto="1"/>
        </patternFill>
      </fill>
    </dxf>
    <dxf>
      <font>
        <strike val="0"/>
        <outline val="0"/>
        <shadow val="0"/>
        <u val="none"/>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dxf>
    <dxf>
      <font>
        <strike val="0"/>
        <outline val="0"/>
        <shadow val="0"/>
        <u val="none"/>
        <color auto="1"/>
        <name val="Calibri"/>
        <family val="2"/>
        <scheme val="minor"/>
      </font>
      <fill>
        <patternFill patternType="none">
          <fgColor indexed="64"/>
          <bgColor auto="1"/>
        </patternFill>
      </fill>
    </dxf>
    <dxf>
      <font>
        <strike val="0"/>
        <outline val="0"/>
        <shadow val="0"/>
        <u val="none"/>
        <color auto="1"/>
        <name val="Calibri"/>
        <family val="2"/>
        <scheme val="minor"/>
      </font>
      <fill>
        <patternFill patternType="none">
          <fgColor indexed="64"/>
          <bgColor auto="1"/>
        </patternFill>
      </fill>
    </dxf>
    <dxf>
      <font>
        <strike val="0"/>
        <outline val="0"/>
        <shadow val="0"/>
        <u val="none"/>
        <sz val="12"/>
        <color theme="0"/>
        <name val="Calibri"/>
        <family val="2"/>
        <scheme val="minor"/>
      </font>
      <fill>
        <patternFill patternType="none">
          <fgColor indexed="64"/>
          <bgColor auto="1"/>
        </patternFill>
      </fill>
    </dxf>
    <dxf>
      <numFmt numFmtId="13" formatCode="0%"/>
    </dxf>
    <dxf>
      <numFmt numFmtId="13" formatCode="0%"/>
    </dxf>
    <dxf>
      <fill>
        <patternFill patternType="none">
          <fgColor indexed="64"/>
          <bgColor indexed="65"/>
        </patternFill>
      </fill>
    </dxf>
    <dxf>
      <numFmt numFmtId="13" formatCode="0%"/>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strike val="0"/>
        <outline val="0"/>
        <shadow val="0"/>
        <u val="none"/>
        <sz val="10"/>
        <name val="Verdana"/>
        <family val="2"/>
        <scheme val="none"/>
      </font>
      <numFmt numFmtId="13" formatCode="0%"/>
      <fill>
        <patternFill patternType="none">
          <fgColor indexed="64"/>
          <bgColor indexed="65"/>
        </patternFill>
      </fill>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border diagonalUp="0" diagonalDown="0">
        <left style="medium">
          <color rgb="FFFF0000"/>
        </left>
        <right style="medium">
          <color rgb="FFFF0000"/>
        </right>
        <top style="medium">
          <color rgb="FFFF0000"/>
        </top>
        <bottom style="medium">
          <color rgb="FFFF0000"/>
        </bottom>
      </border>
      <protection locked="1" hidden="0"/>
    </dxf>
    <dxf>
      <font>
        <strike val="0"/>
        <outline val="0"/>
        <shadow val="0"/>
        <u val="none"/>
        <vertAlign val="baseline"/>
        <sz val="10"/>
        <color rgb="FFFF0000"/>
        <name val="Verdana"/>
        <family val="2"/>
        <scheme val="none"/>
      </font>
      <numFmt numFmtId="165" formatCode="_ * #,##0_ ;_ * \-#,##0_ ;_ * &quot;-&quot;??_ ;_ @_ "/>
      <fill>
        <patternFill patternType="none">
          <fgColor rgb="FF000000"/>
          <bgColor auto="1"/>
        </patternFill>
      </fill>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border diagonalUp="0" diagonalDown="0">
        <left style="medium">
          <color rgb="FFFF0000"/>
        </left>
        <right style="medium">
          <color rgb="FFFF0000"/>
        </right>
        <top style="medium">
          <color rgb="FFFF0000"/>
        </top>
        <bottom style="medium">
          <color rgb="FFFF0000"/>
        </bottom>
      </border>
      <protection locked="1" hidden="0"/>
    </dxf>
    <dxf>
      <font>
        <strike val="0"/>
        <outline val="0"/>
        <shadow val="0"/>
        <u val="none"/>
        <vertAlign val="baseline"/>
        <sz val="10"/>
        <color rgb="FFFF0000"/>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rgb="FFFF0000"/>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solid">
          <fgColor indexed="64"/>
          <bgColor theme="0"/>
        </patternFill>
      </fill>
      <protection locked="1" hidden="0"/>
    </dxf>
    <dxf>
      <font>
        <b val="0"/>
        <i val="0"/>
        <strike val="0"/>
        <condense val="0"/>
        <extend val="0"/>
        <outline val="0"/>
        <shadow val="0"/>
        <u val="none"/>
        <vertAlign val="baseline"/>
        <sz val="10"/>
        <color rgb="FFFF0000"/>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center" vertical="bottom" textRotation="0" indent="0" justifyLastLine="0" shrinkToFit="0" readingOrder="0"/>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0" formatCode="General"/>
      <fill>
        <patternFill patternType="none">
          <fgColor indexed="64"/>
          <bgColor indexed="65"/>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13" formatCode="0%"/>
      <fill>
        <patternFill patternType="none">
          <fgColor indexed="64"/>
          <bgColor indexed="65"/>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13" formatCode="0%"/>
      <fill>
        <patternFill patternType="none">
          <fgColor indexed="64"/>
          <bgColor indexed="65"/>
        </patternFill>
      </fill>
      <alignment horizontal="left" vertical="bottom" textRotation="0" wrapText="0" relativeIndent="-1" justifyLastLine="0" shrinkToFit="0" readingOrder="0"/>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0" formatCode="General"/>
      <fill>
        <patternFill patternType="none">
          <fgColor indexed="64"/>
          <bgColor indexed="65"/>
        </patternFill>
      </fill>
      <alignment horizontal="center" vertical="bottom" textRotation="0" wrapText="0" indent="0" justifyLastLine="0" shrinkToFit="0" readingOrder="0"/>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rgb="FF000000"/>
        <name val="Verdana"/>
        <family val="2"/>
        <scheme val="none"/>
      </font>
      <numFmt numFmtId="164" formatCode="0.0"/>
      <fill>
        <patternFill patternType="none">
          <fgColor indexed="64"/>
          <bgColor auto="1"/>
        </patternFill>
      </fill>
      <alignment horizontal="left" vertical="bottom" textRotation="0" wrapText="0" relativeIndent="1" justifyLastLine="0" shrinkToFit="0" readingOrder="0"/>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165" formatCode="_ * #,##0_ ;_ * \-#,##0_ ;_ * &quot;-&quot;??_ ;_ @_ "/>
      <fill>
        <patternFill patternType="none">
          <fgColor indexed="64"/>
          <bgColor indexed="65"/>
        </patternFill>
      </fill>
      <alignment horizontal="right" vertical="bottom" textRotation="0" wrapText="0" indent="2" justifyLastLine="0" shrinkToFit="0" readingOrder="0"/>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strike val="0"/>
        <outline val="0"/>
        <shadow val="0"/>
        <u val="none"/>
        <sz val="10"/>
        <name val="Verdana"/>
        <family val="2"/>
        <scheme val="none"/>
      </font>
      <fill>
        <patternFill patternType="none">
          <fgColor indexed="64"/>
          <bgColor auto="1"/>
        </patternFill>
      </fill>
      <alignment horizontal="right" vertical="bottom" textRotation="0" wrapText="0" relativeIndent="1" justifyLastLine="0" shrinkToFit="0" readingOrder="0"/>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strike val="0"/>
        <outline val="0"/>
        <shadow val="0"/>
        <u val="none"/>
        <sz val="10"/>
        <name val="Verdana"/>
        <family val="2"/>
        <scheme val="none"/>
      </font>
      <fill>
        <patternFill patternType="none">
          <fgColor indexed="64"/>
          <bgColor auto="1"/>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strike val="0"/>
        <outline val="0"/>
        <shadow val="0"/>
        <u val="none"/>
        <sz val="10"/>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2"/>
        <color theme="1"/>
        <name val="Verdana"/>
        <family val="2"/>
        <scheme val="none"/>
      </font>
      <fill>
        <patternFill patternType="none">
          <fgColor indexed="64"/>
          <bgColor indexed="65"/>
        </patternFill>
      </fill>
      <protection locked="1" hidden="0"/>
    </dxf>
    <dxf>
      <font>
        <strike val="0"/>
        <outline val="0"/>
        <shadow val="0"/>
        <u val="none"/>
        <sz val="10"/>
        <name val="Verdana"/>
        <family val="2"/>
        <scheme val="none"/>
      </font>
      <fill>
        <patternFill patternType="none">
          <fgColor indexed="64"/>
          <bgColor auto="1"/>
        </patternFill>
      </fill>
      <protection locked="1" hidden="0"/>
    </dxf>
    <dxf>
      <font>
        <strike val="0"/>
        <outline val="0"/>
        <shadow val="0"/>
        <u val="none"/>
        <vertAlign val="baseline"/>
        <sz val="12"/>
        <name val="Verdana"/>
        <family val="2"/>
        <scheme val="none"/>
      </font>
      <protection locked="1" hidden="0"/>
    </dxf>
    <dxf>
      <font>
        <strike val="0"/>
        <outline val="0"/>
        <shadow val="0"/>
        <u val="none"/>
        <sz val="10"/>
        <name val="Verdana"/>
        <family val="2"/>
        <scheme val="none"/>
      </font>
      <fill>
        <patternFill patternType="none">
          <fgColor rgb="FF000000"/>
          <bgColor auto="1"/>
        </patternFill>
      </fill>
      <protection locked="1" hidden="0"/>
    </dxf>
    <dxf>
      <font>
        <b/>
        <i val="0"/>
        <strike val="0"/>
        <condense val="0"/>
        <extend val="0"/>
        <outline val="0"/>
        <shadow val="0"/>
        <u val="none"/>
        <vertAlign val="baseline"/>
        <sz val="10"/>
        <color theme="1"/>
        <name val="Verdana"/>
        <family val="2"/>
        <scheme val="none"/>
      </font>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strike val="0"/>
        <outline val="0"/>
        <shadow val="0"/>
        <u val="none"/>
        <sz val="10"/>
        <name val="Verdana"/>
        <family val="2"/>
        <scheme val="none"/>
      </font>
      <numFmt numFmtId="13" formatCode="0%"/>
      <fill>
        <patternFill patternType="none">
          <fgColor indexed="64"/>
          <bgColor indexed="65"/>
        </patternFill>
      </fill>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border diagonalUp="0" diagonalDown="0">
        <left style="medium">
          <color rgb="FFFF0000"/>
        </left>
        <right style="medium">
          <color rgb="FFFF0000"/>
        </right>
        <top style="medium">
          <color rgb="FFFF0000"/>
        </top>
        <bottom style="medium">
          <color rgb="FFFF0000"/>
        </bottom>
      </border>
      <protection locked="1" hidden="0"/>
    </dxf>
    <dxf>
      <font>
        <strike val="0"/>
        <outline val="0"/>
        <shadow val="0"/>
        <u val="none"/>
        <vertAlign val="baseline"/>
        <sz val="10"/>
        <color rgb="FFFF0000"/>
        <name val="Verdana"/>
        <family val="2"/>
        <scheme val="none"/>
      </font>
      <numFmt numFmtId="165" formatCode="_ * #,##0_ ;_ * \-#,##0_ ;_ * &quot;-&quot;??_ ;_ @_ "/>
      <fill>
        <patternFill patternType="none">
          <fgColor rgb="FF000000"/>
          <bgColor auto="1"/>
        </patternFill>
      </fill>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border diagonalUp="0" diagonalDown="0">
        <left style="medium">
          <color rgb="FFFF0000"/>
        </left>
        <right style="medium">
          <color rgb="FFFF0000"/>
        </right>
        <top style="medium">
          <color rgb="FFFF0000"/>
        </top>
        <bottom style="medium">
          <color rgb="FFFF0000"/>
        </bottom>
      </border>
      <protection locked="1" hidden="0"/>
    </dxf>
    <dxf>
      <font>
        <strike val="0"/>
        <outline val="0"/>
        <shadow val="0"/>
        <u val="none"/>
        <vertAlign val="baseline"/>
        <sz val="10"/>
        <color rgb="FFFF0000"/>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rgb="FFFF0000"/>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solid">
          <fgColor indexed="64"/>
          <bgColor theme="0"/>
        </patternFill>
      </fill>
      <protection locked="1" hidden="0"/>
    </dxf>
    <dxf>
      <font>
        <b val="0"/>
        <i val="0"/>
        <strike val="0"/>
        <condense val="0"/>
        <extend val="0"/>
        <outline val="0"/>
        <shadow val="0"/>
        <u val="none"/>
        <vertAlign val="baseline"/>
        <sz val="10"/>
        <color rgb="FFFF0000"/>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center" vertical="bottom" textRotation="0" indent="0"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0" formatCode="General"/>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13" formatCode="0%"/>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13" formatCode="0%"/>
      <fill>
        <patternFill patternType="none">
          <fgColor indexed="64"/>
          <bgColor indexed="65"/>
        </patternFill>
      </fill>
      <alignment horizontal="left" vertical="bottom" textRotation="0" wrapText="0" relativeIndent="-1"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0" formatCode="General"/>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rgb="FF000000"/>
        <name val="Verdana"/>
        <family val="2"/>
        <scheme val="none"/>
      </font>
      <numFmt numFmtId="164" formatCode="0.0"/>
      <fill>
        <patternFill patternType="none">
          <fgColor indexed="64"/>
          <bgColor auto="1"/>
        </patternFill>
      </fill>
      <alignment horizontal="left" vertical="bottom" textRotation="0" wrapText="0" relativeIndent="1" justifyLastLine="0" shrinkToFit="0" readingOrder="0"/>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165" formatCode="_ * #,##0_ ;_ * \-#,##0_ ;_ * &quot;-&quot;??_ ;_ @_ "/>
      <fill>
        <patternFill patternType="none">
          <fgColor indexed="64"/>
          <bgColor indexed="65"/>
        </patternFill>
      </fill>
      <alignment horizontal="right" vertical="bottom" textRotation="0" wrapText="0" indent="2" justifyLastLine="0" shrinkToFit="0" readingOrder="0"/>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strike val="0"/>
        <outline val="0"/>
        <shadow val="0"/>
        <u val="none"/>
        <sz val="10"/>
        <name val="Verdana"/>
        <family val="2"/>
        <scheme val="none"/>
      </font>
      <fill>
        <patternFill patternType="none">
          <fgColor indexed="64"/>
          <bgColor auto="1"/>
        </patternFill>
      </fill>
      <alignment horizontal="right" vertical="bottom" textRotation="0" wrapText="0" relativeIndent="1"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strike val="0"/>
        <outline val="0"/>
        <shadow val="0"/>
        <u val="none"/>
        <sz val="10"/>
        <name val="Verdana"/>
        <family val="2"/>
        <scheme val="none"/>
      </font>
      <fill>
        <patternFill patternType="none">
          <fgColor indexed="64"/>
          <bgColor auto="1"/>
        </patternFill>
      </fill>
      <alignment horizontal="general" vertical="bottom" textRotation="0" wrapText="0" indent="0"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strike val="0"/>
        <outline val="0"/>
        <shadow val="0"/>
        <u val="none"/>
        <sz val="10"/>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2"/>
        <color theme="1"/>
        <name val="Verdana"/>
        <family val="2"/>
        <scheme val="none"/>
      </font>
      <fill>
        <patternFill patternType="none">
          <fgColor indexed="64"/>
          <bgColor indexed="65"/>
        </patternFill>
      </fill>
      <protection locked="1" hidden="0"/>
    </dxf>
    <dxf>
      <font>
        <strike val="0"/>
        <outline val="0"/>
        <shadow val="0"/>
        <u val="none"/>
        <sz val="10"/>
        <name val="Verdana"/>
        <family val="2"/>
        <scheme val="none"/>
      </font>
      <fill>
        <patternFill patternType="none">
          <fgColor indexed="64"/>
          <bgColor auto="1"/>
        </patternFill>
      </fill>
      <protection locked="1" hidden="0"/>
    </dxf>
    <dxf>
      <font>
        <strike val="0"/>
        <outline val="0"/>
        <shadow val="0"/>
        <u val="none"/>
        <vertAlign val="baseline"/>
        <sz val="12"/>
        <name val="Verdana"/>
        <family val="2"/>
        <scheme val="none"/>
      </font>
      <protection locked="1" hidden="0"/>
    </dxf>
    <dxf>
      <font>
        <strike val="0"/>
        <outline val="0"/>
        <shadow val="0"/>
        <u val="none"/>
        <sz val="10"/>
        <name val="Verdana"/>
        <family val="2"/>
        <scheme val="none"/>
      </font>
      <fill>
        <patternFill patternType="none">
          <fgColor rgb="FF000000"/>
          <bgColor auto="1"/>
        </patternFill>
      </fill>
      <protection locked="1" hidden="0"/>
    </dxf>
    <dxf>
      <font>
        <b/>
        <i val="0"/>
        <strike val="0"/>
        <condense val="0"/>
        <extend val="0"/>
        <outline val="0"/>
        <shadow val="0"/>
        <u val="none"/>
        <vertAlign val="baseline"/>
        <sz val="10"/>
        <color theme="1"/>
        <name val="Verdana"/>
        <family val="2"/>
        <scheme val="none"/>
      </font>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strike val="0"/>
        <outline val="0"/>
        <shadow val="0"/>
        <u val="none"/>
        <sz val="10"/>
        <name val="Verdana"/>
        <family val="2"/>
        <scheme val="none"/>
      </font>
      <numFmt numFmtId="13" formatCode="0%"/>
      <fill>
        <patternFill patternType="none">
          <fgColor indexed="64"/>
          <bgColor indexed="65"/>
        </patternFill>
      </fill>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border diagonalUp="0" diagonalDown="0">
        <left style="medium">
          <color rgb="FFFF0000"/>
        </left>
        <right style="medium">
          <color rgb="FFFF0000"/>
        </right>
        <top style="medium">
          <color rgb="FFFF0000"/>
        </top>
        <bottom style="medium">
          <color rgb="FFFF0000"/>
        </bottom>
      </border>
      <protection locked="1" hidden="0"/>
    </dxf>
    <dxf>
      <font>
        <strike val="0"/>
        <outline val="0"/>
        <shadow val="0"/>
        <u val="none"/>
        <vertAlign val="baseline"/>
        <sz val="10"/>
        <color rgb="FFFF0000"/>
        <name val="Verdana"/>
        <family val="2"/>
        <scheme val="none"/>
      </font>
      <numFmt numFmtId="165" formatCode="_ * #,##0_ ;_ * \-#,##0_ ;_ * &quot;-&quot;??_ ;_ @_ "/>
      <fill>
        <patternFill patternType="none">
          <fgColor rgb="FF000000"/>
          <bgColor auto="1"/>
        </patternFill>
      </fill>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border diagonalUp="0" diagonalDown="0">
        <left style="medium">
          <color rgb="FFFF0000"/>
        </left>
        <right style="medium">
          <color rgb="FFFF0000"/>
        </right>
        <top style="medium">
          <color rgb="FFFF0000"/>
        </top>
        <bottom style="medium">
          <color rgb="FFFF0000"/>
        </bottom>
      </border>
      <protection locked="1" hidden="0"/>
    </dxf>
    <dxf>
      <font>
        <strike val="0"/>
        <outline val="0"/>
        <shadow val="0"/>
        <u val="none"/>
        <vertAlign val="baseline"/>
        <sz val="10"/>
        <color rgb="FFFF0000"/>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rgb="FFFF0000"/>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solid">
          <fgColor indexed="64"/>
          <bgColor theme="0"/>
        </patternFill>
      </fill>
      <protection locked="1" hidden="0"/>
    </dxf>
    <dxf>
      <font>
        <b val="0"/>
        <i val="0"/>
        <strike val="0"/>
        <condense val="0"/>
        <extend val="0"/>
        <outline val="0"/>
        <shadow val="0"/>
        <u val="none"/>
        <vertAlign val="baseline"/>
        <sz val="10"/>
        <color rgb="FFFF0000"/>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center" vertical="bottom" textRotation="0" indent="0"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0" formatCode="General"/>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13" formatCode="0%"/>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13" formatCode="0%"/>
      <fill>
        <patternFill patternType="none">
          <fgColor indexed="64"/>
          <bgColor indexed="65"/>
        </patternFill>
      </fill>
      <alignment horizontal="left" vertical="bottom" textRotation="0" wrapText="0" relativeIndent="-1"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0" formatCode="General"/>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rgb="FF000000"/>
        <name val="Verdana"/>
        <family val="2"/>
        <scheme val="none"/>
      </font>
      <numFmt numFmtId="164" formatCode="0.0"/>
      <fill>
        <patternFill patternType="none">
          <fgColor indexed="64"/>
          <bgColor auto="1"/>
        </patternFill>
      </fill>
      <alignment horizontal="left" vertical="bottom" textRotation="0" wrapText="0" relativeIndent="1" justifyLastLine="0" shrinkToFit="0" readingOrder="0"/>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165" formatCode="_ * #,##0_ ;_ * \-#,##0_ ;_ * &quot;-&quot;??_ ;_ @_ "/>
      <fill>
        <patternFill patternType="none">
          <fgColor indexed="64"/>
          <bgColor indexed="65"/>
        </patternFill>
      </fill>
      <alignment horizontal="right" vertical="bottom" textRotation="0" wrapText="0" indent="2" justifyLastLine="0" shrinkToFit="0" readingOrder="0"/>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strike val="0"/>
        <outline val="0"/>
        <shadow val="0"/>
        <u val="none"/>
        <sz val="10"/>
        <name val="Verdana"/>
        <family val="2"/>
        <scheme val="none"/>
      </font>
      <fill>
        <patternFill patternType="none">
          <fgColor indexed="64"/>
          <bgColor auto="1"/>
        </patternFill>
      </fill>
      <alignment horizontal="right" vertical="bottom" textRotation="0" wrapText="0" relativeIndent="1"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strike val="0"/>
        <outline val="0"/>
        <shadow val="0"/>
        <u val="none"/>
        <sz val="10"/>
        <name val="Verdana"/>
        <family val="2"/>
        <scheme val="none"/>
      </font>
      <fill>
        <patternFill patternType="none">
          <fgColor indexed="64"/>
          <bgColor auto="1"/>
        </patternFill>
      </fill>
      <alignment horizontal="general" vertical="bottom" textRotation="0" wrapText="0" indent="0"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strike val="0"/>
        <outline val="0"/>
        <shadow val="0"/>
        <u val="none"/>
        <sz val="10"/>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2"/>
        <color theme="1"/>
        <name val="Verdana"/>
        <family val="2"/>
        <scheme val="none"/>
      </font>
      <fill>
        <patternFill patternType="none">
          <fgColor indexed="64"/>
          <bgColor indexed="65"/>
        </patternFill>
      </fill>
      <protection locked="1" hidden="0"/>
    </dxf>
    <dxf>
      <font>
        <strike val="0"/>
        <outline val="0"/>
        <shadow val="0"/>
        <u val="none"/>
        <sz val="10"/>
        <name val="Verdana"/>
        <family val="2"/>
        <scheme val="none"/>
      </font>
      <fill>
        <patternFill patternType="none">
          <fgColor indexed="64"/>
          <bgColor auto="1"/>
        </patternFill>
      </fill>
      <protection locked="1" hidden="0"/>
    </dxf>
    <dxf>
      <font>
        <strike val="0"/>
        <outline val="0"/>
        <shadow val="0"/>
        <u val="none"/>
        <vertAlign val="baseline"/>
        <sz val="12"/>
        <name val="Verdana"/>
        <family val="2"/>
        <scheme val="none"/>
      </font>
      <protection locked="1" hidden="0"/>
    </dxf>
    <dxf>
      <font>
        <strike val="0"/>
        <outline val="0"/>
        <shadow val="0"/>
        <u val="none"/>
        <sz val="10"/>
        <name val="Verdana"/>
        <family val="2"/>
        <scheme val="none"/>
      </font>
      <fill>
        <patternFill patternType="none">
          <fgColor rgb="FF000000"/>
          <bgColor auto="1"/>
        </patternFill>
      </fill>
      <protection locked="1" hidden="0"/>
    </dxf>
    <dxf>
      <font>
        <b/>
        <i val="0"/>
        <strike val="0"/>
        <condense val="0"/>
        <extend val="0"/>
        <outline val="0"/>
        <shadow val="0"/>
        <u val="none"/>
        <vertAlign val="baseline"/>
        <sz val="10"/>
        <color theme="1"/>
        <name val="Verdana"/>
        <family val="2"/>
        <scheme val="none"/>
      </font>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strike val="0"/>
        <outline val="0"/>
        <shadow val="0"/>
        <u val="none"/>
        <sz val="10"/>
        <name val="Verdana"/>
        <family val="2"/>
        <scheme val="none"/>
      </font>
      <numFmt numFmtId="13" formatCode="0%"/>
      <fill>
        <patternFill patternType="none">
          <fgColor indexed="64"/>
          <bgColor indexed="65"/>
        </patternFill>
      </fill>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border diagonalUp="0" diagonalDown="0">
        <left style="medium">
          <color rgb="FFFF0000"/>
        </left>
        <right style="medium">
          <color rgb="FFFF0000"/>
        </right>
        <top style="medium">
          <color rgb="FFFF0000"/>
        </top>
        <bottom style="medium">
          <color rgb="FFFF0000"/>
        </bottom>
      </border>
      <protection locked="1" hidden="0"/>
    </dxf>
    <dxf>
      <font>
        <strike val="0"/>
        <outline val="0"/>
        <shadow val="0"/>
        <u val="none"/>
        <vertAlign val="baseline"/>
        <sz val="10"/>
        <color rgb="FFFF0000"/>
        <name val="Verdana"/>
        <family val="2"/>
        <scheme val="none"/>
      </font>
      <numFmt numFmtId="165" formatCode="_ * #,##0_ ;_ * \-#,##0_ ;_ * &quot;-&quot;??_ ;_ @_ "/>
      <fill>
        <patternFill patternType="none">
          <fgColor rgb="FF000000"/>
          <bgColor auto="1"/>
        </patternFill>
      </fill>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border diagonalUp="0" diagonalDown="0">
        <left style="medium">
          <color rgb="FFFF0000"/>
        </left>
        <right style="medium">
          <color rgb="FFFF0000"/>
        </right>
        <top style="medium">
          <color rgb="FFFF0000"/>
        </top>
        <bottom style="medium">
          <color rgb="FFFF0000"/>
        </bottom>
      </border>
      <protection locked="1" hidden="0"/>
    </dxf>
    <dxf>
      <font>
        <strike val="0"/>
        <outline val="0"/>
        <shadow val="0"/>
        <u val="none"/>
        <vertAlign val="baseline"/>
        <sz val="10"/>
        <color rgb="FFFF0000"/>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rgb="FFFF0000"/>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solid">
          <fgColor indexed="64"/>
          <bgColor theme="0"/>
        </patternFill>
      </fill>
      <protection locked="1" hidden="0"/>
    </dxf>
    <dxf>
      <font>
        <b val="0"/>
        <i val="0"/>
        <strike val="0"/>
        <condense val="0"/>
        <extend val="0"/>
        <outline val="0"/>
        <shadow val="0"/>
        <u val="none"/>
        <vertAlign val="baseline"/>
        <sz val="10"/>
        <color rgb="FFFF0000"/>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center" vertical="bottom" textRotation="0" indent="0"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0" formatCode="General"/>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13" formatCode="0%"/>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13" formatCode="0%"/>
      <fill>
        <patternFill patternType="none">
          <fgColor indexed="64"/>
          <bgColor indexed="65"/>
        </patternFill>
      </fill>
      <alignment horizontal="left" vertical="bottom" textRotation="0" wrapText="0" relativeIndent="-1"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0" formatCode="General"/>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rgb="FF000000"/>
        <name val="Verdana"/>
        <family val="2"/>
        <scheme val="none"/>
      </font>
      <numFmt numFmtId="164" formatCode="0.0"/>
      <fill>
        <patternFill patternType="none">
          <fgColor indexed="64"/>
          <bgColor auto="1"/>
        </patternFill>
      </fill>
      <alignment horizontal="left" vertical="bottom" textRotation="0" wrapText="0" relativeIndent="1" justifyLastLine="0" shrinkToFit="0" readingOrder="0"/>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165" formatCode="_ * #,##0_ ;_ * \-#,##0_ ;_ * &quot;-&quot;??_ ;_ @_ "/>
      <fill>
        <patternFill patternType="none">
          <fgColor indexed="64"/>
          <bgColor indexed="65"/>
        </patternFill>
      </fill>
      <alignment horizontal="right" vertical="bottom" textRotation="0" wrapText="0" indent="2" justifyLastLine="0" shrinkToFit="0" readingOrder="0"/>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strike val="0"/>
        <outline val="0"/>
        <shadow val="0"/>
        <u val="none"/>
        <sz val="10"/>
        <name val="Verdana"/>
        <family val="2"/>
        <scheme val="none"/>
      </font>
      <fill>
        <patternFill patternType="none">
          <fgColor indexed="64"/>
          <bgColor auto="1"/>
        </patternFill>
      </fill>
      <alignment horizontal="right" vertical="bottom" textRotation="0" wrapText="0" relativeIndent="1"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strike val="0"/>
        <outline val="0"/>
        <shadow val="0"/>
        <u val="none"/>
        <sz val="10"/>
        <name val="Verdana"/>
        <family val="2"/>
        <scheme val="none"/>
      </font>
      <fill>
        <patternFill patternType="none">
          <fgColor indexed="64"/>
          <bgColor auto="1"/>
        </patternFill>
      </fill>
      <alignment horizontal="general" vertical="bottom" textRotation="0" wrapText="0" indent="0"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strike val="0"/>
        <outline val="0"/>
        <shadow val="0"/>
        <u val="none"/>
        <sz val="10"/>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2"/>
        <color theme="1"/>
        <name val="Verdana"/>
        <family val="2"/>
        <scheme val="none"/>
      </font>
      <fill>
        <patternFill patternType="none">
          <fgColor indexed="64"/>
          <bgColor indexed="65"/>
        </patternFill>
      </fill>
      <protection locked="1" hidden="0"/>
    </dxf>
    <dxf>
      <font>
        <strike val="0"/>
        <outline val="0"/>
        <shadow val="0"/>
        <u val="none"/>
        <sz val="10"/>
        <name val="Verdana"/>
        <family val="2"/>
        <scheme val="none"/>
      </font>
      <fill>
        <patternFill patternType="none">
          <fgColor indexed="64"/>
          <bgColor auto="1"/>
        </patternFill>
      </fill>
      <protection locked="1" hidden="0"/>
    </dxf>
    <dxf>
      <font>
        <strike val="0"/>
        <outline val="0"/>
        <shadow val="0"/>
        <u val="none"/>
        <vertAlign val="baseline"/>
        <sz val="12"/>
        <name val="Verdana"/>
        <family val="2"/>
        <scheme val="none"/>
      </font>
      <protection locked="1" hidden="0"/>
    </dxf>
    <dxf>
      <font>
        <strike val="0"/>
        <outline val="0"/>
        <shadow val="0"/>
        <u val="none"/>
        <sz val="10"/>
        <name val="Verdana"/>
        <family val="2"/>
        <scheme val="none"/>
      </font>
      <fill>
        <patternFill patternType="none">
          <fgColor rgb="FF000000"/>
          <bgColor auto="1"/>
        </patternFill>
      </fill>
      <protection locked="1" hidden="0"/>
    </dxf>
    <dxf>
      <font>
        <b/>
        <i val="0"/>
        <strike val="0"/>
        <condense val="0"/>
        <extend val="0"/>
        <outline val="0"/>
        <shadow val="0"/>
        <u val="none"/>
        <vertAlign val="baseline"/>
        <sz val="10"/>
        <color theme="1"/>
        <name val="Verdana"/>
        <family val="2"/>
        <scheme val="none"/>
      </font>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strike val="0"/>
        <outline val="0"/>
        <shadow val="0"/>
        <u val="none"/>
        <sz val="10"/>
        <name val="Verdana"/>
        <family val="2"/>
        <scheme val="none"/>
      </font>
      <numFmt numFmtId="13" formatCode="0%"/>
      <fill>
        <patternFill patternType="none">
          <fgColor indexed="64"/>
          <bgColor indexed="65"/>
        </patternFill>
      </fill>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border diagonalUp="0" diagonalDown="0">
        <left style="medium">
          <color rgb="FFFF0000"/>
        </left>
        <right style="medium">
          <color rgb="FFFF0000"/>
        </right>
        <top style="medium">
          <color rgb="FFFF0000"/>
        </top>
        <bottom style="medium">
          <color rgb="FFFF0000"/>
        </bottom>
      </border>
      <protection locked="1" hidden="0"/>
    </dxf>
    <dxf>
      <font>
        <strike val="0"/>
        <outline val="0"/>
        <shadow val="0"/>
        <u val="none"/>
        <vertAlign val="baseline"/>
        <sz val="10"/>
        <color rgb="FFFF0000"/>
        <name val="Verdana"/>
        <family val="2"/>
        <scheme val="none"/>
      </font>
      <numFmt numFmtId="165" formatCode="_ * #,##0_ ;_ * \-#,##0_ ;_ * &quot;-&quot;??_ ;_ @_ "/>
      <fill>
        <patternFill patternType="none">
          <fgColor rgb="FF000000"/>
          <bgColor auto="1"/>
        </patternFill>
      </fill>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border diagonalUp="0" diagonalDown="0">
        <left style="medium">
          <color rgb="FFFF0000"/>
        </left>
        <right style="medium">
          <color rgb="FFFF0000"/>
        </right>
        <top style="medium">
          <color rgb="FFFF0000"/>
        </top>
        <bottom style="medium">
          <color rgb="FFFF0000"/>
        </bottom>
      </border>
      <protection locked="1" hidden="0"/>
    </dxf>
    <dxf>
      <font>
        <strike val="0"/>
        <outline val="0"/>
        <shadow val="0"/>
        <u val="none"/>
        <vertAlign val="baseline"/>
        <sz val="10"/>
        <color rgb="FFFF0000"/>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rgb="FFFF0000"/>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solid">
          <fgColor indexed="64"/>
          <bgColor theme="0"/>
        </patternFill>
      </fill>
      <protection locked="1" hidden="0"/>
    </dxf>
    <dxf>
      <font>
        <b val="0"/>
        <i val="0"/>
        <strike val="0"/>
        <condense val="0"/>
        <extend val="0"/>
        <outline val="0"/>
        <shadow val="0"/>
        <u val="none"/>
        <vertAlign val="baseline"/>
        <sz val="10"/>
        <color rgb="FFFF0000"/>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center" vertical="bottom" textRotation="0" indent="0"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0" formatCode="General"/>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13" formatCode="0%"/>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13" formatCode="0%"/>
      <fill>
        <patternFill patternType="none">
          <fgColor indexed="64"/>
          <bgColor indexed="65"/>
        </patternFill>
      </fill>
      <alignment horizontal="left" vertical="bottom" textRotation="0" wrapText="0" relativeIndent="-1"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0" formatCode="General"/>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rgb="FF000000"/>
        <name val="Verdana"/>
        <family val="2"/>
        <scheme val="none"/>
      </font>
      <numFmt numFmtId="164" formatCode="0.0"/>
      <fill>
        <patternFill patternType="none">
          <fgColor indexed="64"/>
          <bgColor auto="1"/>
        </patternFill>
      </fill>
      <alignment horizontal="left" vertical="bottom" textRotation="0" wrapText="0" relativeIndent="1" justifyLastLine="0" shrinkToFit="0" readingOrder="0"/>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165" formatCode="_ * #,##0_ ;_ * \-#,##0_ ;_ * &quot;-&quot;??_ ;_ @_ "/>
      <fill>
        <patternFill patternType="none">
          <fgColor indexed="64"/>
          <bgColor indexed="65"/>
        </patternFill>
      </fill>
      <alignment horizontal="right" vertical="bottom" textRotation="0" wrapText="0" indent="2" justifyLastLine="0" shrinkToFit="0" readingOrder="0"/>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strike val="0"/>
        <outline val="0"/>
        <shadow val="0"/>
        <u val="none"/>
        <sz val="10"/>
        <name val="Verdana"/>
        <family val="2"/>
        <scheme val="none"/>
      </font>
      <fill>
        <patternFill patternType="none">
          <fgColor indexed="64"/>
          <bgColor auto="1"/>
        </patternFill>
      </fill>
      <alignment horizontal="right" vertical="bottom" textRotation="0" wrapText="0" relativeIndent="1"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strike val="0"/>
        <outline val="0"/>
        <shadow val="0"/>
        <u val="none"/>
        <sz val="10"/>
        <name val="Verdana"/>
        <family val="2"/>
        <scheme val="none"/>
      </font>
      <fill>
        <patternFill patternType="none">
          <fgColor indexed="64"/>
          <bgColor auto="1"/>
        </patternFill>
      </fill>
      <alignment horizontal="general" vertical="bottom" textRotation="0" wrapText="0" indent="0"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strike val="0"/>
        <outline val="0"/>
        <shadow val="0"/>
        <u val="none"/>
        <sz val="10"/>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2"/>
        <color theme="1"/>
        <name val="Verdana"/>
        <family val="2"/>
        <scheme val="none"/>
      </font>
      <fill>
        <patternFill patternType="none">
          <fgColor indexed="64"/>
          <bgColor indexed="65"/>
        </patternFill>
      </fill>
      <protection locked="1" hidden="0"/>
    </dxf>
    <dxf>
      <font>
        <strike val="0"/>
        <outline val="0"/>
        <shadow val="0"/>
        <u val="none"/>
        <sz val="10"/>
        <name val="Verdana"/>
        <family val="2"/>
        <scheme val="none"/>
      </font>
      <fill>
        <patternFill patternType="none">
          <fgColor indexed="64"/>
          <bgColor auto="1"/>
        </patternFill>
      </fill>
      <protection locked="1" hidden="0"/>
    </dxf>
    <dxf>
      <font>
        <strike val="0"/>
        <outline val="0"/>
        <shadow val="0"/>
        <u val="none"/>
        <vertAlign val="baseline"/>
        <sz val="12"/>
        <name val="Verdana"/>
        <family val="2"/>
        <scheme val="none"/>
      </font>
      <protection locked="1" hidden="0"/>
    </dxf>
    <dxf>
      <font>
        <strike val="0"/>
        <outline val="0"/>
        <shadow val="0"/>
        <u val="none"/>
        <sz val="10"/>
        <name val="Verdana"/>
        <family val="2"/>
        <scheme val="none"/>
      </font>
      <fill>
        <patternFill patternType="none">
          <fgColor rgb="FF000000"/>
          <bgColor auto="1"/>
        </patternFill>
      </fill>
      <protection locked="1" hidden="0"/>
    </dxf>
    <dxf>
      <font>
        <b/>
        <i val="0"/>
        <strike val="0"/>
        <condense val="0"/>
        <extend val="0"/>
        <outline val="0"/>
        <shadow val="0"/>
        <u val="none"/>
        <vertAlign val="baseline"/>
        <sz val="10"/>
        <color theme="1"/>
        <name val="Verdana"/>
        <family val="2"/>
        <scheme val="none"/>
      </font>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strike val="0"/>
        <outline val="0"/>
        <shadow val="0"/>
        <u val="none"/>
        <sz val="10"/>
        <name val="Verdana"/>
        <family val="2"/>
        <scheme val="none"/>
      </font>
      <numFmt numFmtId="13" formatCode="0%"/>
      <fill>
        <patternFill patternType="none">
          <fgColor indexed="64"/>
          <bgColor indexed="65"/>
        </patternFill>
      </fill>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border diagonalUp="0" diagonalDown="0" outline="0">
        <left style="medium">
          <color rgb="FFFF0000"/>
        </left>
        <right style="medium">
          <color rgb="FFFF0000"/>
        </right>
        <top style="medium">
          <color rgb="FFFF0000"/>
        </top>
        <bottom style="medium">
          <color rgb="FFFF0000"/>
        </bottom>
      </border>
      <protection locked="1" hidden="0"/>
    </dxf>
    <dxf>
      <font>
        <strike val="0"/>
        <outline val="0"/>
        <shadow val="0"/>
        <u val="none"/>
        <vertAlign val="baseline"/>
        <sz val="10"/>
        <color rgb="FFFF0000"/>
        <name val="Verdana"/>
        <family val="2"/>
        <scheme val="none"/>
      </font>
      <numFmt numFmtId="165" formatCode="_ * #,##0_ ;_ * \-#,##0_ ;_ * &quot;-&quot;??_ ;_ @_ "/>
      <fill>
        <patternFill patternType="none">
          <fgColor rgb="FF000000"/>
          <bgColor auto="1"/>
        </patternFill>
      </fill>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border diagonalUp="0" diagonalDown="0" outline="0">
        <left style="medium">
          <color rgb="FFFF0000"/>
        </left>
        <right style="medium">
          <color rgb="FFFF0000"/>
        </right>
        <top style="medium">
          <color rgb="FFFF0000"/>
        </top>
        <bottom style="medium">
          <color rgb="FFFF0000"/>
        </bottom>
      </border>
      <protection locked="1" hidden="0"/>
    </dxf>
    <dxf>
      <font>
        <strike val="0"/>
        <outline val="0"/>
        <shadow val="0"/>
        <u val="none"/>
        <vertAlign val="baseline"/>
        <sz val="10"/>
        <color rgb="FFFF0000"/>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rgb="FFFF0000"/>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solid">
          <fgColor indexed="64"/>
          <bgColor theme="0"/>
        </patternFill>
      </fill>
      <protection locked="1" hidden="0"/>
    </dxf>
    <dxf>
      <font>
        <b val="0"/>
        <i val="0"/>
        <strike val="0"/>
        <condense val="0"/>
        <extend val="0"/>
        <outline val="0"/>
        <shadow val="0"/>
        <u val="none"/>
        <vertAlign val="baseline"/>
        <sz val="10"/>
        <color rgb="FFFF0000"/>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center" vertical="bottom" textRotation="0" indent="0"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0" formatCode="General"/>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13" formatCode="0%"/>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13" formatCode="0%"/>
      <fill>
        <patternFill patternType="none">
          <fgColor indexed="64"/>
          <bgColor indexed="65"/>
        </patternFill>
      </fill>
      <alignment horizontal="left" vertical="bottom" textRotation="0" wrapText="0" relativeIndent="-1"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0" formatCode="General"/>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rgb="FF000000"/>
        <name val="Verdana"/>
        <family val="2"/>
        <scheme val="none"/>
      </font>
      <numFmt numFmtId="164" formatCode="0.0"/>
      <fill>
        <patternFill patternType="none">
          <fgColor indexed="64"/>
          <bgColor auto="1"/>
        </patternFill>
      </fill>
      <alignment horizontal="left" vertical="bottom" textRotation="0" wrapText="0" relativeIndent="1" justifyLastLine="0" shrinkToFit="0" readingOrder="0"/>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165" formatCode="_ * #,##0_ ;_ * \-#,##0_ ;_ * &quot;-&quot;??_ ;_ @_ "/>
      <fill>
        <patternFill patternType="none">
          <fgColor indexed="64"/>
          <bgColor indexed="65"/>
        </patternFill>
      </fill>
      <alignment horizontal="right" vertical="bottom" textRotation="0" wrapText="0" indent="2" justifyLastLine="0" shrinkToFit="0" readingOrder="0"/>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strike val="0"/>
        <outline val="0"/>
        <shadow val="0"/>
        <u val="none"/>
        <sz val="10"/>
        <name val="Verdana"/>
        <family val="2"/>
        <scheme val="none"/>
      </font>
      <fill>
        <patternFill patternType="none">
          <fgColor indexed="64"/>
          <bgColor auto="1"/>
        </patternFill>
      </fill>
      <alignment horizontal="right" vertical="bottom" textRotation="0" wrapText="0" relativeIndent="1"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strike val="0"/>
        <outline val="0"/>
        <shadow val="0"/>
        <u val="none"/>
        <sz val="10"/>
        <name val="Verdana"/>
        <family val="2"/>
        <scheme val="none"/>
      </font>
      <fill>
        <patternFill patternType="none">
          <fgColor indexed="64"/>
          <bgColor auto="1"/>
        </patternFill>
      </fill>
      <alignment horizontal="general" vertical="bottom" textRotation="0" wrapText="0" indent="0"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strike val="0"/>
        <outline val="0"/>
        <shadow val="0"/>
        <u val="none"/>
        <sz val="10"/>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2"/>
        <color theme="1"/>
        <name val="Verdana"/>
        <family val="2"/>
        <scheme val="none"/>
      </font>
      <fill>
        <patternFill patternType="none">
          <fgColor indexed="64"/>
          <bgColor indexed="65"/>
        </patternFill>
      </fill>
      <protection locked="1" hidden="0"/>
    </dxf>
    <dxf>
      <font>
        <strike val="0"/>
        <outline val="0"/>
        <shadow val="0"/>
        <u val="none"/>
        <sz val="10"/>
        <name val="Verdana"/>
        <family val="2"/>
        <scheme val="none"/>
      </font>
      <fill>
        <patternFill patternType="none">
          <fgColor indexed="64"/>
          <bgColor auto="1"/>
        </patternFill>
      </fill>
      <protection locked="1" hidden="0"/>
    </dxf>
    <dxf>
      <font>
        <strike val="0"/>
        <outline val="0"/>
        <shadow val="0"/>
        <u val="none"/>
        <vertAlign val="baseline"/>
        <sz val="12"/>
        <name val="Verdana"/>
        <family val="2"/>
        <scheme val="none"/>
      </font>
      <protection locked="1" hidden="0"/>
    </dxf>
    <dxf>
      <font>
        <strike val="0"/>
        <outline val="0"/>
        <shadow val="0"/>
        <u val="none"/>
        <sz val="10"/>
        <name val="Verdana"/>
        <family val="2"/>
        <scheme val="none"/>
      </font>
      <fill>
        <patternFill patternType="none">
          <fgColor rgb="FF000000"/>
          <bgColor auto="1"/>
        </patternFill>
      </fill>
      <protection locked="1" hidden="0"/>
    </dxf>
    <dxf>
      <font>
        <b/>
        <i val="0"/>
        <strike val="0"/>
        <condense val="0"/>
        <extend val="0"/>
        <outline val="0"/>
        <shadow val="0"/>
        <u val="none"/>
        <vertAlign val="baseline"/>
        <sz val="10"/>
        <color theme="1"/>
        <name val="Verdana"/>
        <family val="2"/>
        <scheme val="none"/>
      </font>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strike val="0"/>
        <outline val="0"/>
        <shadow val="0"/>
        <u val="none"/>
        <sz val="10"/>
        <name val="Verdana"/>
        <family val="2"/>
        <scheme val="none"/>
      </font>
      <numFmt numFmtId="13" formatCode="0%"/>
      <fill>
        <patternFill patternType="none">
          <fgColor indexed="64"/>
          <bgColor indexed="65"/>
        </patternFill>
      </fill>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border diagonalUp="0" diagonalDown="0" outline="0">
        <left style="medium">
          <color rgb="FFFF0000"/>
        </left>
        <right style="medium">
          <color rgb="FFFF0000"/>
        </right>
        <top style="medium">
          <color rgb="FFFF0000"/>
        </top>
        <bottom style="medium">
          <color rgb="FFFF0000"/>
        </bottom>
      </border>
      <protection locked="1" hidden="0"/>
    </dxf>
    <dxf>
      <font>
        <strike val="0"/>
        <outline val="0"/>
        <shadow val="0"/>
        <u val="none"/>
        <vertAlign val="baseline"/>
        <sz val="10"/>
        <color rgb="FFFF0000"/>
        <name val="Verdana"/>
        <family val="2"/>
        <scheme val="none"/>
      </font>
      <numFmt numFmtId="165" formatCode="_ * #,##0_ ;_ * \-#,##0_ ;_ * &quot;-&quot;??_ ;_ @_ "/>
      <fill>
        <patternFill patternType="none">
          <fgColor rgb="FF000000"/>
          <bgColor auto="1"/>
        </patternFill>
      </fill>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border diagonalUp="0" diagonalDown="0" outline="0">
        <left style="medium">
          <color rgb="FFFF0000"/>
        </left>
        <right style="medium">
          <color rgb="FFFF0000"/>
        </right>
        <top style="medium">
          <color rgb="FFFF0000"/>
        </top>
        <bottom style="medium">
          <color rgb="FFFF0000"/>
        </bottom>
      </border>
      <protection locked="1" hidden="0"/>
    </dxf>
    <dxf>
      <font>
        <strike val="0"/>
        <outline val="0"/>
        <shadow val="0"/>
        <u val="none"/>
        <vertAlign val="baseline"/>
        <sz val="10"/>
        <color rgb="FFFF0000"/>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rgb="FFFF0000"/>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solid">
          <fgColor indexed="64"/>
          <bgColor theme="0"/>
        </patternFill>
      </fill>
      <protection locked="1" hidden="0"/>
    </dxf>
    <dxf>
      <font>
        <b val="0"/>
        <i val="0"/>
        <strike val="0"/>
        <condense val="0"/>
        <extend val="0"/>
        <outline val="0"/>
        <shadow val="0"/>
        <u val="none"/>
        <vertAlign val="baseline"/>
        <sz val="10"/>
        <color rgb="FFFF0000"/>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center" vertical="bottom" textRotation="0" indent="0"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0" formatCode="General"/>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13" formatCode="0%"/>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13" formatCode="0%"/>
      <fill>
        <patternFill patternType="none">
          <fgColor indexed="64"/>
          <bgColor indexed="65"/>
        </patternFill>
      </fill>
      <alignment horizontal="left" vertical="bottom" textRotation="0" wrapText="0" relativeIndent="-1"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0" formatCode="General"/>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rgb="FF000000"/>
        <name val="Verdana"/>
        <family val="2"/>
        <scheme val="none"/>
      </font>
      <numFmt numFmtId="164" formatCode="0.0"/>
      <fill>
        <patternFill patternType="none">
          <fgColor indexed="64"/>
          <bgColor auto="1"/>
        </patternFill>
      </fill>
      <alignment horizontal="left" vertical="bottom" textRotation="0" wrapText="0" relativeIndent="1" justifyLastLine="0" shrinkToFit="0" readingOrder="0"/>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165" formatCode="_ * #,##0_ ;_ * \-#,##0_ ;_ * &quot;-&quot;??_ ;_ @_ "/>
      <fill>
        <patternFill patternType="none">
          <fgColor indexed="64"/>
          <bgColor indexed="65"/>
        </patternFill>
      </fill>
      <alignment horizontal="right" vertical="bottom" textRotation="0" wrapText="0" indent="2" justifyLastLine="0" shrinkToFit="0" readingOrder="0"/>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strike val="0"/>
        <outline val="0"/>
        <shadow val="0"/>
        <u val="none"/>
        <sz val="10"/>
        <name val="Verdana"/>
        <family val="2"/>
        <scheme val="none"/>
      </font>
      <fill>
        <patternFill patternType="none">
          <fgColor indexed="64"/>
          <bgColor auto="1"/>
        </patternFill>
      </fill>
      <alignment horizontal="right" vertical="bottom" textRotation="0" wrapText="0" relativeIndent="1"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strike val="0"/>
        <outline val="0"/>
        <shadow val="0"/>
        <u val="none"/>
        <sz val="10"/>
        <name val="Verdana"/>
        <family val="2"/>
        <scheme val="none"/>
      </font>
      <fill>
        <patternFill patternType="none">
          <fgColor indexed="64"/>
          <bgColor auto="1"/>
        </patternFill>
      </fill>
      <alignment horizontal="general" vertical="bottom" textRotation="0" wrapText="0" indent="0" justifyLastLine="0" shrinkToFit="0" readingOrder="0"/>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strike val="0"/>
        <outline val="0"/>
        <shadow val="0"/>
        <u val="none"/>
        <sz val="10"/>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2"/>
        <color theme="1"/>
        <name val="Verdana"/>
        <family val="2"/>
        <scheme val="none"/>
      </font>
      <fill>
        <patternFill patternType="none">
          <fgColor indexed="64"/>
          <bgColor indexed="65"/>
        </patternFill>
      </fill>
      <protection locked="1" hidden="0"/>
    </dxf>
    <dxf>
      <font>
        <strike val="0"/>
        <outline val="0"/>
        <shadow val="0"/>
        <u val="none"/>
        <sz val="10"/>
        <name val="Verdana"/>
        <family val="2"/>
        <scheme val="none"/>
      </font>
      <fill>
        <patternFill patternType="none">
          <fgColor indexed="64"/>
          <bgColor auto="1"/>
        </patternFill>
      </fill>
      <protection locked="1" hidden="0"/>
    </dxf>
    <dxf>
      <font>
        <strike val="0"/>
        <outline val="0"/>
        <shadow val="0"/>
        <u val="none"/>
        <vertAlign val="baseline"/>
        <sz val="12"/>
        <name val="Verdana"/>
        <family val="2"/>
        <scheme val="none"/>
      </font>
      <protection locked="1" hidden="0"/>
    </dxf>
    <dxf>
      <font>
        <strike val="0"/>
        <outline val="0"/>
        <shadow val="0"/>
        <u val="none"/>
        <sz val="10"/>
        <name val="Verdana"/>
        <family val="2"/>
        <scheme val="none"/>
      </font>
      <fill>
        <patternFill patternType="none">
          <fgColor rgb="FF000000"/>
          <bgColor auto="1"/>
        </patternFill>
      </fill>
      <protection locked="1" hidden="0"/>
    </dxf>
    <dxf>
      <font>
        <b/>
        <i val="0"/>
        <strike val="0"/>
        <condense val="0"/>
        <extend val="0"/>
        <outline val="0"/>
        <shadow val="0"/>
        <u val="none"/>
        <vertAlign val="baseline"/>
        <sz val="10"/>
        <color theme="1"/>
        <name val="Verdana"/>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theme="1"/>
        <name val="Verdana"/>
        <family val="2"/>
        <scheme val="none"/>
      </font>
      <numFmt numFmtId="167" formatCode="_ [$€-413]\ * #,##0.00_ ;_ [$€-413]\ * \-#,##0.00_ ;_ [$€-413]\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167" formatCode="_ [$€-413]\ * #,##0.00_ ;_ [$€-413]\ * \-#,##0.00_ ;_ [$€-413]\ * &quot;-&quot;??_ ;_ @_ "/>
      <fill>
        <patternFill patternType="none">
          <fgColor indexed="64"/>
          <bgColor indexed="65"/>
        </patternFill>
      </fill>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167" formatCode="_ [$€-413]\ * #,##0.00_ ;_ [$€-413]\ * \-#,##0.00_ ;_ [$€-413]\ * &quot;-&quot;??_ ;_ @_ "/>
      <fill>
        <patternFill patternType="none">
          <fgColor indexed="64"/>
          <bgColor indexed="65"/>
        </patternFill>
      </fill>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167" formatCode="_ [$€-413]\ * #,##0.00_ ;_ [$€-413]\ * \-#,##0.00_ ;_ [$€-413]\ * &quot;-&quot;??_ ;_ @_ "/>
      <fill>
        <patternFill patternType="none">
          <fgColor indexed="64"/>
          <bgColor indexed="65"/>
        </patternFill>
      </fill>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167" formatCode="_ [$€-413]\ * #,##0.00_ ;_ [$€-413]\ * \-#,##0.00_ ;_ [$€-413]\ * &quot;-&quot;??_ ;_ @_ "/>
      <fill>
        <patternFill patternType="none">
          <fgColor indexed="64"/>
          <bgColor indexed="65"/>
        </patternFill>
      </fill>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167" formatCode="_ [$€-413]\ * #,##0.00_ ;_ [$€-413]\ * \-#,##0.00_ ;_ [$€-413]\ * &quot;-&quot;??_ ;_ @_ "/>
      <fill>
        <patternFill patternType="none">
          <fgColor indexed="64"/>
          <bgColor indexed="65"/>
        </patternFill>
      </fill>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numFmt numFmtId="167" formatCode="_ [$€-413]\ * #,##0.00_ ;_ [$€-413]\ * \-#,##0.00_ ;_ [$€-413]\ * &quot;-&quot;??_ ;_ @_ "/>
      <fill>
        <patternFill patternType="none">
          <fgColor indexed="64"/>
          <bgColor indexed="65"/>
        </patternFill>
      </fill>
      <protection locked="0" hidden="0"/>
    </dxf>
    <dxf>
      <font>
        <b val="0"/>
        <i val="0"/>
        <strike val="0"/>
        <condense val="0"/>
        <extend val="0"/>
        <outline val="0"/>
        <shadow val="0"/>
        <u val="none"/>
        <vertAlign val="baseline"/>
        <sz val="12"/>
        <color theme="1"/>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rgb="FF000000"/>
        <name val="Verdana"/>
        <family val="2"/>
        <scheme val="none"/>
      </font>
      <numFmt numFmtId="164" formatCode="0.0"/>
      <fill>
        <patternFill patternType="none">
          <fgColor indexed="64"/>
          <bgColor indexed="65"/>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11"/>
        <color theme="1"/>
        <name val="Verdana"/>
        <family val="2"/>
        <scheme val="none"/>
      </font>
      <numFmt numFmtId="165" formatCode="_ * #,##0_ ;_ * \-#,##0_ ;_ * &quot;-&quot;??_ ;_ @_ "/>
      <fill>
        <patternFill patternType="none">
          <fgColor indexed="64"/>
          <bgColor indexed="65"/>
        </patternFill>
      </fill>
      <protection locked="1" hidden="0"/>
    </dxf>
    <dxf>
      <font>
        <strike val="0"/>
        <outline val="0"/>
        <shadow val="0"/>
        <u val="none"/>
        <sz val="10"/>
        <name val="Verdana"/>
        <family val="2"/>
        <scheme val="none"/>
      </font>
      <numFmt numFmtId="165"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2"/>
        <color theme="1"/>
        <name val="Verdana"/>
        <family val="2"/>
        <scheme val="none"/>
      </font>
      <fill>
        <patternFill patternType="none">
          <fgColor indexed="64"/>
          <bgColor indexed="65"/>
        </patternFill>
      </fill>
      <protection locked="1" hidden="0"/>
    </dxf>
    <dxf>
      <font>
        <strike val="0"/>
        <outline val="0"/>
        <shadow val="0"/>
        <u val="none"/>
        <sz val="10"/>
        <name val="Verdana"/>
        <family val="2"/>
        <scheme val="none"/>
      </font>
      <fill>
        <patternFill patternType="none">
          <fgColor indexed="64"/>
          <bgColor auto="1"/>
        </patternFill>
      </fill>
      <protection locked="1" hidden="0"/>
    </dxf>
    <dxf>
      <font>
        <strike val="0"/>
        <outline val="0"/>
        <shadow val="0"/>
        <u val="none"/>
        <vertAlign val="baseline"/>
        <sz val="12"/>
        <name val="Verdana"/>
        <family val="2"/>
        <scheme val="none"/>
      </font>
      <protection locked="1" hidden="0"/>
    </dxf>
    <dxf>
      <font>
        <strike val="0"/>
        <outline val="0"/>
        <shadow val="0"/>
        <u val="none"/>
        <sz val="10"/>
        <name val="Verdana"/>
        <family val="2"/>
        <scheme val="none"/>
      </font>
      <fill>
        <patternFill patternType="none">
          <fgColor rgb="FF000000"/>
          <bgColor auto="1"/>
        </patternFill>
      </fill>
      <protection locked="1" hidden="0"/>
    </dxf>
    <dxf>
      <font>
        <b/>
        <i val="0"/>
        <strike val="0"/>
        <condense val="0"/>
        <extend val="0"/>
        <outline val="0"/>
        <shadow val="0"/>
        <u val="none"/>
        <vertAlign val="baseline"/>
        <sz val="10"/>
        <color theme="1"/>
        <name val="Verdana"/>
        <family val="2"/>
        <scheme val="none"/>
      </font>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bottom/>
      </border>
      <protection locked="1" hidden="0"/>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14</xdr:col>
          <xdr:colOff>2628900</xdr:colOff>
          <xdr:row>42</xdr:row>
          <xdr:rowOff>9525</xdr:rowOff>
        </xdr:from>
        <xdr:to>
          <xdr:col>16</xdr:col>
          <xdr:colOff>428625</xdr:colOff>
          <xdr:row>43</xdr:row>
          <xdr:rowOff>66675</xdr:rowOff>
        </xdr:to>
        <xdr:sp macro="" textlink="">
          <xdr:nvSpPr>
            <xdr:cNvPr id="43009" name="Button 1" hidden="1">
              <a:extLst>
                <a:ext uri="{63B3BB69-23CF-44E3-9099-C40C66FF867C}">
                  <a14:compatExt spid="_x0000_s43009"/>
                </a:ext>
                <a:ext uri="{FF2B5EF4-FFF2-40B4-BE49-F238E27FC236}">
                  <a16:creationId xmlns:a16="http://schemas.microsoft.com/office/drawing/2014/main" id="{00000000-0008-0000-0300-000001A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200" b="0" i="0" u="none" strike="noStrike" baseline="0">
                  <a:solidFill>
                    <a:srgbClr val="000000"/>
                  </a:solidFill>
                  <a:latin typeface="Calibri"/>
                  <a:cs typeface="Calibri"/>
                </a:rPr>
                <a:t>PDF</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76200</xdr:colOff>
          <xdr:row>1</xdr:row>
          <xdr:rowOff>190500</xdr:rowOff>
        </xdr:from>
        <xdr:to>
          <xdr:col>5</xdr:col>
          <xdr:colOff>9525</xdr:colOff>
          <xdr:row>3</xdr:row>
          <xdr:rowOff>0</xdr:rowOff>
        </xdr:to>
        <xdr:sp macro="" textlink="">
          <xdr:nvSpPr>
            <xdr:cNvPr id="31745" name="Button 1" hidden="1">
              <a:extLst>
                <a:ext uri="{63B3BB69-23CF-44E3-9099-C40C66FF867C}">
                  <a14:compatExt spid="_x0000_s31745"/>
                </a:ext>
                <a:ext uri="{FF2B5EF4-FFF2-40B4-BE49-F238E27FC236}">
                  <a16:creationId xmlns:a16="http://schemas.microsoft.com/office/drawing/2014/main" id="{00000000-0008-0000-0500-000001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200" b="0" i="0" u="none" strike="noStrike" baseline="0">
                  <a:solidFill>
                    <a:srgbClr val="000000"/>
                  </a:solidFill>
                  <a:latin typeface="Calibri"/>
                  <a:cs typeface="Calibri"/>
                </a:rPr>
                <a:t>PDF</a:t>
              </a:r>
            </a:p>
          </xdr:txBody>
        </xdr:sp>
        <xdr:clientData fPrintsWithSheet="0"/>
      </xdr:twoCellAnchor>
    </mc:Choice>
    <mc:Fallback/>
  </mc:AlternateContent>
  <xdr:twoCellAnchor editAs="oneCell">
    <xdr:from>
      <xdr:col>9</xdr:col>
      <xdr:colOff>446742</xdr:colOff>
      <xdr:row>0</xdr:row>
      <xdr:rowOff>124012</xdr:rowOff>
    </xdr:from>
    <xdr:to>
      <xdr:col>15</xdr:col>
      <xdr:colOff>31670</xdr:colOff>
      <xdr:row>3</xdr:row>
      <xdr:rowOff>132070</xdr:rowOff>
    </xdr:to>
    <xdr:pic>
      <xdr:nvPicPr>
        <xdr:cNvPr id="3" name="Graphic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3075771" y="124012"/>
          <a:ext cx="2162281" cy="6131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76200</xdr:colOff>
          <xdr:row>1</xdr:row>
          <xdr:rowOff>190500</xdr:rowOff>
        </xdr:from>
        <xdr:to>
          <xdr:col>5</xdr:col>
          <xdr:colOff>9525</xdr:colOff>
          <xdr:row>3</xdr:row>
          <xdr:rowOff>0</xdr:rowOff>
        </xdr:to>
        <xdr:sp macro="" textlink="">
          <xdr:nvSpPr>
            <xdr:cNvPr id="32769" name="Button 1" hidden="1">
              <a:extLst>
                <a:ext uri="{63B3BB69-23CF-44E3-9099-C40C66FF867C}">
                  <a14:compatExt spid="_x0000_s32769"/>
                </a:ext>
                <a:ext uri="{FF2B5EF4-FFF2-40B4-BE49-F238E27FC236}">
                  <a16:creationId xmlns:a16="http://schemas.microsoft.com/office/drawing/2014/main" id="{00000000-0008-0000-0600-0000018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200" b="0" i="0" u="none" strike="noStrike" baseline="0">
                  <a:solidFill>
                    <a:srgbClr val="000000"/>
                  </a:solidFill>
                  <a:latin typeface="Calibri"/>
                  <a:cs typeface="Calibri"/>
                </a:rPr>
                <a:t>PDF</a:t>
              </a:r>
            </a:p>
          </xdr:txBody>
        </xdr:sp>
        <xdr:clientData fPrintsWithSheet="0"/>
      </xdr:twoCellAnchor>
    </mc:Choice>
    <mc:Fallback/>
  </mc:AlternateContent>
  <xdr:twoCellAnchor editAs="oneCell">
    <xdr:from>
      <xdr:col>9</xdr:col>
      <xdr:colOff>469154</xdr:colOff>
      <xdr:row>0</xdr:row>
      <xdr:rowOff>135217</xdr:rowOff>
    </xdr:from>
    <xdr:to>
      <xdr:col>15</xdr:col>
      <xdr:colOff>54082</xdr:colOff>
      <xdr:row>3</xdr:row>
      <xdr:rowOff>143275</xdr:rowOff>
    </xdr:to>
    <xdr:pic>
      <xdr:nvPicPr>
        <xdr:cNvPr id="3" name="Graphic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3098183" y="135217"/>
          <a:ext cx="2162281" cy="6131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76200</xdr:colOff>
          <xdr:row>1</xdr:row>
          <xdr:rowOff>190500</xdr:rowOff>
        </xdr:from>
        <xdr:to>
          <xdr:col>5</xdr:col>
          <xdr:colOff>9525</xdr:colOff>
          <xdr:row>3</xdr:row>
          <xdr:rowOff>0</xdr:rowOff>
        </xdr:to>
        <xdr:sp macro="" textlink="">
          <xdr:nvSpPr>
            <xdr:cNvPr id="33793" name="Button 1" hidden="1">
              <a:extLst>
                <a:ext uri="{63B3BB69-23CF-44E3-9099-C40C66FF867C}">
                  <a14:compatExt spid="_x0000_s33793"/>
                </a:ext>
                <a:ext uri="{FF2B5EF4-FFF2-40B4-BE49-F238E27FC236}">
                  <a16:creationId xmlns:a16="http://schemas.microsoft.com/office/drawing/2014/main" id="{00000000-0008-0000-0700-0000018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200" b="0" i="0" u="none" strike="noStrike" baseline="0">
                  <a:solidFill>
                    <a:srgbClr val="000000"/>
                  </a:solidFill>
                  <a:latin typeface="Calibri"/>
                  <a:cs typeface="Calibri"/>
                </a:rPr>
                <a:t>PDF</a:t>
              </a:r>
            </a:p>
          </xdr:txBody>
        </xdr:sp>
        <xdr:clientData fPrintsWithSheet="0"/>
      </xdr:twoCellAnchor>
    </mc:Choice>
    <mc:Fallback/>
  </mc:AlternateContent>
  <xdr:twoCellAnchor editAs="oneCell">
    <xdr:from>
      <xdr:col>9</xdr:col>
      <xdr:colOff>446742</xdr:colOff>
      <xdr:row>0</xdr:row>
      <xdr:rowOff>135218</xdr:rowOff>
    </xdr:from>
    <xdr:to>
      <xdr:col>15</xdr:col>
      <xdr:colOff>31670</xdr:colOff>
      <xdr:row>3</xdr:row>
      <xdr:rowOff>143276</xdr:rowOff>
    </xdr:to>
    <xdr:pic>
      <xdr:nvPicPr>
        <xdr:cNvPr id="3" name="Graphic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3075771" y="135218"/>
          <a:ext cx="2162281" cy="6131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76200</xdr:colOff>
          <xdr:row>1</xdr:row>
          <xdr:rowOff>190500</xdr:rowOff>
        </xdr:from>
        <xdr:to>
          <xdr:col>5</xdr:col>
          <xdr:colOff>9525</xdr:colOff>
          <xdr:row>3</xdr:row>
          <xdr:rowOff>0</xdr:rowOff>
        </xdr:to>
        <xdr:sp macro="" textlink="">
          <xdr:nvSpPr>
            <xdr:cNvPr id="34817" name="Button 1" hidden="1">
              <a:extLst>
                <a:ext uri="{63B3BB69-23CF-44E3-9099-C40C66FF867C}">
                  <a14:compatExt spid="_x0000_s34817"/>
                </a:ext>
                <a:ext uri="{FF2B5EF4-FFF2-40B4-BE49-F238E27FC236}">
                  <a16:creationId xmlns:a16="http://schemas.microsoft.com/office/drawing/2014/main" id="{00000000-0008-0000-0800-0000018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200" b="0" i="0" u="none" strike="noStrike" baseline="0">
                  <a:solidFill>
                    <a:srgbClr val="000000"/>
                  </a:solidFill>
                  <a:latin typeface="Calibri"/>
                  <a:cs typeface="Calibri"/>
                </a:rPr>
                <a:t>PDF</a:t>
              </a:r>
            </a:p>
          </xdr:txBody>
        </xdr:sp>
        <xdr:clientData fPrintsWithSheet="0"/>
      </xdr:twoCellAnchor>
    </mc:Choice>
    <mc:Fallback/>
  </mc:AlternateContent>
  <xdr:twoCellAnchor editAs="oneCell">
    <xdr:from>
      <xdr:col>9</xdr:col>
      <xdr:colOff>457948</xdr:colOff>
      <xdr:row>0</xdr:row>
      <xdr:rowOff>135217</xdr:rowOff>
    </xdr:from>
    <xdr:to>
      <xdr:col>15</xdr:col>
      <xdr:colOff>42876</xdr:colOff>
      <xdr:row>3</xdr:row>
      <xdr:rowOff>143275</xdr:rowOff>
    </xdr:to>
    <xdr:pic>
      <xdr:nvPicPr>
        <xdr:cNvPr id="3" name="Graphic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3086977" y="135217"/>
          <a:ext cx="2162281" cy="61317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76200</xdr:colOff>
          <xdr:row>1</xdr:row>
          <xdr:rowOff>190500</xdr:rowOff>
        </xdr:from>
        <xdr:to>
          <xdr:col>5</xdr:col>
          <xdr:colOff>9525</xdr:colOff>
          <xdr:row>3</xdr:row>
          <xdr:rowOff>0</xdr:rowOff>
        </xdr:to>
        <xdr:sp macro="" textlink="">
          <xdr:nvSpPr>
            <xdr:cNvPr id="35841" name="Button 1" hidden="1">
              <a:extLst>
                <a:ext uri="{63B3BB69-23CF-44E3-9099-C40C66FF867C}">
                  <a14:compatExt spid="_x0000_s35841"/>
                </a:ext>
                <a:ext uri="{FF2B5EF4-FFF2-40B4-BE49-F238E27FC236}">
                  <a16:creationId xmlns:a16="http://schemas.microsoft.com/office/drawing/2014/main" id="{00000000-0008-0000-0900-0000018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200" b="0" i="0" u="none" strike="noStrike" baseline="0">
                  <a:solidFill>
                    <a:srgbClr val="000000"/>
                  </a:solidFill>
                  <a:latin typeface="Calibri"/>
                  <a:cs typeface="Calibri"/>
                </a:rPr>
                <a:t>PDF</a:t>
              </a:r>
            </a:p>
          </xdr:txBody>
        </xdr:sp>
        <xdr:clientData fPrintsWithSheet="0"/>
      </xdr:twoCellAnchor>
    </mc:Choice>
    <mc:Fallback/>
  </mc:AlternateContent>
  <xdr:twoCellAnchor editAs="oneCell">
    <xdr:from>
      <xdr:col>9</xdr:col>
      <xdr:colOff>491565</xdr:colOff>
      <xdr:row>0</xdr:row>
      <xdr:rowOff>168835</xdr:rowOff>
    </xdr:from>
    <xdr:to>
      <xdr:col>15</xdr:col>
      <xdr:colOff>76493</xdr:colOff>
      <xdr:row>3</xdr:row>
      <xdr:rowOff>176893</xdr:rowOff>
    </xdr:to>
    <xdr:pic>
      <xdr:nvPicPr>
        <xdr:cNvPr id="3" name="Graphic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3120594" y="168835"/>
          <a:ext cx="2162281" cy="61317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76200</xdr:colOff>
          <xdr:row>1</xdr:row>
          <xdr:rowOff>190500</xdr:rowOff>
        </xdr:from>
        <xdr:to>
          <xdr:col>5</xdr:col>
          <xdr:colOff>9525</xdr:colOff>
          <xdr:row>3</xdr:row>
          <xdr:rowOff>0</xdr:rowOff>
        </xdr:to>
        <xdr:sp macro="" textlink="">
          <xdr:nvSpPr>
            <xdr:cNvPr id="36865" name="Button 1" hidden="1">
              <a:extLst>
                <a:ext uri="{63B3BB69-23CF-44E3-9099-C40C66FF867C}">
                  <a14:compatExt spid="_x0000_s36865"/>
                </a:ext>
                <a:ext uri="{FF2B5EF4-FFF2-40B4-BE49-F238E27FC236}">
                  <a16:creationId xmlns:a16="http://schemas.microsoft.com/office/drawing/2014/main" id="{00000000-0008-0000-0A00-0000019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200" b="0" i="0" u="none" strike="noStrike" baseline="0">
                  <a:solidFill>
                    <a:srgbClr val="000000"/>
                  </a:solidFill>
                  <a:latin typeface="Calibri"/>
                  <a:cs typeface="Calibri"/>
                </a:rPr>
                <a:t>PDF</a:t>
              </a:r>
            </a:p>
          </xdr:txBody>
        </xdr:sp>
        <xdr:clientData fPrintsWithSheet="0"/>
      </xdr:twoCellAnchor>
    </mc:Choice>
    <mc:Fallback/>
  </mc:AlternateContent>
  <xdr:twoCellAnchor editAs="oneCell">
    <xdr:from>
      <xdr:col>9</xdr:col>
      <xdr:colOff>424330</xdr:colOff>
      <xdr:row>0</xdr:row>
      <xdr:rowOff>124012</xdr:rowOff>
    </xdr:from>
    <xdr:to>
      <xdr:col>14</xdr:col>
      <xdr:colOff>0</xdr:colOff>
      <xdr:row>3</xdr:row>
      <xdr:rowOff>132070</xdr:rowOff>
    </xdr:to>
    <xdr:pic>
      <xdr:nvPicPr>
        <xdr:cNvPr id="3" name="Graphic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3053359" y="124012"/>
          <a:ext cx="2162281" cy="61317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76200</xdr:colOff>
          <xdr:row>1</xdr:row>
          <xdr:rowOff>190500</xdr:rowOff>
        </xdr:from>
        <xdr:to>
          <xdr:col>5</xdr:col>
          <xdr:colOff>9525</xdr:colOff>
          <xdr:row>3</xdr:row>
          <xdr:rowOff>0</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0B00-0000017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200" b="0" i="0" u="none" strike="noStrike" baseline="0">
                  <a:solidFill>
                    <a:srgbClr val="000000"/>
                  </a:solidFill>
                  <a:latin typeface="Calibri"/>
                  <a:cs typeface="Calibri"/>
                </a:rPr>
                <a:t>PDF</a:t>
              </a:r>
            </a:p>
          </xdr:txBody>
        </xdr:sp>
        <xdr:clientData fPrintsWithSheet="0"/>
      </xdr:twoCellAnchor>
    </mc:Choice>
    <mc:Fallback/>
  </mc:AlternateContent>
  <xdr:twoCellAnchor editAs="oneCell">
    <xdr:from>
      <xdr:col>10</xdr:col>
      <xdr:colOff>547594</xdr:colOff>
      <xdr:row>0</xdr:row>
      <xdr:rowOff>101600</xdr:rowOff>
    </xdr:from>
    <xdr:to>
      <xdr:col>16</xdr:col>
      <xdr:colOff>87699</xdr:colOff>
      <xdr:row>3</xdr:row>
      <xdr:rowOff>109658</xdr:rowOff>
    </xdr:to>
    <xdr:pic>
      <xdr:nvPicPr>
        <xdr:cNvPr id="3" name="Graphic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4095506" y="101600"/>
          <a:ext cx="2162281" cy="61317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DD4A7561-9680-4BEC-8F0F-B868BB13FD6B}" name="TblReferentiescoreT132151617418419" displayName="TblReferentiescoreT132151617418419" ref="A5:J26" totalsRowCount="1" headerRowDxfId="298" dataDxfId="297" totalsRowDxfId="296">
  <tableColumns count="10">
    <tableColumn id="1" xr3:uid="{E3670773-975E-40DE-B0C0-7E64352A13AD}" name="Slibtransport_x000a_van rwzi naar rwzi" totalsRowLabel="Totaal" dataDxfId="295" totalsRowDxfId="294"/>
    <tableColumn id="17" xr3:uid="{DEA5C9B2-2634-4FA7-A8BF-4FB4E14A3C5E}" name="Gemiddeld_x000a_volume _x000a_per jaar_x000a_[ton]" totalsRowFunction="sum" dataDxfId="293" totalsRowDxfId="292"/>
    <tableColumn id="4" xr3:uid="{98232820-5647-4DF5-8ABD-A7516600F648}" name="Afstand_x000a_per rit_x000a_[km]" dataDxfId="291" totalsRowDxfId="290" dataCellStyle="Komma"/>
    <tableColumn id="2" xr3:uid="{C00A6E5F-BD07-4300-8A4D-5645506895B4}" name="Transport-_x000a_kosten*_x000a_jaar 1_x000a_[€/ton]" dataDxfId="289" totalsRowDxfId="288"/>
    <tableColumn id="8" xr3:uid="{9C283862-A09B-49CA-8868-D97BD0D79C1E}" name="Transport-_x000a_kosten*_x000a_jaar 2_x000a_[€/ton]" dataDxfId="287" totalsRowDxfId="286"/>
    <tableColumn id="9" xr3:uid="{EAD3B6C9-CD84-4712-AF34-FD163A7511C5}" name="Transport-_x000a_kosten*_x000a_jaar 3_x000a_[€/ton]" dataDxfId="285" totalsRowDxfId="284"/>
    <tableColumn id="10" xr3:uid="{5E649CD8-2F00-418E-822E-8260C88A2452}" name="Transport-_x000a_kosten*_x000a_jaar 4_x000a_[€/ton]" dataDxfId="283" totalsRowDxfId="282"/>
    <tableColumn id="11" xr3:uid="{E4B6724A-711E-4B40-8CB7-08D6597E73F0}" name="Transport-_x000a_kosten*_x000a_jaar 5_x000a_[€/ton]" dataDxfId="281" totalsRowDxfId="280"/>
    <tableColumn id="12" xr3:uid="{5779D90A-17E5-452D-90EC-97602D5295A5}" name="Transport-_x000a_kosten*_x000a_jaar 6_x000a_[€/ton]" dataDxfId="279" totalsRowDxfId="278"/>
    <tableColumn id="6" xr3:uid="{A3F97C92-E2D8-474A-B847-1EA7E15A1470}" name="Transportkosten_x000a_totaal_x000a_[€]" totalsRowFunction="sum" dataDxfId="277" totalsRowDxfId="276">
      <calculatedColumnFormula>SUM(TblReferentiescoreT132151617418419[[#This Row],[Transport-
kosten*
jaar 1
'[€/ton']]:[Transport-
kosten*
jaar 6
'[€/ton']]])*TblReferentiescoreT132151617418419[[#This Row],[Gemiddeld
volume 
per jaar
'[ton']]]</calculatedColumnFormula>
    </tableColumn>
  </tableColumns>
  <tableStyleInfo name="TableStyleMedium1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01D4131-1F3D-4A9B-B63D-AC6845671687}" name="TblBezettingsgraad" displayName="TblBezettingsgraad" ref="A2:A3" totalsRowShown="0" headerRowDxfId="30" dataDxfId="29">
  <autoFilter ref="A2:A3" xr:uid="{301D4131-1F3D-4A9B-B63D-AC6845671687}"/>
  <tableColumns count="1">
    <tableColumn id="1" xr3:uid="{132461E0-8CA3-4D5C-ACA3-BEFF8FAAF934}" name="bezettingsgraad" dataDxfId="28"/>
  </tableColumns>
  <tableStyleInfo name="TableStyleMedium14"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A919489-0534-4382-A3F6-95748EFF5CB1}" name="TblMotortype" displayName="TblMotortype" ref="A11:B18" totalsRowShown="0" headerRowDxfId="27">
  <autoFilter ref="A11:B18" xr:uid="{6A919489-0534-4382-A3F6-95748EFF5CB1}"/>
  <tableColumns count="2">
    <tableColumn id="1" xr3:uid="{C0D2C6E7-DFF1-4131-90EC-43C9D4823871}" name="Motortype"/>
    <tableColumn id="2" xr3:uid="{7781658D-DC0A-4507-AA66-1D31D4404A68}" name="Waardering "/>
  </tableColumns>
  <tableStyleInfo name="TableStyleMedium1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2F9467D-7579-4330-81DA-6ECBA53737CE}" name="TblHybride" displayName="TblHybride" ref="A20:A21" totalsRowShown="0">
  <autoFilter ref="A20:A21" xr:uid="{02F9467D-7579-4330-81DA-6ECBA53737CE}"/>
  <tableColumns count="1">
    <tableColumn id="1" xr3:uid="{09BBED61-284D-4254-945B-4BFA83F82669}" name="Waardering hybride" dataDxfId="26"/>
  </tableColumns>
  <tableStyleInfo name="TableStyleMedium14"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9AE54E1-8A53-495F-8FA9-AEE210C01294}" name="TblHND" displayName="TblHND" ref="A23:A24" totalsRowShown="0">
  <autoFilter ref="A23:A24" xr:uid="{59AE54E1-8A53-495F-8FA9-AEE210C01294}"/>
  <tableColumns count="1">
    <tableColumn id="1" xr3:uid="{DDC8F872-09F6-4D5B-80BD-72C029E33B7A}" name="Waardering HND" dataDxfId="25"/>
  </tableColumns>
  <tableStyleInfo name="TableStyleMedium14"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8E148C4-DC0F-45D1-9D41-95FC2A6F9857}" name="TblBrandstof" displayName="TblBrandstof" ref="D3:Q23" totalsRowShown="0" headerRowDxfId="24" dataDxfId="23">
  <autoFilter ref="D3:Q23" xr:uid="{D8E148C4-DC0F-45D1-9D41-95FC2A6F9857}"/>
  <tableColumns count="14">
    <tableColumn id="1" xr3:uid="{79E66F91-E640-4AC3-A0D0-32042DF2DFA6}" name="Categorie" dataDxfId="22"/>
    <tableColumn id="2" xr3:uid="{5945778C-FD1D-447F-9506-CA10F30C6286}" name="Brandstof" dataDxfId="21"/>
    <tableColumn id="3" xr3:uid="{656955A5-7D95-4107-B54B-727A6F045287}" name="Eenheid" dataDxfId="20"/>
    <tableColumn id="4" xr3:uid="{45C39142-7CA3-4074-902D-3A0CDD06DDA4}" name="Energiegebruik" dataDxfId="19"/>
    <tableColumn id="5" xr3:uid="{9C691327-CF5C-47FD-8279-2FAF2849296A}" name="Stookwaarde" dataDxfId="18"/>
    <tableColumn id="6" xr3:uid="{7CBC59B9-4635-4CAE-9671-F7D247A120B9}" name="eenheid2" dataDxfId="17"/>
    <tableColumn id="7" xr3:uid="{AC346A01-58C6-4DB7-9009-46B7C4559B25}" name="Dichtheid" dataDxfId="16"/>
    <tableColumn id="8" xr3:uid="{A38DCBA3-CD98-4F04-8FDA-CE074B5204DF}" name="energie-inhoud " dataDxfId="15"/>
    <tableColumn id="9" xr3:uid="{8050C3DC-D47F-4E7B-8734-90968AA982B7}" name="Gewicht" dataDxfId="14"/>
    <tableColumn id="10" xr3:uid="{D2E5B614-0891-4ED1-A394-E30D3BEB96D7}" name="Hoeveelheid" dataDxfId="13">
      <calculatedColumnFormula>$K$4/H4</calculatedColumnFormula>
    </tableColumn>
    <tableColumn id="11" xr3:uid="{DCEA5958-8BB6-455A-8E82-0049BC039882}" name="CO2" dataDxfId="12">
      <calculatedColumnFormula>M4*G4</calculatedColumnFormula>
    </tableColumn>
    <tableColumn id="12" xr3:uid="{85C52F95-52CF-4CDD-B70E-F4AE6397A671}" name="CO2 uitstoot verg 1l diesel" dataDxfId="11">
      <calculatedColumnFormula>N4/$G$4</calculatedColumnFormula>
    </tableColumn>
    <tableColumn id="13" xr3:uid="{CFB431F0-B879-43B4-B9C1-5BC91E221A89}" name="Opmerkingen" dataDxfId="10"/>
    <tableColumn id="14" xr3:uid="{B2BDE5AE-6722-4E96-8616-9677FE8C0C6D}" name="Waardering Euroniveau" dataDxfId="9"/>
  </tableColumns>
  <tableStyleInfo name="TableStyleMedium1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2B348CA-0C75-4291-93F6-B2903D619F55}" name="TblMotortypeKeuze" displayName="TblMotortypeKeuze" ref="A27:E36" totalsRowShown="0" headerRowDxfId="8" dataDxfId="7">
  <autoFilter ref="A27:E36" xr:uid="{12B348CA-0C75-4291-93F6-B2903D619F55}"/>
  <tableColumns count="5">
    <tableColumn id="1" xr3:uid="{410826FB-094B-4248-A787-06199BEF20AE}" name="Stage" dataDxfId="6"/>
    <tableColumn id="2" xr3:uid="{3ABFC02F-AA3D-4B78-A88A-95034AC7547B}" name="Elektrisch" dataDxfId="5"/>
    <tableColumn id="3" xr3:uid="{37EC8B98-185D-4F97-A190-D3E526B27526}" name="Overig" dataDxfId="4"/>
    <tableColumn id="4" xr3:uid="{CC87FD3A-8944-4B7A-8A67-0C595DBA03EF}" name="Diesel" dataDxfId="3"/>
    <tableColumn id="5" xr3:uid="{83524185-6DB6-44F9-93E6-17579D243AA5}" name="Groene stroom" dataDxfId="2"/>
  </tableColumns>
  <tableStyleInfo name="TableStyleMedium14"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BDD904B-6033-40CD-B2D0-397D5F5C3CD7}" name="TblType" displayName="TblType" ref="A39:B45" totalsRowShown="0" headerRowDxfId="1">
  <autoFilter ref="A39:B45" xr:uid="{6BDD904B-6033-40CD-B2D0-397D5F5C3CD7}"/>
  <tableColumns count="2">
    <tableColumn id="1" xr3:uid="{6C11E096-891E-4D4B-8EA0-D3BA61A25C59}" name="Type"/>
    <tableColumn id="2" xr3:uid="{BCAC5F91-63AB-4EE4-8E18-37860CBEA542}" name="Energievraag per tonkm (MJ/tonkm)" dataDxfId="0"/>
  </tableColumns>
  <tableStyleInfo name="TableStyleMedium14"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2CF563A-CC9D-4812-8606-DE21A26D854C}" name="TblMotortypeT" displayName="TblMotortypeT" ref="A47:B52" totalsRowShown="0">
  <autoFilter ref="A47:B52" xr:uid="{52CF563A-CC9D-4812-8606-DE21A26D854C}"/>
  <tableColumns count="2">
    <tableColumn id="1" xr3:uid="{C270C311-833C-4B9E-9DA5-B2220F616D82}" name="Motortype"/>
    <tableColumn id="2" xr3:uid="{A8F352BB-8B54-47B6-8AA3-C92D57C543CB}" name="Waardering"/>
  </tableColumns>
  <tableStyleInfo name="TableStyleMedium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1DA00A8-4552-4618-A972-C4967CFD2330}" name="TblReferentiescoreT1321516174184" displayName="TblReferentiescoreT1321516174184" ref="A5:P26" totalsRowCount="1" headerRowDxfId="275" dataDxfId="274" totalsRowDxfId="273">
  <tableColumns count="16">
    <tableColumn id="1" xr3:uid="{7982D18B-26F5-4998-9CD2-ACF743019759}" name="Slibtransport_x000a_van rwzi naar rwzi" totalsRowLabel="Totaal" dataDxfId="272" totalsRowDxfId="271"/>
    <tableColumn id="17" xr3:uid="{12DD9E48-03A4-4899-94E5-82EE8E55C322}" name="Gemiddeld_x000a_volume _x000a_per jaar_x000a_[ton]" totalsRowFunction="sum" dataDxfId="270" totalsRowDxfId="269"/>
    <tableColumn id="2" xr3:uid="{8D2454B7-D78E-45EB-A3E9-2E22B4F2BF46}" name="Type transportmiddel" dataDxfId="268" totalsRowDxfId="267"/>
    <tableColumn id="3" xr3:uid="{56993A53-D01D-4767-A905-9F11BE2E2C6A}" name="Gemiddeld_x000a_volume_x000a_per rit_x000a_[ton]" dataDxfId="266" totalsRowDxfId="265"/>
    <tableColumn id="5" xr3:uid="{A61844AA-178F-414E-8B66-6919BF62DC07}" name="Aantal_x000a_ritten" dataDxfId="264" totalsRowDxfId="263" dataCellStyle="Komma">
      <calculatedColumnFormula>CEILING(B6/D6,1)</calculatedColumnFormula>
    </tableColumn>
    <tableColumn id="4" xr3:uid="{829BCBAA-75BE-4462-8115-ABBC818A2A11}" name="Afstand_x000a_per rit_x000a_[km]" dataDxfId="262" totalsRowDxfId="261"/>
    <tableColumn id="10" xr3:uid="{DAB24A9C-8735-48E8-863E-CEC9834DF495}" name="Motortype" dataDxfId="260" totalsRowDxfId="259" dataCellStyle="Komma"/>
    <tableColumn id="9" xr3:uid="{5AE35909-7337-456E-B121-BE467465B085}" name="Energiebron" dataDxfId="258" totalsRowDxfId="257"/>
    <tableColumn id="15" xr3:uid="{B8B17E83-3932-4422-A144-16E62549F184}" name="2e energiebron" dataDxfId="256" totalsRowDxfId="255"/>
    <tableColumn id="11" xr3:uid="{105B7AC4-0A10-48D2-9BBC-250A88B9D461}" name="Aandeel_x000a_2e energie_x000a_-bron" dataDxfId="254" totalsRowDxfId="253" dataCellStyle="Procent"/>
    <tableColumn id="13" xr3:uid="{2830A926-899F-4068-95B1-B6025331E008}" name="Hybride" dataDxfId="252" totalsRowDxfId="251"/>
    <tableColumn id="8" xr3:uid="{13915C66-4857-42D5-A217-54BD7248F7B1}" name="Energie-vraag (MJ)" dataDxfId="250" totalsRowDxfId="249">
      <calculatedColumnFormula>IFERROR(TblReferentiescoreT1321516174184[[#This Row],[Aantal
ritten]]*TblReferentiescoreT1321516174184[[#This Row],[Afstand
per rit
'[km']]]*TblReferentiescoreT1321516174184[[#This Row],[Gemiddeld
volume
per rit
'[ton']]]*VLOOKUP(TblReferentiescoreT1321516174184[[#This Row],[Type transportmiddel]],TblType[],2,0),"")</calculatedColumnFormula>
    </tableColumn>
    <tableColumn id="7" xr3:uid="{94FE355B-AB15-4CC9-807D-302D5DE0FF8A}" name="Referentie-score" totalsRowFunction="sum" dataDxfId="248" totalsRowDxfId="247">
      <calculatedColumnFormula>IFERROR(TblReferentiescoreT1321516174184[[#This Row],[Energie-vraag (MJ)]]/stookwaarde_diesel/dichtheid_diesel*emissiefactor_diesel,"")</calculatedColumnFormula>
    </tableColumn>
    <tableColumn id="6" xr3:uid="{61F4C609-7047-42D0-8E71-E6EF7A4F18B3}" name="CO2-impact_x000a_[kg CO2]" totalsRowFunction="sum" dataDxfId="246" totalsRowDxfId="245" dataCellStyle="Komma">
      <calculatedColumnFormula>IFERROR(
     TblReferentiescoreT1321516174184[[#This Row],[Referentie-score]]*
          ((100%-TblReferentiescoreT1321516174184[[#This Row],[Aandeel
2e energie
-bron]])*INDEX(TblBrandstof[CO2 uitstoot verg 1l diesel],MATCH(TblReferentiescoreT1321516174184[[#This Row],[Energiebron]],TblBrandstof[Brandstof],0))+
          TblReferentiescoreT1321516174184[[#This Row],[Aandeel
2e energie
-bron]]*INDEX(TblBrandstof[CO2 uitstoot verg 1l diesel],MATCH(IF(OR(TblReferentiescoreT1321516174184[[#This Row],[2e energiebron]]="N.v.t.",TblReferentiescoreT1321516174184[[#This Row],[2e energiebron]]=""),TblReferentiescoreT1321516174184[[#This Row],[Energiebron]],TblReferentiescoreT1321516174184[[#This Row],[2e energiebron]]),TblBrandstof[Brandstof],0)))*
      IF(OR(TblReferentiescoreT1321516174184[[#This Row],[Motortype]]="Elektrisch",TblReferentiescoreT1321516174184[[#This Row],[Hybride]]="Ja"),TblHybride[Waardering hybride],1),"")</calculatedColumnFormula>
    </tableColumn>
    <tableColumn id="12" xr3:uid="{C87CF744-01B2-4849-92CE-39F1FBC95EC0}" name="Transport_x000a_score" totalsRowFunction="sum" dataDxfId="244" totalsRowDxfId="243">
      <calculatedColumnFormula>IFERROR(TblReferentiescoreT1321516174184[[#This Row],[CO2-impact
'[kg CO2']]]*IF(INDEX(TblBrandstof[Waardering Euroniveau],MATCH(TblReferentiescoreT1321516174184[[#This Row],[Energiebron]],TblBrandstof[Brandstof],0)),VLOOKUP(TblReferentiescoreT1321516174184[[#This Row],[Motortype]],TblMotortypeT[],2,0),1),"")</calculatedColumnFormula>
    </tableColumn>
    <tableColumn id="14" xr3:uid="{0E744273-60D5-46F7-8ECB-C142C49EB0B6}" name="Controle_x000a_melding" dataDxfId="242" totalsRowDxfId="241">
      <calculatedColumnFormula>IF(TblReferentiescoreT1321516174184[[#This Row],[Slibtransport
van rwzi naar rwzi]]&lt;&gt;"",
    IF(TblReferentiescoreT1321516174184[[#This Row],[Gemiddeld
volume
per rit
'[ton']]]="","Gemiddelde vracht per volle rit niet gevuld",
    IF(TblReferentiescoreT1321516174184[[#This Row],[Afstand
per rit
'[km']]]="","Afstand per rit niet gevuld",
    IF(TblReferentiescoreT1321516174184[[#This Row],[Aantal
ritten]]="","Aantal ritten niet gevuld",""))),
  "")</calculatedColumnFormula>
    </tableColumn>
  </tableColumns>
  <tableStyleInfo name="TableStyleMedium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F19CA39-1E66-4949-8573-C48BEA3BB270}" name="TblReferentiescoreT13215161741848" displayName="TblReferentiescoreT13215161741848" ref="A5:P26" totalsRowCount="1" headerRowDxfId="240" dataDxfId="239" totalsRowDxfId="238">
  <tableColumns count="16">
    <tableColumn id="1" xr3:uid="{E949E4DF-3822-45E2-B416-7FFA85A902EE}" name="Slibtransport_x000a_van rwzi naar rwzi" totalsRowLabel="Totaal" dataDxfId="237" totalsRowDxfId="236"/>
    <tableColumn id="17" xr3:uid="{95F62561-DD01-485D-9BC0-9FF288CC0269}" name="Gemiddeld_x000a_volume _x000a_per jaar_x000a_[ton]" totalsRowFunction="sum" dataDxfId="235" totalsRowDxfId="234"/>
    <tableColumn id="2" xr3:uid="{D383B4B6-B1E9-4809-86B8-758B53FD5905}" name="Type transportmiddel" dataDxfId="233" totalsRowDxfId="232"/>
    <tableColumn id="3" xr3:uid="{1084B218-C3B0-40CB-A8E2-BBA1A082B357}" name="Gemiddeld_x000a_volume_x000a_per rit_x000a_[ton]" dataDxfId="231" totalsRowDxfId="230"/>
    <tableColumn id="5" xr3:uid="{C922E1A1-28A0-472F-862B-4674D803C4B2}" name="Aantal_x000a_ritten" dataDxfId="229" totalsRowDxfId="228" dataCellStyle="Komma">
      <calculatedColumnFormula>CEILING(B6/D6,1)</calculatedColumnFormula>
    </tableColumn>
    <tableColumn id="4" xr3:uid="{23098F3A-DFB8-40ED-87AD-7A32AE5BD14A}" name="Afstand_x000a_per rit_x000a_[km]" dataDxfId="227" totalsRowDxfId="226"/>
    <tableColumn id="10" xr3:uid="{9AC2994C-65DF-4CEF-AC77-ABA1B4362F24}" name="Motortype" dataDxfId="225" totalsRowDxfId="224" dataCellStyle="Komma"/>
    <tableColumn id="9" xr3:uid="{6EF0DC37-8504-404B-A402-732CA1388D69}" name="Energiebron" dataDxfId="223" totalsRowDxfId="222"/>
    <tableColumn id="15" xr3:uid="{32C909DB-DC2D-4ABA-AC3E-065DCE85BDA1}" name="2e energiebron" dataDxfId="221" totalsRowDxfId="220"/>
    <tableColumn id="11" xr3:uid="{0DA308E0-AA05-47D2-AF3C-CC91C7B5CCDE}" name="Aandeel_x000a_2e energie_x000a_-bron" dataDxfId="219" totalsRowDxfId="218" dataCellStyle="Procent"/>
    <tableColumn id="13" xr3:uid="{A326607B-BFCC-4C10-AE4C-321A9657B51A}" name="Hybride" dataDxfId="217" totalsRowDxfId="216"/>
    <tableColumn id="8" xr3:uid="{36DCAA57-3F71-4BD2-AB48-8CADA7BD1DB5}" name="Energie-vraag (MJ)" dataDxfId="215" totalsRowDxfId="214">
      <calculatedColumnFormula>IFERROR(TblReferentiescoreT13215161741848[[#This Row],[Aantal
ritten]]*TblReferentiescoreT13215161741848[[#This Row],[Afstand
per rit
'[km']]]*TblReferentiescoreT13215161741848[[#This Row],[Gemiddeld
volume
per rit
'[ton']]]*VLOOKUP(TblReferentiescoreT13215161741848[[#This Row],[Type transportmiddel]],TblType[],2,0),"")</calculatedColumnFormula>
    </tableColumn>
    <tableColumn id="7" xr3:uid="{AF271B44-9638-4A50-A60D-006B93DDEE07}" name="Referentie-score" totalsRowFunction="sum" dataDxfId="213" totalsRowDxfId="212">
      <calculatedColumnFormula>IFERROR(TblReferentiescoreT13215161741848[[#This Row],[Energie-vraag (MJ)]]/stookwaarde_diesel/dichtheid_diesel*emissiefactor_diesel,"")</calculatedColumnFormula>
    </tableColumn>
    <tableColumn id="6" xr3:uid="{52348510-2787-45AC-853C-7B554268296E}" name="CO2-impact_x000a_[kg CO2]" totalsRowFunction="sum" dataDxfId="211" totalsRowDxfId="210" dataCellStyle="Komma">
      <calculatedColumnFormula>IFERROR(
     TblReferentiescoreT13215161741848[[#This Row],[Referentie-score]]*
          ((100%-TblReferentiescoreT13215161741848[[#This Row],[Aandeel
2e energie
-bron]])*INDEX(TblBrandstof[CO2 uitstoot verg 1l diesel],MATCH(TblReferentiescoreT13215161741848[[#This Row],[Energiebron]],TblBrandstof[Brandstof],0))+
          TblReferentiescoreT13215161741848[[#This Row],[Aandeel
2e energie
-bron]]*INDEX(TblBrandstof[CO2 uitstoot verg 1l diesel],MATCH(IF(OR(TblReferentiescoreT13215161741848[[#This Row],[2e energiebron]]="N.v.t.",TblReferentiescoreT13215161741848[[#This Row],[2e energiebron]]=""),TblReferentiescoreT13215161741848[[#This Row],[Energiebron]],TblReferentiescoreT13215161741848[[#This Row],[2e energiebron]]),TblBrandstof[Brandstof],0)))*
      IF(OR(TblReferentiescoreT13215161741848[[#This Row],[Motortype]]="Elektrisch",TblReferentiescoreT13215161741848[[#This Row],[Hybride]]="Ja"),TblHybride[Waardering hybride],1),"")</calculatedColumnFormula>
    </tableColumn>
    <tableColumn id="12" xr3:uid="{53A17039-9843-43E6-83F0-631C36CDD830}" name="Transport_x000a_score" totalsRowFunction="sum" dataDxfId="209" totalsRowDxfId="208">
      <calculatedColumnFormula>IFERROR(TblReferentiescoreT13215161741848[[#This Row],[CO2-impact
'[kg CO2']]]*IF(INDEX(TblBrandstof[Waardering Euroniveau],MATCH(TblReferentiescoreT13215161741848[[#This Row],[Energiebron]],TblBrandstof[Brandstof],0)),VLOOKUP(TblReferentiescoreT13215161741848[[#This Row],[Motortype]],TblMotortypeT[],2,0),1),"")</calculatedColumnFormula>
    </tableColumn>
    <tableColumn id="14" xr3:uid="{7288A843-0E93-4B95-9BDC-821964D405DD}" name="Controle_x000a_melding" dataDxfId="207" totalsRowDxfId="206">
      <calculatedColumnFormula>IF(TblReferentiescoreT13215161741848[[#This Row],[Slibtransport
van rwzi naar rwzi]]&lt;&gt;"",
    IF(TblReferentiescoreT13215161741848[[#This Row],[Gemiddeld
volume
per rit
'[ton']]]="","Gemiddelde vracht per volle rit niet gevuld",
    IF(TblReferentiescoreT13215161741848[[#This Row],[Afstand
per rit
'[km']]]="","Afstand per rit niet gevuld",
    IF(TblReferentiescoreT13215161741848[[#This Row],[Aantal
ritten]]="","Aantal ritten niet gevuld",""))),
  "")</calculatedColumnFormula>
    </tableColumn>
  </tableColumns>
  <tableStyleInfo name="TableStyleMedium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14B6CB3-8EAF-4942-91EA-B6C4E0CF5647}" name="TblReferentiescoreT1321516174184813" displayName="TblReferentiescoreT1321516174184813" ref="A5:P26" totalsRowCount="1" headerRowDxfId="205" dataDxfId="204" totalsRowDxfId="203">
  <tableColumns count="16">
    <tableColumn id="1" xr3:uid="{6860B4D7-60C7-4D1B-A138-21B522697F82}" name="Slibtransport_x000a_van rwzi naar rwzi" totalsRowLabel="Totaal" dataDxfId="202" totalsRowDxfId="201"/>
    <tableColumn id="17" xr3:uid="{DD39E338-863F-4370-8D26-E9A23A011CE1}" name="Gemiddeld_x000a_volume _x000a_per jaar_x000a_[ton]" totalsRowFunction="sum" dataDxfId="200" totalsRowDxfId="199"/>
    <tableColumn id="2" xr3:uid="{BFC10ABB-19D0-4C3E-AE52-710227762383}" name="Type transportmiddel" dataDxfId="198" totalsRowDxfId="197"/>
    <tableColumn id="3" xr3:uid="{E6330D1D-97EF-4624-AB47-B432F6F29FF8}" name="Gemiddeld_x000a_volume_x000a_per rit_x000a_[ton]" dataDxfId="196" totalsRowDxfId="195"/>
    <tableColumn id="5" xr3:uid="{C0AA137F-384C-483B-A0F0-4CB568CFD7A1}" name="Aantal_x000a_ritten" dataDxfId="194" totalsRowDxfId="193" dataCellStyle="Komma">
      <calculatedColumnFormula>CEILING(B6/D6,1)</calculatedColumnFormula>
    </tableColumn>
    <tableColumn id="4" xr3:uid="{8D6FA514-5108-47F3-9AE8-FB528323E5F7}" name="Afstand_x000a_per rit_x000a_[km]" dataDxfId="192" totalsRowDxfId="191"/>
    <tableColumn id="10" xr3:uid="{327936F9-9286-4A90-936E-6E543805E3DA}" name="Motortype" dataDxfId="190" totalsRowDxfId="189" dataCellStyle="Komma"/>
    <tableColumn id="9" xr3:uid="{00A84F15-0633-417F-9E00-05218A551EBF}" name="Energiebron" dataDxfId="188" totalsRowDxfId="187"/>
    <tableColumn id="15" xr3:uid="{BC0FF52A-568B-4632-A4C6-824FDCE5202C}" name="2e energiebron" dataDxfId="186" totalsRowDxfId="185"/>
    <tableColumn id="11" xr3:uid="{AE7BE73F-C4BF-466B-8C77-F196B6FD7327}" name="Aandeel_x000a_2e energie_x000a_-bron" dataDxfId="184" totalsRowDxfId="183" dataCellStyle="Procent"/>
    <tableColumn id="13" xr3:uid="{37CC629C-C8AA-40A5-8273-853D4D86942E}" name="Hybride" dataDxfId="182" totalsRowDxfId="181"/>
    <tableColumn id="8" xr3:uid="{341FEA50-A187-48FC-8A19-912EC1D5D8E4}" name="Energie-vraag (MJ)" dataDxfId="180" totalsRowDxfId="179">
      <calculatedColumnFormula>IFERROR(TblReferentiescoreT1321516174184813[[#This Row],[Aantal
ritten]]*TblReferentiescoreT1321516174184813[[#This Row],[Afstand
per rit
'[km']]]*TblReferentiescoreT1321516174184813[[#This Row],[Gemiddeld
volume
per rit
'[ton']]]*VLOOKUP(TblReferentiescoreT1321516174184813[[#This Row],[Type transportmiddel]],TblType[],2,0),"")</calculatedColumnFormula>
    </tableColumn>
    <tableColumn id="7" xr3:uid="{C0D5D89C-9DDA-4B93-9E52-9EBB0FEAA0F9}" name="Referentie-score" totalsRowFunction="sum" dataDxfId="178" totalsRowDxfId="177">
      <calculatedColumnFormula>IFERROR(TblReferentiescoreT1321516174184813[[#This Row],[Energie-vraag (MJ)]]/stookwaarde_diesel/dichtheid_diesel*emissiefactor_diesel,"")</calculatedColumnFormula>
    </tableColumn>
    <tableColumn id="6" xr3:uid="{3BE799F0-4297-498C-B696-D1BD8FAE6183}" name="CO2-impact_x000a_[kg CO2]" totalsRowFunction="sum" dataDxfId="176" totalsRowDxfId="175" dataCellStyle="Komma">
      <calculatedColumnFormula>IFERROR(
     TblReferentiescoreT1321516174184813[[#This Row],[Referentie-score]]*
          ((100%-TblReferentiescoreT1321516174184813[[#This Row],[Aandeel
2e energie
-bron]])*INDEX(TblBrandstof[CO2 uitstoot verg 1l diesel],MATCH(TblReferentiescoreT1321516174184813[[#This Row],[Energiebron]],TblBrandstof[Brandstof],0))+
          TblReferentiescoreT1321516174184813[[#This Row],[Aandeel
2e energie
-bron]]*INDEX(TblBrandstof[CO2 uitstoot verg 1l diesel],MATCH(IF(OR(TblReferentiescoreT1321516174184813[[#This Row],[2e energiebron]]="N.v.t.",TblReferentiescoreT1321516174184813[[#This Row],[2e energiebron]]=""),TblReferentiescoreT1321516174184813[[#This Row],[Energiebron]],TblReferentiescoreT1321516174184813[[#This Row],[2e energiebron]]),TblBrandstof[Brandstof],0)))*
      IF(OR(TblReferentiescoreT1321516174184813[[#This Row],[Motortype]]="Elektrisch",TblReferentiescoreT1321516174184813[[#This Row],[Hybride]]="Ja"),TblHybride[Waardering hybride],1),"")</calculatedColumnFormula>
    </tableColumn>
    <tableColumn id="12" xr3:uid="{56F2E017-1B20-46EB-94FE-58753A30B796}" name="Transport_x000a_score" totalsRowFunction="sum" dataDxfId="174" totalsRowDxfId="173">
      <calculatedColumnFormula>IFERROR(TblReferentiescoreT1321516174184813[[#This Row],[CO2-impact
'[kg CO2']]]*IF(INDEX(TblBrandstof[Waardering Euroniveau],MATCH(TblReferentiescoreT1321516174184813[[#This Row],[Energiebron]],TblBrandstof[Brandstof],0)),VLOOKUP(TblReferentiescoreT1321516174184813[[#This Row],[Motortype]],TblMotortypeT[],2,0),1),"")</calculatedColumnFormula>
    </tableColumn>
    <tableColumn id="14" xr3:uid="{8325C07B-AF74-4288-8631-800A48B1A336}" name="Controle_x000a_melding" dataDxfId="172" totalsRowDxfId="171">
      <calculatedColumnFormula>IF(TblReferentiescoreT1321516174184813[[#This Row],[Slibtransport
van rwzi naar rwzi]]&lt;&gt;"",
    IF(TblReferentiescoreT1321516174184813[[#This Row],[Gemiddeld
volume
per rit
'[ton']]]="","Gemiddelde vracht per volle rit niet gevuld",
    IF(TblReferentiescoreT1321516174184813[[#This Row],[Afstand
per rit
'[km']]]="","Afstand per rit niet gevuld",
    IF(TblReferentiescoreT1321516174184813[[#This Row],[Aantal
ritten]]="","Aantal ritten niet gevuld",""))),
  "")</calculatedColumnFormula>
    </tableColumn>
  </tableColumns>
  <tableStyleInfo name="TableStyleMedium1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EAFF051-C075-4E99-99BB-2CC3CF5D205A}" name="TblReferentiescoreT132151617418481315" displayName="TblReferentiescoreT132151617418481315" ref="A5:P26" totalsRowCount="1" headerRowDxfId="170" dataDxfId="169" totalsRowDxfId="168">
  <tableColumns count="16">
    <tableColumn id="1" xr3:uid="{CF64AFA0-9082-4E7E-BA04-10535315BADC}" name="Slibtransport_x000a_van rwzi naar rwzi" totalsRowLabel="Totaal" dataDxfId="167" totalsRowDxfId="166"/>
    <tableColumn id="17" xr3:uid="{ABEC17C6-259C-4166-B66C-27798120ADC3}" name="Gemiddeld_x000a_volume _x000a_per jaar_x000a_[ton]" totalsRowFunction="sum" dataDxfId="165" totalsRowDxfId="164"/>
    <tableColumn id="2" xr3:uid="{6A252D2E-131A-4E8F-A7D9-AC0A2C467E9E}" name="Type transportmiddel" dataDxfId="163" totalsRowDxfId="162"/>
    <tableColumn id="3" xr3:uid="{51A2036A-5CEA-464D-BB71-62AA73E1DE61}" name="Gemiddeld_x000a_volume_x000a_per rit_x000a_[ton]" dataDxfId="161" totalsRowDxfId="160"/>
    <tableColumn id="5" xr3:uid="{768F2999-82E1-43FB-8BE8-D3CF80A6F687}" name="Aantal_x000a_ritten" dataDxfId="159" totalsRowDxfId="158" dataCellStyle="Komma">
      <calculatedColumnFormula>CEILING(B6/D6,1)</calculatedColumnFormula>
    </tableColumn>
    <tableColumn id="4" xr3:uid="{A14271E2-DEB1-4226-91AE-B9B2B45DC0E3}" name="Afstand_x000a_per rit_x000a_[km]" dataDxfId="157" totalsRowDxfId="156"/>
    <tableColumn id="10" xr3:uid="{CEF0224E-0C9F-4313-B24C-3FECF57A948F}" name="Motortype" dataDxfId="155" totalsRowDxfId="154" dataCellStyle="Komma"/>
    <tableColumn id="9" xr3:uid="{B6CA494F-CB4B-4AC8-997B-FFC255ACE34B}" name="Energiebron" dataDxfId="153" totalsRowDxfId="152"/>
    <tableColumn id="15" xr3:uid="{388A3F68-9721-4211-A5A7-121FBF153B6E}" name="2e energiebron" dataDxfId="151" totalsRowDxfId="150"/>
    <tableColumn id="11" xr3:uid="{A080DABA-332E-4CBD-A5B8-6D728D2518FC}" name="Aandeel_x000a_2e energie_x000a_-bron" dataDxfId="149" totalsRowDxfId="148" dataCellStyle="Procent"/>
    <tableColumn id="13" xr3:uid="{317D7CD6-F1BA-4D84-BD10-2AF7E46C0930}" name="Hybride" dataDxfId="147" totalsRowDxfId="146"/>
    <tableColumn id="8" xr3:uid="{7DDB1768-3F6D-4A98-B2EF-14931A85C798}" name="Energie-vraag (MJ)" dataDxfId="145" totalsRowDxfId="144">
      <calculatedColumnFormula>IFERROR(TblReferentiescoreT132151617418481315[[#This Row],[Aantal
ritten]]*TblReferentiescoreT132151617418481315[[#This Row],[Afstand
per rit
'[km']]]*TblReferentiescoreT132151617418481315[[#This Row],[Gemiddeld
volume
per rit
'[ton']]]*VLOOKUP(TblReferentiescoreT132151617418481315[[#This Row],[Type transportmiddel]],TblType[],2,0),"")</calculatedColumnFormula>
    </tableColumn>
    <tableColumn id="7" xr3:uid="{5F44132D-BAC3-41AC-9462-4F45AEBA8645}" name="Referentie-score" totalsRowFunction="sum" dataDxfId="143" totalsRowDxfId="142">
      <calculatedColumnFormula>IFERROR(TblReferentiescoreT132151617418481315[[#This Row],[Energie-vraag (MJ)]]/stookwaarde_diesel/dichtheid_diesel*emissiefactor_diesel,"")</calculatedColumnFormula>
    </tableColumn>
    <tableColumn id="6" xr3:uid="{30E8D5CC-A93F-4A9A-9977-4D31A55F184F}" name="CO2-impact_x000a_[kg CO2]" totalsRowFunction="sum" dataDxfId="141" totalsRowDxfId="140" dataCellStyle="Komma">
      <calculatedColumnFormula>IFERROR(
     TblReferentiescoreT132151617418481315[[#This Row],[Referentie-score]]*
          ((100%-TblReferentiescoreT132151617418481315[[#This Row],[Aandeel
2e energie
-bron]])*INDEX(TblBrandstof[CO2 uitstoot verg 1l diesel],MATCH(TblReferentiescoreT132151617418481315[[#This Row],[Energiebron]],TblBrandstof[Brandstof],0))+
          TblReferentiescoreT132151617418481315[[#This Row],[Aandeel
2e energie
-bron]]*INDEX(TblBrandstof[CO2 uitstoot verg 1l diesel],MATCH(IF(OR(TblReferentiescoreT132151617418481315[[#This Row],[2e energiebron]]="N.v.t.",TblReferentiescoreT132151617418481315[[#This Row],[2e energiebron]]=""),TblReferentiescoreT132151617418481315[[#This Row],[Energiebron]],TblReferentiescoreT132151617418481315[[#This Row],[2e energiebron]]),TblBrandstof[Brandstof],0)))*
      IF(OR(TblReferentiescoreT132151617418481315[[#This Row],[Motortype]]="Elektrisch",TblReferentiescoreT132151617418481315[[#This Row],[Hybride]]="Ja"),TblHybride[Waardering hybride],1),"")</calculatedColumnFormula>
    </tableColumn>
    <tableColumn id="12" xr3:uid="{82BABC91-FBE3-42B2-BADF-F5AB1BF674EC}" name="Transport_x000a_score" totalsRowFunction="sum" dataDxfId="139" totalsRowDxfId="138">
      <calculatedColumnFormula>IFERROR(TblReferentiescoreT132151617418481315[[#This Row],[CO2-impact
'[kg CO2']]]*IF(INDEX(TblBrandstof[Waardering Euroniveau],MATCH(TblReferentiescoreT132151617418481315[[#This Row],[Energiebron]],TblBrandstof[Brandstof],0)),VLOOKUP(TblReferentiescoreT132151617418481315[[#This Row],[Motortype]],TblMotortypeT[],2,0),1),"")</calculatedColumnFormula>
    </tableColumn>
    <tableColumn id="14" xr3:uid="{FE9136AB-1D6C-459C-929B-2D25F4C9F473}" name="Controle_x000a_melding" dataDxfId="137" totalsRowDxfId="136">
      <calculatedColumnFormula>IF(TblReferentiescoreT132151617418481315[[#This Row],[Slibtransport
van rwzi naar rwzi]]&lt;&gt;"",
    IF(TblReferentiescoreT132151617418481315[[#This Row],[Gemiddeld
volume
per rit
'[ton']]]="","Gemiddelde vracht per volle rit niet gevuld",
    IF(TblReferentiescoreT132151617418481315[[#This Row],[Afstand
per rit
'[km']]]="","Afstand per rit niet gevuld",
    IF(TblReferentiescoreT132151617418481315[[#This Row],[Aantal
ritten]]="","Aantal ritten niet gevuld",""))),
  "")</calculatedColumnFormula>
    </tableColumn>
  </tableColumns>
  <tableStyleInfo name="TableStyleMedium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E4BE18C-89EF-4C9B-964D-2D6C8CC2BE3C}" name="TblReferentiescoreT13215161741848131516" displayName="TblReferentiescoreT13215161741848131516" ref="A5:P26" totalsRowCount="1" headerRowDxfId="135" dataDxfId="134" totalsRowDxfId="133">
  <tableColumns count="16">
    <tableColumn id="1" xr3:uid="{3FAD632C-5B39-401C-B77B-4B0B50B6D126}" name="Slibtransport_x000a_van rwzi naar rwzi" totalsRowLabel="Totaal" dataDxfId="132" totalsRowDxfId="131"/>
    <tableColumn id="17" xr3:uid="{310B5A85-F76C-48E8-8080-F8955BDC4F9A}" name="Gemiddeld_x000a_volume _x000a_per jaar_x000a_[ton]" totalsRowFunction="sum" dataDxfId="130" totalsRowDxfId="129"/>
    <tableColumn id="2" xr3:uid="{2F3B325B-21AD-435B-B7D2-B0F7969D381A}" name="Type transportmiddel" dataDxfId="128" totalsRowDxfId="127"/>
    <tableColumn id="3" xr3:uid="{8EFBE84C-BCFE-4835-87F7-EFC9A615B865}" name="Gemiddeld_x000a_volume_x000a_per rit_x000a_[ton]" dataDxfId="126" totalsRowDxfId="125"/>
    <tableColumn id="5" xr3:uid="{2BC5958A-946E-4400-9875-5A32D9D86798}" name="Aantal_x000a_ritten" dataDxfId="124" totalsRowDxfId="123" dataCellStyle="Komma">
      <calculatedColumnFormula>CEILING(B6/D6,1)</calculatedColumnFormula>
    </tableColumn>
    <tableColumn id="4" xr3:uid="{D77BAA79-B805-481F-9C13-8E1A9F43DB76}" name="Afstand_x000a_per rit_x000a_[km]" dataDxfId="122" totalsRowDxfId="121"/>
    <tableColumn id="10" xr3:uid="{2C9AA602-9622-4714-9C55-4F3A55A4A34C}" name="Motortype" dataDxfId="120" totalsRowDxfId="119" dataCellStyle="Komma"/>
    <tableColumn id="9" xr3:uid="{37F23611-E675-40BC-9DD9-C95403D60F60}" name="Energiebron" dataDxfId="118" totalsRowDxfId="117"/>
    <tableColumn id="15" xr3:uid="{044A1F59-F362-42F9-8FA2-845E0D1A9551}" name="2e energiebron" dataDxfId="116" totalsRowDxfId="115"/>
    <tableColumn id="11" xr3:uid="{FFDFD250-231E-4FF4-ADD4-BA1794B3E541}" name="Aandeel_x000a_2e energie_x000a_-bron" dataDxfId="114" totalsRowDxfId="113" dataCellStyle="Procent"/>
    <tableColumn id="13" xr3:uid="{BD513538-C845-4D25-9A29-D03E784B48A0}" name="Hybride" dataDxfId="112" totalsRowDxfId="111"/>
    <tableColumn id="8" xr3:uid="{1BB9E4AD-718A-41E6-9821-FD9F00C67FEA}" name="Energie-vraag (MJ)" dataDxfId="110" totalsRowDxfId="109">
      <calculatedColumnFormula>IFERROR(TblReferentiescoreT13215161741848131516[[#This Row],[Aantal
ritten]]*TblReferentiescoreT13215161741848131516[[#This Row],[Afstand
per rit
'[km']]]*TblReferentiescoreT13215161741848131516[[#This Row],[Gemiddeld
volume
per rit
'[ton']]]*VLOOKUP(TblReferentiescoreT13215161741848131516[[#This Row],[Type transportmiddel]],TblType[],2,0),"")</calculatedColumnFormula>
    </tableColumn>
    <tableColumn id="7" xr3:uid="{214AA0A4-8754-4103-BDBC-9CA91A8EB845}" name="Referentie-score" totalsRowFunction="sum" dataDxfId="108" totalsRowDxfId="107">
      <calculatedColumnFormula>IFERROR(TblReferentiescoreT13215161741848131516[[#This Row],[Energie-vraag (MJ)]]/stookwaarde_diesel/dichtheid_diesel*emissiefactor_diesel,"")</calculatedColumnFormula>
    </tableColumn>
    <tableColumn id="6" xr3:uid="{02EDE389-F055-4719-9306-CC01A172513B}" name="CO2-impact_x000a_[kg CO2]" totalsRowFunction="sum" dataDxfId="106" totalsRowDxfId="105" dataCellStyle="Komma">
      <calculatedColumnFormula>IFERROR(
     TblReferentiescoreT13215161741848131516[[#This Row],[Referentie-score]]*
          ((100%-TblReferentiescoreT13215161741848131516[[#This Row],[Aandeel
2e energie
-bron]])*INDEX(TblBrandstof[CO2 uitstoot verg 1l diesel],MATCH(TblReferentiescoreT13215161741848131516[[#This Row],[Energiebron]],TblBrandstof[Brandstof],0))+
          TblReferentiescoreT13215161741848131516[[#This Row],[Aandeel
2e energie
-bron]]*INDEX(TblBrandstof[CO2 uitstoot verg 1l diesel],MATCH(IF(OR(TblReferentiescoreT13215161741848131516[[#This Row],[2e energiebron]]="N.v.t.",TblReferentiescoreT13215161741848131516[[#This Row],[2e energiebron]]=""),TblReferentiescoreT13215161741848131516[[#This Row],[Energiebron]],TblReferentiescoreT13215161741848131516[[#This Row],[2e energiebron]]),TblBrandstof[Brandstof],0)))*
      IF(OR(TblReferentiescoreT13215161741848131516[[#This Row],[Motortype]]="Elektrisch",TblReferentiescoreT13215161741848131516[[#This Row],[Hybride]]="Ja"),TblHybride[Waardering hybride],1),"")</calculatedColumnFormula>
    </tableColumn>
    <tableColumn id="12" xr3:uid="{199493BF-620D-4A4E-B90C-11A3BE57F8E1}" name="Transport_x000a_score" totalsRowFunction="sum" dataDxfId="104" totalsRowDxfId="103">
      <calculatedColumnFormula>IFERROR(TblReferentiescoreT13215161741848131516[[#This Row],[CO2-impact
'[kg CO2']]]*IF(INDEX(TblBrandstof[Waardering Euroniveau],MATCH(TblReferentiescoreT13215161741848131516[[#This Row],[Energiebron]],TblBrandstof[Brandstof],0)),VLOOKUP(TblReferentiescoreT13215161741848131516[[#This Row],[Motortype]],TblMotortypeT[],2,0),1),"")</calculatedColumnFormula>
    </tableColumn>
    <tableColumn id="14" xr3:uid="{CBAA52CD-9B1B-49CB-AFA0-3ECBCD7B3C7F}" name="Controle_x000a_melding" dataDxfId="102" totalsRowDxfId="101">
      <calculatedColumnFormula>IF(TblReferentiescoreT13215161741848131516[[#This Row],[Slibtransport
van rwzi naar rwzi]]&lt;&gt;"",
    IF(TblReferentiescoreT13215161741848131516[[#This Row],[Gemiddeld
volume
per rit
'[ton']]]="","Gemiddelde vracht per volle rit niet gevuld",
    IF(TblReferentiescoreT13215161741848131516[[#This Row],[Afstand
per rit
'[km']]]="","Afstand per rit niet gevuld",
    IF(TblReferentiescoreT13215161741848131516[[#This Row],[Aantal
ritten]]="","Aantal ritten niet gevuld",""))),
  "")</calculatedColumnFormula>
    </tableColumn>
  </tableColumns>
  <tableStyleInfo name="TableStyleMedium1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149A05E5-1B75-413A-A81A-2F48FCCD475C}" name="TblReferentiescoreT1321516174184813151617" displayName="TblReferentiescoreT1321516174184813151617" ref="A5:P26" totalsRowCount="1" headerRowDxfId="100" dataDxfId="99" totalsRowDxfId="98">
  <tableColumns count="16">
    <tableColumn id="1" xr3:uid="{89F6931F-2EA3-49E3-A48B-0DC6298300A2}" name="Slibtransport_x000a_van rwzi naar rwzi" totalsRowLabel="Totaal" dataDxfId="97" totalsRowDxfId="96"/>
    <tableColumn id="17" xr3:uid="{04A23D34-5C03-4714-83B7-302F41E1A4DD}" name="Gemiddeld_x000a_volume _x000a_per jaar_x000a_[ton]" totalsRowFunction="sum" dataDxfId="95" totalsRowDxfId="94"/>
    <tableColumn id="2" xr3:uid="{6F4ED722-0A1F-4154-8883-E4442AD22803}" name="Type transportmiddel" dataDxfId="93" totalsRowDxfId="92"/>
    <tableColumn id="3" xr3:uid="{4D073AAA-38F9-4943-94A2-FE849647FD4D}" name="Gemiddeld_x000a_volume_x000a_per rit_x000a_[ton]" dataDxfId="91" totalsRowDxfId="90"/>
    <tableColumn id="5" xr3:uid="{E5B71F7A-1C40-4574-A146-DD25BD1EB986}" name="Aantal_x000a_ritten" dataDxfId="89" totalsRowDxfId="88" dataCellStyle="Komma">
      <calculatedColumnFormula>CEILING(B6/D6,1)</calculatedColumnFormula>
    </tableColumn>
    <tableColumn id="4" xr3:uid="{88BA4C1D-6504-4CC9-B076-71F80F010F73}" name="Afstand_x000a_per rit_x000a_[km]" dataDxfId="87" totalsRowDxfId="86"/>
    <tableColumn id="10" xr3:uid="{2450B053-EF66-44F9-9C86-DFFCE3A42FAA}" name="Motortype" dataDxfId="85" totalsRowDxfId="84" dataCellStyle="Komma"/>
    <tableColumn id="9" xr3:uid="{47279768-13A2-4A73-99C7-32B98DE38098}" name="Energiebron" dataDxfId="83" totalsRowDxfId="82"/>
    <tableColumn id="15" xr3:uid="{922D323C-EA64-4CCA-9421-10699C1C3954}" name="2e energiebron" dataDxfId="81" totalsRowDxfId="80"/>
    <tableColumn id="11" xr3:uid="{F1D0022B-3669-4B8A-89FD-15C5EFDFD999}" name="Aandeel_x000a_2e energie_x000a_-bron" dataDxfId="79" totalsRowDxfId="78" dataCellStyle="Procent"/>
    <tableColumn id="13" xr3:uid="{B142DAB5-9DC0-43D7-BAE2-3E7128BEFBE4}" name="Hybride" dataDxfId="77" totalsRowDxfId="76"/>
    <tableColumn id="8" xr3:uid="{09FB6B4A-44F2-41D1-8BF8-EF58619F8A0E}" name="Energie-vraag (MJ)" dataDxfId="75" totalsRowDxfId="74">
      <calculatedColumnFormula>IFERROR(TblReferentiescoreT1321516174184813151617[[#This Row],[Aantal
ritten]]*TblReferentiescoreT1321516174184813151617[[#This Row],[Afstand
per rit
'[km']]]*TblReferentiescoreT1321516174184813151617[[#This Row],[Gemiddeld
volume
per rit
'[ton']]]*VLOOKUP(TblReferentiescoreT1321516174184813151617[[#This Row],[Type transportmiddel]],TblType[],2,0),"")</calculatedColumnFormula>
    </tableColumn>
    <tableColumn id="7" xr3:uid="{5760CED4-1827-4725-84AF-DD3ADF203540}" name="Referentie-score" totalsRowFunction="sum" dataDxfId="73" totalsRowDxfId="72">
      <calculatedColumnFormula>IFERROR(TblReferentiescoreT1321516174184813151617[[#This Row],[Energie-vraag (MJ)]]/stookwaarde_diesel/dichtheid_diesel*emissiefactor_diesel,"")</calculatedColumnFormula>
    </tableColumn>
    <tableColumn id="6" xr3:uid="{211EA188-4725-4BCB-B434-8599C2124618}" name="CO2-impact_x000a_[kg CO2]" totalsRowFunction="sum" dataDxfId="71" totalsRowDxfId="70" dataCellStyle="Komma">
      <calculatedColumnFormula>IFERROR(
     TblReferentiescoreT1321516174184813151617[[#This Row],[Referentie-score]]*
          ((100%-TblReferentiescoreT1321516174184813151617[[#This Row],[Aandeel
2e energie
-bron]])*INDEX(TblBrandstof[CO2 uitstoot verg 1l diesel],MATCH(TblReferentiescoreT1321516174184813151617[[#This Row],[Energiebron]],TblBrandstof[Brandstof],0))+
          TblReferentiescoreT1321516174184813151617[[#This Row],[Aandeel
2e energie
-bron]]*INDEX(TblBrandstof[CO2 uitstoot verg 1l diesel],MATCH(IF(OR(TblReferentiescoreT1321516174184813151617[[#This Row],[2e energiebron]]="N.v.t.",TblReferentiescoreT1321516174184813151617[[#This Row],[2e energiebron]]=""),TblReferentiescoreT1321516174184813151617[[#This Row],[Energiebron]],TblReferentiescoreT1321516174184813151617[[#This Row],[2e energiebron]]),TblBrandstof[Brandstof],0)))*
      IF(OR(TblReferentiescoreT1321516174184813151617[[#This Row],[Motortype]]="Elektrisch",TblReferentiescoreT1321516174184813151617[[#This Row],[Hybride]]="Ja"),TblHybride[Waardering hybride],1),"")</calculatedColumnFormula>
    </tableColumn>
    <tableColumn id="12" xr3:uid="{72076FF3-7D0B-4C2A-ADEB-1F2D1BE64AD3}" name="Transport_x000a_score" totalsRowFunction="sum" dataDxfId="69" totalsRowDxfId="68">
      <calculatedColumnFormula>IFERROR(TblReferentiescoreT1321516174184813151617[[#This Row],[CO2-impact
'[kg CO2']]]*IF(INDEX(TblBrandstof[Waardering Euroniveau],MATCH(TblReferentiescoreT1321516174184813151617[[#This Row],[Energiebron]],TblBrandstof[Brandstof],0)),VLOOKUP(TblReferentiescoreT1321516174184813151617[[#This Row],[Motortype]],TblMotortypeT[],2,0),1),"")</calculatedColumnFormula>
    </tableColumn>
    <tableColumn id="14" xr3:uid="{635693FF-E391-41E9-A7E7-0AF2C868E3B4}" name="Controle_x000a_melding" dataDxfId="67" totalsRowDxfId="66">
      <calculatedColumnFormula>IF(TblReferentiescoreT1321516174184813151617[[#This Row],[Slibtransport
van rwzi naar rwzi]]&lt;&gt;"",
    IF(TblReferentiescoreT1321516174184813151617[[#This Row],[Gemiddeld
volume
per rit
'[ton']]]="","Gemiddelde vracht per volle rit niet gevuld",
    IF(TblReferentiescoreT1321516174184813151617[[#This Row],[Afstand
per rit
'[km']]]="","Afstand per rit niet gevuld",
    IF(TblReferentiescoreT1321516174184813151617[[#This Row],[Aantal
ritten]]="","Aantal ritten niet gevuld",""))),
  "")</calculatedColumnFormula>
    </tableColumn>
  </tableColumns>
  <tableStyleInfo name="TableStyleMedium1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F68DD9CB-5E56-402C-9038-0F6A9C05C53D}" name="TblReferentiescoreT132151617418" displayName="TblReferentiescoreT132151617418" ref="A5:P26" totalsRowCount="1" headerRowDxfId="65" dataDxfId="64" totalsRowDxfId="63">
  <tableColumns count="16">
    <tableColumn id="1" xr3:uid="{A03534F6-9169-4EF8-A27C-F6F42209D110}" name="Slibtransport_x000a_van rwzi naar rwzi" totalsRowLabel="Totaal" dataDxfId="62" totalsRowDxfId="61"/>
    <tableColumn id="17" xr3:uid="{D00B4427-22E5-4ADD-A2BA-112185C568BC}" name="Gemiddeld_x000a_volume _x000a_per jaar_x000a_[ton]" totalsRowFunction="sum" dataDxfId="60" totalsRowDxfId="59"/>
    <tableColumn id="2" xr3:uid="{5C99373E-8247-4770-B285-4D5E50926CBB}" name="Type transportmiddel" dataDxfId="58" totalsRowDxfId="57"/>
    <tableColumn id="3" xr3:uid="{4AB1CBE6-BF81-4B5D-8D63-5061F7E9B89B}" name="Gemiddeld_x000a_volume_x000a_per rit_x000a_[ton]" dataDxfId="56" totalsRowDxfId="55"/>
    <tableColumn id="5" xr3:uid="{491244A0-BB44-4D5B-8D0D-0E29B1C800D2}" name="Aantal_x000a_ritten" dataDxfId="54" totalsRowDxfId="53" dataCellStyle="Komma">
      <calculatedColumnFormula>CEILING(B6/D6,1)</calculatedColumnFormula>
    </tableColumn>
    <tableColumn id="4" xr3:uid="{5CFDD8CF-B412-48EA-9F4B-95632AC41265}" name="Afstand_x000a_per rit_x000a_[km]" dataDxfId="52" totalsRowDxfId="51"/>
    <tableColumn id="10" xr3:uid="{9F85FBEC-3AC6-4CEC-B3AC-5AAC49D45DFA}" name="Motortype" dataDxfId="50" totalsRowDxfId="49" dataCellStyle="Komma"/>
    <tableColumn id="9" xr3:uid="{17495E2A-CA4E-4F2C-9A2F-F460A47262F7}" name="Energiebron" dataDxfId="48" totalsRowDxfId="47"/>
    <tableColumn id="15" xr3:uid="{96997925-3867-4E53-B554-1C879DE36009}" name="2e energiebron" dataDxfId="46" totalsRowDxfId="45"/>
    <tableColumn id="11" xr3:uid="{9CF13B5C-89DE-4916-B488-1A4F9559E6A5}" name="Aandeel_x000a_2e energie_x000a_-bron" dataDxfId="44" totalsRowDxfId="43" dataCellStyle="Procent"/>
    <tableColumn id="13" xr3:uid="{3400B2E0-65E5-4A18-987D-ED7F098158FB}" name="Hybride" dataDxfId="42" totalsRowDxfId="41"/>
    <tableColumn id="8" xr3:uid="{918FE85E-D913-4BFC-AEE9-C019C6B43CE1}" name="Energie-vraag (MJ)" dataDxfId="40" totalsRowDxfId="39">
      <calculatedColumnFormula>IFERROR(TblReferentiescoreT132151617418[[#This Row],[Aantal
ritten]]*TblReferentiescoreT132151617418[[#This Row],[Afstand
per rit
'[km']]]*TblReferentiescoreT132151617418[[#This Row],[Gemiddeld
volume
per rit
'[ton']]]*VLOOKUP(TblReferentiescoreT132151617418[[#This Row],[Type transportmiddel]],TblType[],2,0),"")</calculatedColumnFormula>
    </tableColumn>
    <tableColumn id="7" xr3:uid="{5FBDBEEB-0EF3-45B8-8280-E6A4C28A7D00}" name="Referentie-score" totalsRowFunction="sum" dataDxfId="38" totalsRowDxfId="37">
      <calculatedColumnFormula>IFERROR(TblReferentiescoreT132151617418[[#This Row],[Energie-vraag (MJ)]]/stookwaarde_diesel/dichtheid_diesel*emissiefactor_diesel,"")</calculatedColumnFormula>
    </tableColumn>
    <tableColumn id="6" xr3:uid="{B019F952-0DA8-4393-8BCF-4569A79AD57D}" name="CO2-impact_x000a_[kg CO2]" totalsRowFunction="sum" dataDxfId="36" totalsRowDxfId="35" dataCellStyle="Komma">
      <calculatedColumnFormula>IFERROR(
     TblReferentiescoreT132151617418[[#This Row],[Referentie-score]]*
          ((100%-TblReferentiescoreT132151617418[[#This Row],[Aandeel
2e energie
-bron]])*INDEX(TblBrandstof[CO2 uitstoot verg 1l diesel],MATCH(TblReferentiescoreT132151617418[[#This Row],[Energiebron]],TblBrandstof[Brandstof],0))+
          TblReferentiescoreT132151617418[[#This Row],[Aandeel
2e energie
-bron]]*INDEX(TblBrandstof[CO2 uitstoot verg 1l diesel],MATCH(IF(OR(TblReferentiescoreT132151617418[[#This Row],[2e energiebron]]="N.v.t.",TblReferentiescoreT132151617418[[#This Row],[2e energiebron]]=""),TblReferentiescoreT132151617418[[#This Row],[Energiebron]],TblReferentiescoreT132151617418[[#This Row],[2e energiebron]]),TblBrandstof[Brandstof],0)))*
      IF(OR(TblReferentiescoreT132151617418[[#This Row],[Motortype]]="Elektrisch",TblReferentiescoreT132151617418[[#This Row],[Hybride]]="Ja"),TblHybride[Waardering hybride],1),"")</calculatedColumnFormula>
    </tableColumn>
    <tableColumn id="12" xr3:uid="{49C3505B-B926-4A2E-925F-964347A9AA68}" name="Transport_x000a_score" totalsRowFunction="sum" dataDxfId="34" totalsRowDxfId="33">
      <calculatedColumnFormula>IFERROR(TblReferentiescoreT132151617418[[#This Row],[CO2-impact
'[kg CO2']]]*IF(INDEX(TblBrandstof[Waardering Euroniveau],MATCH(TblReferentiescoreT132151617418[[#This Row],[Energiebron]],TblBrandstof[Brandstof],0)),VLOOKUP(TblReferentiescoreT132151617418[[#This Row],[Motortype]],TblMotortypeT[],2,0),1),"")</calculatedColumnFormula>
    </tableColumn>
    <tableColumn id="14" xr3:uid="{15C72552-F875-4DB0-9F63-FF1DF096D923}" name="Controle_x000a_melding" dataDxfId="32" totalsRowDxfId="31">
      <calculatedColumnFormula>IF(TblReferentiescoreT132151617418[[#This Row],[Slibtransport
van rwzi naar rwzi]]&lt;&gt;"",
    IF(TblReferentiescoreT132151617418[[#This Row],[Gemiddeld
volume
per rit
'[ton']]]="","Gemiddelde vracht per volle rit niet gevuld",
    IF(TblReferentiescoreT132151617418[[#This Row],[Afstand
per rit
'[km']]]="","Afstand per rit niet gevuld",
    IF(TblReferentiescoreT132151617418[[#This Row],[Aantal
ritten]]="","Aantal ritten niet gevuld",""))),
  "")</calculatedColumnFormula>
    </tableColumn>
  </tableColumns>
  <tableStyleInfo name="TableStyleMedium1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015D6DB-F63C-444D-802C-66F85349053C}" name="TblDieselgebruik" displayName="TblDieselgebruik" ref="A6:B9" totalsRowShown="0">
  <autoFilter ref="A6:B9" xr:uid="{C015D6DB-F63C-444D-802C-66F85349053C}"/>
  <tableColumns count="2">
    <tableColumn id="1" xr3:uid="{06FD5E9E-1351-4357-9BA5-2864682D6C49}" name="kW"/>
    <tableColumn id="2" xr3:uid="{F31EDE89-A6D2-4D2B-BCA3-412E5C42BCCE}" name="kg/kWh"/>
  </tableColumns>
  <tableStyleInfo name="TableStyleMedium14"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table" Target="../tables/table6.xml"/><Relationship Id="rId4" Type="http://schemas.openxmlformats.org/officeDocument/2006/relationships/ctrlProp" Target="../ctrlProps/ctrlProp6.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table" Target="../tables/table7.xml"/><Relationship Id="rId4" Type="http://schemas.openxmlformats.org/officeDocument/2006/relationships/ctrlProp" Target="../ctrlProps/ctrlProp7.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table" Target="../tables/table8.xml"/><Relationship Id="rId4" Type="http://schemas.openxmlformats.org/officeDocument/2006/relationships/ctrlProp" Target="../ctrlProps/ctrlProp8.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8" Type="http://schemas.openxmlformats.org/officeDocument/2006/relationships/table" Target="../tables/table15.xml"/><Relationship Id="rId3" Type="http://schemas.openxmlformats.org/officeDocument/2006/relationships/table" Target="../tables/table10.xml"/><Relationship Id="rId7" Type="http://schemas.openxmlformats.org/officeDocument/2006/relationships/table" Target="../tables/table14.xml"/><Relationship Id="rId2" Type="http://schemas.openxmlformats.org/officeDocument/2006/relationships/table" Target="../tables/table9.xml"/><Relationship Id="rId1" Type="http://schemas.openxmlformats.org/officeDocument/2006/relationships/hyperlink" Target="https://www.co2emissiefactoren.nl/lijst-emissiefactoren/" TargetMode="External"/><Relationship Id="rId6" Type="http://schemas.openxmlformats.org/officeDocument/2006/relationships/table" Target="../tables/table13.xml"/><Relationship Id="rId5" Type="http://schemas.openxmlformats.org/officeDocument/2006/relationships/table" Target="../tables/table12.xml"/><Relationship Id="rId10" Type="http://schemas.openxmlformats.org/officeDocument/2006/relationships/table" Target="../tables/table17.xml"/><Relationship Id="rId4" Type="http://schemas.openxmlformats.org/officeDocument/2006/relationships/table" Target="../tables/table11.xml"/><Relationship Id="rId9" Type="http://schemas.openxmlformats.org/officeDocument/2006/relationships/table" Target="../tables/table16.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table" Target="../tables/table1.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table" Target="../tables/table2.xml"/><Relationship Id="rId4" Type="http://schemas.openxmlformats.org/officeDocument/2006/relationships/ctrlProp" Target="../ctrlProps/ctrlProp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table" Target="../tables/table3.xml"/><Relationship Id="rId4" Type="http://schemas.openxmlformats.org/officeDocument/2006/relationships/ctrlProp" Target="../ctrlProps/ctrlProp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table" Target="../tables/table4.xml"/><Relationship Id="rId4" Type="http://schemas.openxmlformats.org/officeDocument/2006/relationships/ctrlProp" Target="../ctrlProps/ctrlProp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C4B3C-37AD-6B47-B25B-BD97F420DE4B}">
  <sheetPr codeName="Blad6"/>
  <dimension ref="A1:I87"/>
  <sheetViews>
    <sheetView zoomScale="85" zoomScaleNormal="85" workbookViewId="0">
      <selection activeCell="D2" sqref="D2:E3"/>
    </sheetView>
  </sheetViews>
  <sheetFormatPr defaultColWidth="11" defaultRowHeight="15.75" x14ac:dyDescent="0.25"/>
  <cols>
    <col min="2" max="2" width="29.5" customWidth="1"/>
    <col min="4" max="4" width="23.5" customWidth="1"/>
    <col min="5" max="5" width="17.375" customWidth="1"/>
  </cols>
  <sheetData>
    <row r="1" spans="1:6" x14ac:dyDescent="0.25">
      <c r="A1" s="2" t="s">
        <v>131</v>
      </c>
      <c r="B1" s="2"/>
      <c r="C1" s="2"/>
      <c r="D1" s="2" t="s">
        <v>35</v>
      </c>
    </row>
    <row r="2" spans="1:6" x14ac:dyDescent="0.25">
      <c r="B2" s="2" t="s">
        <v>8</v>
      </c>
    </row>
    <row r="3" spans="1:6" x14ac:dyDescent="0.25">
      <c r="B3" s="1" t="s">
        <v>0</v>
      </c>
      <c r="C3" s="1" t="s">
        <v>3</v>
      </c>
      <c r="D3" s="1" t="s">
        <v>7</v>
      </c>
    </row>
    <row r="4" spans="1:6" x14ac:dyDescent="0.25">
      <c r="B4" t="s">
        <v>1</v>
      </c>
    </row>
    <row r="5" spans="1:6" x14ac:dyDescent="0.25">
      <c r="B5" t="s">
        <v>2</v>
      </c>
      <c r="C5" t="s">
        <v>4</v>
      </c>
      <c r="D5" t="s">
        <v>10</v>
      </c>
    </row>
    <row r="6" spans="1:6" x14ac:dyDescent="0.25">
      <c r="B6" t="s">
        <v>5</v>
      </c>
      <c r="C6" t="s">
        <v>6</v>
      </c>
      <c r="D6" t="s">
        <v>41</v>
      </c>
      <c r="E6" t="s">
        <v>43</v>
      </c>
    </row>
    <row r="7" spans="1:6" x14ac:dyDescent="0.25">
      <c r="B7" s="5" t="s">
        <v>36</v>
      </c>
      <c r="D7" t="s">
        <v>42</v>
      </c>
      <c r="E7" t="s">
        <v>44</v>
      </c>
    </row>
    <row r="8" spans="1:6" x14ac:dyDescent="0.25">
      <c r="B8" s="5"/>
      <c r="E8" t="s">
        <v>45</v>
      </c>
    </row>
    <row r="9" spans="1:6" x14ac:dyDescent="0.25">
      <c r="B9" s="5"/>
      <c r="E9" t="s">
        <v>46</v>
      </c>
      <c r="F9" t="s">
        <v>48</v>
      </c>
    </row>
    <row r="10" spans="1:6" x14ac:dyDescent="0.25">
      <c r="B10" s="5"/>
      <c r="E10" t="s">
        <v>47</v>
      </c>
    </row>
    <row r="11" spans="1:6" x14ac:dyDescent="0.25">
      <c r="B11" s="5"/>
      <c r="E11" t="s">
        <v>162</v>
      </c>
    </row>
    <row r="12" spans="1:6" x14ac:dyDescent="0.25">
      <c r="B12" s="5"/>
      <c r="E12" t="s">
        <v>163</v>
      </c>
    </row>
    <row r="13" spans="1:6" x14ac:dyDescent="0.25">
      <c r="B13" s="5" t="s">
        <v>37</v>
      </c>
      <c r="D13" t="s">
        <v>49</v>
      </c>
      <c r="E13" t="s">
        <v>50</v>
      </c>
    </row>
    <row r="14" spans="1:6" x14ac:dyDescent="0.25">
      <c r="B14" s="5"/>
      <c r="E14" t="s">
        <v>51</v>
      </c>
    </row>
    <row r="15" spans="1:6" x14ac:dyDescent="0.25">
      <c r="B15" s="5"/>
      <c r="E15" t="s">
        <v>52</v>
      </c>
    </row>
    <row r="16" spans="1:6" x14ac:dyDescent="0.25">
      <c r="B16" s="5"/>
      <c r="E16" t="s">
        <v>53</v>
      </c>
      <c r="F16" t="s">
        <v>66</v>
      </c>
    </row>
    <row r="17" spans="1:5" x14ac:dyDescent="0.25">
      <c r="B17" s="5"/>
      <c r="E17" t="s">
        <v>54</v>
      </c>
    </row>
    <row r="18" spans="1:5" x14ac:dyDescent="0.25">
      <c r="B18" s="5"/>
      <c r="E18" t="s">
        <v>55</v>
      </c>
    </row>
    <row r="19" spans="1:5" x14ac:dyDescent="0.25">
      <c r="B19" s="5"/>
      <c r="E19" t="s">
        <v>56</v>
      </c>
    </row>
    <row r="20" spans="1:5" x14ac:dyDescent="0.25">
      <c r="B20" s="5"/>
      <c r="E20" t="s">
        <v>57</v>
      </c>
    </row>
    <row r="21" spans="1:5" x14ac:dyDescent="0.25">
      <c r="B21" s="5"/>
      <c r="E21" t="s">
        <v>58</v>
      </c>
    </row>
    <row r="22" spans="1:5" x14ac:dyDescent="0.25">
      <c r="B22" s="5"/>
      <c r="E22" t="s">
        <v>59</v>
      </c>
    </row>
    <row r="23" spans="1:5" x14ac:dyDescent="0.25">
      <c r="B23" s="5"/>
      <c r="E23" t="s">
        <v>60</v>
      </c>
    </row>
    <row r="24" spans="1:5" x14ac:dyDescent="0.25">
      <c r="B24" s="5"/>
      <c r="E24" t="s">
        <v>61</v>
      </c>
    </row>
    <row r="25" spans="1:5" x14ac:dyDescent="0.25">
      <c r="B25" s="5"/>
      <c r="E25" t="s">
        <v>62</v>
      </c>
    </row>
    <row r="26" spans="1:5" x14ac:dyDescent="0.25">
      <c r="B26" s="5"/>
      <c r="E26" t="s">
        <v>63</v>
      </c>
    </row>
    <row r="27" spans="1:5" x14ac:dyDescent="0.25">
      <c r="B27" s="5"/>
      <c r="E27" t="s">
        <v>64</v>
      </c>
    </row>
    <row r="28" spans="1:5" x14ac:dyDescent="0.25">
      <c r="B28" s="5"/>
      <c r="E28" t="s">
        <v>65</v>
      </c>
    </row>
    <row r="29" spans="1:5" x14ac:dyDescent="0.25">
      <c r="B29" s="5"/>
    </row>
    <row r="30" spans="1:5" x14ac:dyDescent="0.25">
      <c r="A30" t="s">
        <v>67</v>
      </c>
      <c r="B30" s="5" t="s">
        <v>38</v>
      </c>
    </row>
    <row r="31" spans="1:5" x14ac:dyDescent="0.25">
      <c r="A31" t="s">
        <v>67</v>
      </c>
      <c r="B31" s="5" t="s">
        <v>68</v>
      </c>
    </row>
    <row r="32" spans="1:5" x14ac:dyDescent="0.25">
      <c r="B32" s="5" t="s">
        <v>39</v>
      </c>
    </row>
    <row r="33" spans="1:9" x14ac:dyDescent="0.25">
      <c r="B33" s="5" t="s">
        <v>40</v>
      </c>
    </row>
    <row r="36" spans="1:9" x14ac:dyDescent="0.25">
      <c r="B36" s="2" t="s">
        <v>151</v>
      </c>
    </row>
    <row r="38" spans="1:9" x14ac:dyDescent="0.25">
      <c r="A38" s="2" t="s">
        <v>26</v>
      </c>
      <c r="B38" s="2" t="s">
        <v>27</v>
      </c>
    </row>
    <row r="39" spans="1:9" x14ac:dyDescent="0.25">
      <c r="G39" t="s">
        <v>23</v>
      </c>
    </row>
    <row r="40" spans="1:9" x14ac:dyDescent="0.25">
      <c r="B40" t="s">
        <v>102</v>
      </c>
      <c r="C40" t="s">
        <v>103</v>
      </c>
    </row>
    <row r="41" spans="1:9" x14ac:dyDescent="0.25">
      <c r="B41" t="s">
        <v>2</v>
      </c>
      <c r="C41" t="s">
        <v>11</v>
      </c>
    </row>
    <row r="42" spans="1:9" x14ac:dyDescent="0.25">
      <c r="B42" t="s">
        <v>5</v>
      </c>
      <c r="C42" t="s">
        <v>11</v>
      </c>
    </row>
    <row r="43" spans="1:9" x14ac:dyDescent="0.25">
      <c r="B43" t="s">
        <v>12</v>
      </c>
      <c r="C43">
        <v>0.26</v>
      </c>
      <c r="D43" t="s">
        <v>13</v>
      </c>
      <c r="E43" t="s">
        <v>14</v>
      </c>
      <c r="G43" t="s">
        <v>19</v>
      </c>
      <c r="H43" t="s">
        <v>20</v>
      </c>
    </row>
    <row r="44" spans="1:9" x14ac:dyDescent="0.25">
      <c r="C44">
        <v>0.255</v>
      </c>
      <c r="D44" t="s">
        <v>13</v>
      </c>
      <c r="E44" t="s">
        <v>15</v>
      </c>
    </row>
    <row r="45" spans="1:9" x14ac:dyDescent="0.25">
      <c r="C45">
        <v>0.25</v>
      </c>
      <c r="D45" t="s">
        <v>13</v>
      </c>
      <c r="E45" t="s">
        <v>16</v>
      </c>
    </row>
    <row r="47" spans="1:9" x14ac:dyDescent="0.25">
      <c r="B47" t="s">
        <v>18</v>
      </c>
      <c r="C47" s="3">
        <v>42.8</v>
      </c>
      <c r="D47" s="3" t="s">
        <v>17</v>
      </c>
      <c r="G47" t="s">
        <v>19</v>
      </c>
      <c r="H47" t="s">
        <v>21</v>
      </c>
      <c r="I47" t="s">
        <v>22</v>
      </c>
    </row>
    <row r="49" spans="1:9" x14ac:dyDescent="0.25">
      <c r="B49" t="s">
        <v>25</v>
      </c>
      <c r="C49" s="4">
        <v>0.6</v>
      </c>
      <c r="G49" t="s">
        <v>19</v>
      </c>
      <c r="H49" t="s">
        <v>24</v>
      </c>
    </row>
    <row r="51" spans="1:9" x14ac:dyDescent="0.25">
      <c r="A51" s="2"/>
    </row>
    <row r="53" spans="1:9" x14ac:dyDescent="0.25">
      <c r="A53" s="2" t="s">
        <v>34</v>
      </c>
      <c r="B53" s="2" t="s">
        <v>69</v>
      </c>
    </row>
    <row r="54" spans="1:9" x14ac:dyDescent="0.25">
      <c r="B54" t="s">
        <v>100</v>
      </c>
      <c r="C54" t="s">
        <v>101</v>
      </c>
    </row>
    <row r="55" spans="1:9" x14ac:dyDescent="0.25">
      <c r="B55" t="s">
        <v>28</v>
      </c>
      <c r="C55" t="s">
        <v>29</v>
      </c>
    </row>
    <row r="56" spans="1:9" x14ac:dyDescent="0.25">
      <c r="B56" t="s">
        <v>18</v>
      </c>
      <c r="C56">
        <v>42.8</v>
      </c>
      <c r="D56" t="s">
        <v>30</v>
      </c>
      <c r="G56" t="s">
        <v>19</v>
      </c>
      <c r="H56" t="s">
        <v>21</v>
      </c>
      <c r="I56" t="s">
        <v>22</v>
      </c>
    </row>
    <row r="57" spans="1:9" x14ac:dyDescent="0.25">
      <c r="B57" t="s">
        <v>31</v>
      </c>
      <c r="C57">
        <v>0.84</v>
      </c>
      <c r="D57" t="s">
        <v>32</v>
      </c>
      <c r="G57" t="s">
        <v>19</v>
      </c>
      <c r="H57" t="s">
        <v>21</v>
      </c>
      <c r="I57" t="s">
        <v>22</v>
      </c>
    </row>
    <row r="58" spans="1:9" x14ac:dyDescent="0.25">
      <c r="B58" t="s">
        <v>33</v>
      </c>
      <c r="C58">
        <v>3.262</v>
      </c>
      <c r="D58" t="s">
        <v>9</v>
      </c>
      <c r="G58" t="s">
        <v>19</v>
      </c>
      <c r="H58" t="s">
        <v>21</v>
      </c>
      <c r="I58" t="s">
        <v>22</v>
      </c>
    </row>
    <row r="62" spans="1:9" x14ac:dyDescent="0.25">
      <c r="A62" s="2" t="s">
        <v>85</v>
      </c>
      <c r="B62" s="2" t="s">
        <v>83</v>
      </c>
    </row>
    <row r="63" spans="1:9" x14ac:dyDescent="0.25">
      <c r="B63" t="s">
        <v>97</v>
      </c>
      <c r="C63" t="s">
        <v>99</v>
      </c>
    </row>
    <row r="64" spans="1:9" x14ac:dyDescent="0.25">
      <c r="B64" t="s">
        <v>28</v>
      </c>
      <c r="C64" t="s">
        <v>29</v>
      </c>
    </row>
    <row r="65" spans="1:8" x14ac:dyDescent="0.25">
      <c r="B65" t="s">
        <v>98</v>
      </c>
      <c r="C65" t="s">
        <v>130</v>
      </c>
      <c r="E65" t="s">
        <v>87</v>
      </c>
      <c r="G65" t="s">
        <v>19</v>
      </c>
      <c r="H65" t="s">
        <v>21</v>
      </c>
    </row>
    <row r="66" spans="1:8" x14ac:dyDescent="0.25">
      <c r="B66" t="s">
        <v>93</v>
      </c>
      <c r="C66" s="4">
        <v>0.8</v>
      </c>
      <c r="D66" t="s">
        <v>95</v>
      </c>
    </row>
    <row r="67" spans="1:8" x14ac:dyDescent="0.25">
      <c r="B67" t="s">
        <v>94</v>
      </c>
      <c r="C67" s="4">
        <v>0.95</v>
      </c>
    </row>
    <row r="69" spans="1:8" x14ac:dyDescent="0.25">
      <c r="A69" s="2" t="s">
        <v>86</v>
      </c>
      <c r="B69" s="2" t="s">
        <v>73</v>
      </c>
    </row>
    <row r="70" spans="1:8" x14ac:dyDescent="0.25">
      <c r="B70" t="s">
        <v>88</v>
      </c>
      <c r="C70" t="s">
        <v>89</v>
      </c>
    </row>
    <row r="71" spans="1:8" x14ac:dyDescent="0.25">
      <c r="D71" t="s">
        <v>90</v>
      </c>
    </row>
    <row r="72" spans="1:8" x14ac:dyDescent="0.25">
      <c r="B72" t="s">
        <v>91</v>
      </c>
      <c r="C72" t="s">
        <v>43</v>
      </c>
      <c r="D72">
        <v>2</v>
      </c>
      <c r="F72" t="s">
        <v>96</v>
      </c>
    </row>
    <row r="73" spans="1:8" x14ac:dyDescent="0.25">
      <c r="C73" t="s">
        <v>44</v>
      </c>
      <c r="D73">
        <v>1.5</v>
      </c>
      <c r="F73" t="s">
        <v>96</v>
      </c>
    </row>
    <row r="74" spans="1:8" x14ac:dyDescent="0.25">
      <c r="C74" t="s">
        <v>92</v>
      </c>
      <c r="D74">
        <v>1</v>
      </c>
      <c r="F74" t="s">
        <v>96</v>
      </c>
    </row>
    <row r="75" spans="1:8" x14ac:dyDescent="0.25">
      <c r="C75" t="s">
        <v>46</v>
      </c>
      <c r="D75">
        <v>0.75</v>
      </c>
      <c r="F75" t="s">
        <v>96</v>
      </c>
    </row>
    <row r="76" spans="1:8" x14ac:dyDescent="0.25">
      <c r="C76" t="s">
        <v>47</v>
      </c>
      <c r="D76">
        <v>0.75</v>
      </c>
      <c r="F76" t="s">
        <v>96</v>
      </c>
    </row>
    <row r="79" spans="1:8" x14ac:dyDescent="0.25">
      <c r="A79" s="2" t="s">
        <v>71</v>
      </c>
      <c r="B79" s="2" t="s">
        <v>74</v>
      </c>
    </row>
    <row r="80" spans="1:8" x14ac:dyDescent="0.25">
      <c r="A80" s="2"/>
      <c r="B80" s="6" t="s">
        <v>81</v>
      </c>
      <c r="C80" t="s">
        <v>70</v>
      </c>
    </row>
    <row r="81" spans="1:3" x14ac:dyDescent="0.25">
      <c r="B81" t="s">
        <v>82</v>
      </c>
      <c r="C81" t="s">
        <v>84</v>
      </c>
    </row>
    <row r="82" spans="1:3" x14ac:dyDescent="0.25">
      <c r="B82" s="6" t="s">
        <v>80</v>
      </c>
      <c r="C82" t="s">
        <v>70</v>
      </c>
    </row>
    <row r="83" spans="1:3" x14ac:dyDescent="0.25">
      <c r="A83" s="2"/>
      <c r="B83" t="s">
        <v>77</v>
      </c>
      <c r="C83" t="s">
        <v>75</v>
      </c>
    </row>
    <row r="84" spans="1:3" x14ac:dyDescent="0.25">
      <c r="A84" s="2"/>
    </row>
    <row r="86" spans="1:3" x14ac:dyDescent="0.25">
      <c r="A86" s="2" t="s">
        <v>72</v>
      </c>
      <c r="B86" s="2" t="s">
        <v>76</v>
      </c>
    </row>
    <row r="87" spans="1:3" x14ac:dyDescent="0.25">
      <c r="B87" t="s">
        <v>78</v>
      </c>
      <c r="C87" t="s">
        <v>79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D63E8-6ED6-46D4-B0F5-CB7D2297EB7B}">
  <sheetPr codeName="Blad21">
    <tabColor theme="8" tint="0.59999389629810485"/>
    <pageSetUpPr fitToPage="1"/>
  </sheetPr>
  <dimension ref="A1:Q31"/>
  <sheetViews>
    <sheetView showGridLines="0" zoomScale="70" zoomScaleNormal="70" workbookViewId="0">
      <selection activeCell="B2" sqref="B2:C2"/>
    </sheetView>
  </sheetViews>
  <sheetFormatPr defaultColWidth="11" defaultRowHeight="12.75" x14ac:dyDescent="0.2"/>
  <cols>
    <col min="1" max="1" width="28.625" style="52" customWidth="1"/>
    <col min="2" max="2" width="12.625" style="52" customWidth="1"/>
    <col min="3" max="3" width="32.625" style="52" customWidth="1"/>
    <col min="4" max="4" width="12.625" style="54" customWidth="1"/>
    <col min="5" max="6" width="12.625" style="52" customWidth="1"/>
    <col min="7" max="7" width="12.625" style="55" customWidth="1"/>
    <col min="8" max="9" width="20.625" style="52" customWidth="1"/>
    <col min="10" max="10" width="12.125" style="52" customWidth="1"/>
    <col min="11" max="11" width="9.125" style="55" customWidth="1"/>
    <col min="12" max="12" width="8.625" style="52" hidden="1" customWidth="1"/>
    <col min="13" max="13" width="10.875" style="52" hidden="1" customWidth="1"/>
    <col min="14" max="14" width="12.625" style="52" customWidth="1"/>
    <col min="15" max="15" width="12.625" style="52" hidden="1" customWidth="1"/>
    <col min="16" max="16" width="12.625" style="52" customWidth="1"/>
    <col min="17" max="17" width="36.375" style="52" customWidth="1"/>
    <col min="18" max="18" width="17.125" style="52" customWidth="1"/>
    <col min="19" max="16384" width="11" style="52"/>
  </cols>
  <sheetData>
    <row r="1" spans="1:17" ht="15.75" customHeight="1" x14ac:dyDescent="0.2">
      <c r="A1" s="53" t="s">
        <v>240</v>
      </c>
      <c r="B1" s="53"/>
    </row>
    <row r="2" spans="1:17" ht="15.75" customHeight="1" thickBot="1" x14ac:dyDescent="0.25">
      <c r="A2" s="152" t="s">
        <v>189</v>
      </c>
      <c r="B2" s="169"/>
      <c r="C2" s="173"/>
      <c r="D2" s="118" t="s">
        <v>266</v>
      </c>
    </row>
    <row r="3" spans="1:17" ht="15.75" customHeight="1" thickTop="1" thickBot="1" x14ac:dyDescent="0.25">
      <c r="A3" s="153" t="s">
        <v>190</v>
      </c>
      <c r="B3" s="171"/>
      <c r="C3" s="174"/>
    </row>
    <row r="4" spans="1:17" ht="15.75" customHeight="1" thickTop="1" x14ac:dyDescent="0.2">
      <c r="G4" s="58"/>
    </row>
    <row r="5" spans="1:17" ht="60" customHeight="1" x14ac:dyDescent="0.2">
      <c r="A5" s="59" t="s">
        <v>221</v>
      </c>
      <c r="B5" s="60" t="s">
        <v>225</v>
      </c>
      <c r="C5" s="91" t="s">
        <v>227</v>
      </c>
      <c r="D5" s="155" t="s">
        <v>224</v>
      </c>
      <c r="E5" s="84" t="s">
        <v>218</v>
      </c>
      <c r="F5" s="84" t="s">
        <v>219</v>
      </c>
      <c r="G5" s="156" t="s">
        <v>36</v>
      </c>
      <c r="H5" s="157" t="s">
        <v>173</v>
      </c>
      <c r="I5" s="158" t="s">
        <v>191</v>
      </c>
      <c r="J5" s="96" t="s">
        <v>226</v>
      </c>
      <c r="K5" s="97" t="s">
        <v>39</v>
      </c>
      <c r="L5" s="59" t="s">
        <v>184</v>
      </c>
      <c r="M5" s="59" t="s">
        <v>183</v>
      </c>
      <c r="N5" s="62" t="s">
        <v>222</v>
      </c>
      <c r="O5" s="60" t="s">
        <v>220</v>
      </c>
      <c r="P5" s="80" t="s">
        <v>223</v>
      </c>
      <c r="Q5" s="63"/>
    </row>
    <row r="6" spans="1:17" ht="15.75" customHeight="1" x14ac:dyDescent="0.2">
      <c r="A6" s="137" t="s">
        <v>198</v>
      </c>
      <c r="B6" s="136">
        <v>5122</v>
      </c>
      <c r="C6" s="64"/>
      <c r="D6" s="65">
        <v>36</v>
      </c>
      <c r="E6" s="82">
        <f t="shared" ref="E6:E25" si="0">CEILING(B6/D6,1)</f>
        <v>143</v>
      </c>
      <c r="F6" s="83">
        <v>25.8</v>
      </c>
      <c r="G6" s="66"/>
      <c r="H6" s="67" t="s">
        <v>188</v>
      </c>
      <c r="I6" s="67" t="s">
        <v>188</v>
      </c>
      <c r="J6" s="68"/>
      <c r="K6" s="69"/>
      <c r="L6" s="70" t="str">
        <f>IFERROR(TblReferentiescoreT13215161741848131516[[#This Row],[Aantal
ritten]]*TblReferentiescoreT13215161741848131516[[#This Row],[Afstand
per rit
'[km']]]*TblReferentiescoreT13215161741848131516[[#This Row],[Gemiddeld
volume
per rit
'[ton']]]*VLOOKUP(TblReferentiescoreT13215161741848131516[[#This Row],[Type transportmiddel]],TblType[],2,0),"")</f>
        <v/>
      </c>
      <c r="M6" s="70" t="str">
        <f>IFERROR(TblReferentiescoreT13215161741848131516[[#This Row],[Energie-vraag (MJ)]]/stookwaarde_diesel/dichtheid_diesel*emissiefactor_diesel,"")</f>
        <v/>
      </c>
      <c r="N6" s="71" t="str">
        <f>IFERROR(
     TblReferentiescoreT13215161741848131516[[#This Row],[Referentie-score]]*
          ((100%-TblReferentiescoreT13215161741848131516[[#This Row],[Aandeel
2e energie
-bron]])*INDEX(TblBrandstof[CO2 uitstoot verg 1l diesel],MATCH(TblReferentiescoreT13215161741848131516[[#This Row],[Energiebron]],TblBrandstof[Brandstof],0))+
          TblReferentiescoreT13215161741848131516[[#This Row],[Aandeel
2e energie
-bron]]*INDEX(TblBrandstof[CO2 uitstoot verg 1l diesel],MATCH(IF(OR(TblReferentiescoreT13215161741848131516[[#This Row],[2e energiebron]]="N.v.t.",TblReferentiescoreT13215161741848131516[[#This Row],[2e energiebron]]=""),TblReferentiescoreT13215161741848131516[[#This Row],[Energiebron]],TblReferentiescoreT13215161741848131516[[#This Row],[2e energiebron]]),TblBrandstof[Brandstof],0)))*
      IF(OR(TblReferentiescoreT13215161741848131516[[#This Row],[Motortype]]="Elektrisch",TblReferentiescoreT13215161741848131516[[#This Row],[Hybride]]="Ja"),TblHybride[Waardering hybride],1),"")</f>
        <v/>
      </c>
      <c r="O6" s="71" t="str">
        <f>IFERROR(TblReferentiescoreT13215161741848131516[[#This Row],[CO2-impact
'[kg CO2']]]*IF(INDEX(TblBrandstof[Waardering Euroniveau],MATCH(TblReferentiescoreT13215161741848131516[[#This Row],[Energiebron]],TblBrandstof[Brandstof],0)),VLOOKUP(TblReferentiescoreT13215161741848131516[[#This Row],[Motortype]],TblMotortypeT[],2,0),1),"")</f>
        <v/>
      </c>
      <c r="P6" s="72" t="str">
        <f>IF(TblReferentiescoreT13215161741848131516[[#This Row],[Slibtransport
van rwzi naar rwzi]]&lt;&gt;"",
    IF(TblReferentiescoreT13215161741848131516[[#This Row],[Gemiddeld
volume
per rit
'[ton']]]="","Gemiddelde vracht per volle rit niet gevuld",
    IF(TblReferentiescoreT13215161741848131516[[#This Row],[Afstand
per rit
'[km']]]="","Afstand per rit niet gevuld",
    IF(TblReferentiescoreT13215161741848131516[[#This Row],[Aantal
ritten]]="","Aantal ritten niet gevuld",""))),
  "")</f>
        <v/>
      </c>
    </row>
    <row r="7" spans="1:17" ht="15.75" customHeight="1" x14ac:dyDescent="0.2">
      <c r="A7" s="137" t="s">
        <v>199</v>
      </c>
      <c r="B7" s="136">
        <v>5104</v>
      </c>
      <c r="C7" s="64"/>
      <c r="D7" s="65">
        <v>36</v>
      </c>
      <c r="E7" s="82">
        <f t="shared" si="0"/>
        <v>142</v>
      </c>
      <c r="F7" s="83">
        <v>20</v>
      </c>
      <c r="G7" s="66"/>
      <c r="H7" s="67"/>
      <c r="I7" s="67"/>
      <c r="J7" s="68"/>
      <c r="K7" s="69"/>
      <c r="L7" s="70" t="str">
        <f>IFERROR(TblReferentiescoreT13215161741848131516[[#This Row],[Aantal
ritten]]*TblReferentiescoreT13215161741848131516[[#This Row],[Afstand
per rit
'[km']]]*TblReferentiescoreT13215161741848131516[[#This Row],[Gemiddeld
volume
per rit
'[ton']]]*VLOOKUP(TblReferentiescoreT13215161741848131516[[#This Row],[Type transportmiddel]],TblType[],2,0),"")</f>
        <v/>
      </c>
      <c r="M7" s="70" t="str">
        <f>IFERROR(TblReferentiescoreT13215161741848131516[[#This Row],[Energie-vraag (MJ)]]/stookwaarde_diesel/dichtheid_diesel*emissiefactor_diesel,"")</f>
        <v/>
      </c>
      <c r="N7" s="71" t="str">
        <f>IFERROR(
     TblReferentiescoreT13215161741848131516[[#This Row],[Referentie-score]]*
          ((100%-TblReferentiescoreT13215161741848131516[[#This Row],[Aandeel
2e energie
-bron]])*INDEX(TblBrandstof[CO2 uitstoot verg 1l diesel],MATCH(TblReferentiescoreT13215161741848131516[[#This Row],[Energiebron]],TblBrandstof[Brandstof],0))+
          TblReferentiescoreT13215161741848131516[[#This Row],[Aandeel
2e energie
-bron]]*INDEX(TblBrandstof[CO2 uitstoot verg 1l diesel],MATCH(IF(OR(TblReferentiescoreT13215161741848131516[[#This Row],[2e energiebron]]="N.v.t.",TblReferentiescoreT13215161741848131516[[#This Row],[2e energiebron]]=""),TblReferentiescoreT13215161741848131516[[#This Row],[Energiebron]],TblReferentiescoreT13215161741848131516[[#This Row],[2e energiebron]]),TblBrandstof[Brandstof],0)))*
      IF(OR(TblReferentiescoreT13215161741848131516[[#This Row],[Motortype]]="Elektrisch",TblReferentiescoreT13215161741848131516[[#This Row],[Hybride]]="Ja"),TblHybride[Waardering hybride],1),"")</f>
        <v/>
      </c>
      <c r="O7" s="71" t="str">
        <f>IFERROR(TblReferentiescoreT13215161741848131516[[#This Row],[CO2-impact
'[kg CO2']]]*IF(INDEX(TblBrandstof[Waardering Euroniveau],MATCH(TblReferentiescoreT13215161741848131516[[#This Row],[Energiebron]],TblBrandstof[Brandstof],0)),VLOOKUP(TblReferentiescoreT13215161741848131516[[#This Row],[Motortype]],TblMotortypeT[],2,0),1),"")</f>
        <v/>
      </c>
      <c r="P7" s="73" t="str">
        <f>IF(TblReferentiescoreT13215161741848131516[[#This Row],[Slibtransport
van rwzi naar rwzi]]&lt;&gt;"",
    IF(TblReferentiescoreT13215161741848131516[[#This Row],[Gemiddeld
volume
per rit
'[ton']]]="","Gemiddelde vracht per volle rit niet gevuld",
    IF(TblReferentiescoreT13215161741848131516[[#This Row],[Afstand
per rit
'[km']]]="","Afstand per rit niet gevuld",
    IF(TblReferentiescoreT13215161741848131516[[#This Row],[Aantal
ritten]]="","Aantal ritten niet gevuld",""))),
  "")</f>
        <v/>
      </c>
    </row>
    <row r="8" spans="1:17" ht="15.75" customHeight="1" x14ac:dyDescent="0.2">
      <c r="A8" s="137" t="s">
        <v>200</v>
      </c>
      <c r="B8" s="136">
        <v>22364</v>
      </c>
      <c r="C8" s="64"/>
      <c r="D8" s="65">
        <v>36</v>
      </c>
      <c r="E8" s="82">
        <f t="shared" si="0"/>
        <v>622</v>
      </c>
      <c r="F8" s="83">
        <v>16.899999999999999</v>
      </c>
      <c r="G8" s="66"/>
      <c r="H8" s="67"/>
      <c r="I8" s="67"/>
      <c r="J8" s="68"/>
      <c r="K8" s="69"/>
      <c r="L8" s="70" t="str">
        <f>IFERROR(TblReferentiescoreT13215161741848131516[[#This Row],[Aantal
ritten]]*TblReferentiescoreT13215161741848131516[[#This Row],[Afstand
per rit
'[km']]]*TblReferentiescoreT13215161741848131516[[#This Row],[Gemiddeld
volume
per rit
'[ton']]]*VLOOKUP(TblReferentiescoreT13215161741848131516[[#This Row],[Type transportmiddel]],TblType[],2,0),"")</f>
        <v/>
      </c>
      <c r="M8" s="70" t="str">
        <f>IFERROR(TblReferentiescoreT13215161741848131516[[#This Row],[Energie-vraag (MJ)]]/stookwaarde_diesel/dichtheid_diesel*emissiefactor_diesel,"")</f>
        <v/>
      </c>
      <c r="N8" s="71" t="str">
        <f>IFERROR(
     TblReferentiescoreT13215161741848131516[[#This Row],[Referentie-score]]*
          ((100%-TblReferentiescoreT13215161741848131516[[#This Row],[Aandeel
2e energie
-bron]])*INDEX(TblBrandstof[CO2 uitstoot verg 1l diesel],MATCH(TblReferentiescoreT13215161741848131516[[#This Row],[Energiebron]],TblBrandstof[Brandstof],0))+
          TblReferentiescoreT13215161741848131516[[#This Row],[Aandeel
2e energie
-bron]]*INDEX(TblBrandstof[CO2 uitstoot verg 1l diesel],MATCH(IF(OR(TblReferentiescoreT13215161741848131516[[#This Row],[2e energiebron]]="N.v.t.",TblReferentiescoreT13215161741848131516[[#This Row],[2e energiebron]]=""),TblReferentiescoreT13215161741848131516[[#This Row],[Energiebron]],TblReferentiescoreT13215161741848131516[[#This Row],[2e energiebron]]),TblBrandstof[Brandstof],0)))*
      IF(OR(TblReferentiescoreT13215161741848131516[[#This Row],[Motortype]]="Elektrisch",TblReferentiescoreT13215161741848131516[[#This Row],[Hybride]]="Ja"),TblHybride[Waardering hybride],1),"")</f>
        <v/>
      </c>
      <c r="O8" s="71" t="str">
        <f>IFERROR(TblReferentiescoreT13215161741848131516[[#This Row],[CO2-impact
'[kg CO2']]]*IF(INDEX(TblBrandstof[Waardering Euroniveau],MATCH(TblReferentiescoreT13215161741848131516[[#This Row],[Energiebron]],TblBrandstof[Brandstof],0)),VLOOKUP(TblReferentiescoreT13215161741848131516[[#This Row],[Motortype]],TblMotortypeT[],2,0),1),"")</f>
        <v/>
      </c>
      <c r="P8" s="73" t="str">
        <f>IF(TblReferentiescoreT13215161741848131516[[#This Row],[Slibtransport
van rwzi naar rwzi]]&lt;&gt;"",
    IF(TblReferentiescoreT13215161741848131516[[#This Row],[Gemiddeld
volume
per rit
'[ton']]]="","Gemiddelde vracht per volle rit niet gevuld",
    IF(TblReferentiescoreT13215161741848131516[[#This Row],[Afstand
per rit
'[km']]]="","Afstand per rit niet gevuld",
    IF(TblReferentiescoreT13215161741848131516[[#This Row],[Aantal
ritten]]="","Aantal ritten niet gevuld",""))),
  "")</f>
        <v/>
      </c>
    </row>
    <row r="9" spans="1:17" ht="15.75" customHeight="1" x14ac:dyDescent="0.2">
      <c r="A9" s="137" t="s">
        <v>201</v>
      </c>
      <c r="B9" s="136">
        <v>8265</v>
      </c>
      <c r="C9" s="64"/>
      <c r="D9" s="65">
        <v>36</v>
      </c>
      <c r="E9" s="82">
        <f t="shared" si="0"/>
        <v>230</v>
      </c>
      <c r="F9" s="83">
        <v>28.4</v>
      </c>
      <c r="G9" s="66"/>
      <c r="H9" s="67"/>
      <c r="I9" s="67"/>
      <c r="J9" s="68"/>
      <c r="K9" s="69"/>
      <c r="L9" s="70" t="str">
        <f>IFERROR(TblReferentiescoreT13215161741848131516[[#This Row],[Aantal
ritten]]*TblReferentiescoreT13215161741848131516[[#This Row],[Afstand
per rit
'[km']]]*TblReferentiescoreT13215161741848131516[[#This Row],[Gemiddeld
volume
per rit
'[ton']]]*VLOOKUP(TblReferentiescoreT13215161741848131516[[#This Row],[Type transportmiddel]],TblType[],2,0),"")</f>
        <v/>
      </c>
      <c r="M9" s="70" t="str">
        <f>IFERROR(TblReferentiescoreT13215161741848131516[[#This Row],[Energie-vraag (MJ)]]/stookwaarde_diesel/dichtheid_diesel*emissiefactor_diesel,"")</f>
        <v/>
      </c>
      <c r="N9" s="71" t="str">
        <f>IFERROR(
     TblReferentiescoreT13215161741848131516[[#This Row],[Referentie-score]]*
          ((100%-TblReferentiescoreT13215161741848131516[[#This Row],[Aandeel
2e energie
-bron]])*INDEX(TblBrandstof[CO2 uitstoot verg 1l diesel],MATCH(TblReferentiescoreT13215161741848131516[[#This Row],[Energiebron]],TblBrandstof[Brandstof],0))+
          TblReferentiescoreT13215161741848131516[[#This Row],[Aandeel
2e energie
-bron]]*INDEX(TblBrandstof[CO2 uitstoot verg 1l diesel],MATCH(IF(OR(TblReferentiescoreT13215161741848131516[[#This Row],[2e energiebron]]="N.v.t.",TblReferentiescoreT13215161741848131516[[#This Row],[2e energiebron]]=""),TblReferentiescoreT13215161741848131516[[#This Row],[Energiebron]],TblReferentiescoreT13215161741848131516[[#This Row],[2e energiebron]]),TblBrandstof[Brandstof],0)))*
      IF(OR(TblReferentiescoreT13215161741848131516[[#This Row],[Motortype]]="Elektrisch",TblReferentiescoreT13215161741848131516[[#This Row],[Hybride]]="Ja"),TblHybride[Waardering hybride],1),"")</f>
        <v/>
      </c>
      <c r="O9" s="71" t="str">
        <f>IFERROR(TblReferentiescoreT13215161741848131516[[#This Row],[CO2-impact
'[kg CO2']]]*IF(INDEX(TblBrandstof[Waardering Euroniveau],MATCH(TblReferentiescoreT13215161741848131516[[#This Row],[Energiebron]],TblBrandstof[Brandstof],0)),VLOOKUP(TblReferentiescoreT13215161741848131516[[#This Row],[Motortype]],TblMotortypeT[],2,0),1),"")</f>
        <v/>
      </c>
      <c r="P9" s="73" t="str">
        <f>IF(TblReferentiescoreT13215161741848131516[[#This Row],[Slibtransport
van rwzi naar rwzi]]&lt;&gt;"",
    IF(TblReferentiescoreT13215161741848131516[[#This Row],[Gemiddeld
volume
per rit
'[ton']]]="","Gemiddelde vracht per volle rit niet gevuld",
    IF(TblReferentiescoreT13215161741848131516[[#This Row],[Afstand
per rit
'[km']]]="","Afstand per rit niet gevuld",
    IF(TblReferentiescoreT13215161741848131516[[#This Row],[Aantal
ritten]]="","Aantal ritten niet gevuld",""))),
  "")</f>
        <v/>
      </c>
    </row>
    <row r="10" spans="1:17" ht="15.75" customHeight="1" x14ac:dyDescent="0.2">
      <c r="A10" s="137" t="s">
        <v>202</v>
      </c>
      <c r="B10" s="136">
        <v>4548</v>
      </c>
      <c r="C10" s="64"/>
      <c r="D10" s="65">
        <v>36</v>
      </c>
      <c r="E10" s="82">
        <f t="shared" si="0"/>
        <v>127</v>
      </c>
      <c r="F10" s="83">
        <v>8.4</v>
      </c>
      <c r="G10" s="66"/>
      <c r="H10" s="67"/>
      <c r="I10" s="67"/>
      <c r="J10" s="68"/>
      <c r="K10" s="69"/>
      <c r="L10" s="70" t="str">
        <f>IFERROR(TblReferentiescoreT13215161741848131516[[#This Row],[Aantal
ritten]]*TblReferentiescoreT13215161741848131516[[#This Row],[Afstand
per rit
'[km']]]*TblReferentiescoreT13215161741848131516[[#This Row],[Gemiddeld
volume
per rit
'[ton']]]*VLOOKUP(TblReferentiescoreT13215161741848131516[[#This Row],[Type transportmiddel]],TblType[],2,0),"")</f>
        <v/>
      </c>
      <c r="M10" s="70" t="str">
        <f>IFERROR(TblReferentiescoreT13215161741848131516[[#This Row],[Energie-vraag (MJ)]]/stookwaarde_diesel/dichtheid_diesel*emissiefactor_diesel,"")</f>
        <v/>
      </c>
      <c r="N10" s="71" t="str">
        <f>IFERROR(
     TblReferentiescoreT13215161741848131516[[#This Row],[Referentie-score]]*
          ((100%-TblReferentiescoreT13215161741848131516[[#This Row],[Aandeel
2e energie
-bron]])*INDEX(TblBrandstof[CO2 uitstoot verg 1l diesel],MATCH(TblReferentiescoreT13215161741848131516[[#This Row],[Energiebron]],TblBrandstof[Brandstof],0))+
          TblReferentiescoreT13215161741848131516[[#This Row],[Aandeel
2e energie
-bron]]*INDEX(TblBrandstof[CO2 uitstoot verg 1l diesel],MATCH(IF(OR(TblReferentiescoreT13215161741848131516[[#This Row],[2e energiebron]]="N.v.t.",TblReferentiescoreT13215161741848131516[[#This Row],[2e energiebron]]=""),TblReferentiescoreT13215161741848131516[[#This Row],[Energiebron]],TblReferentiescoreT13215161741848131516[[#This Row],[2e energiebron]]),TblBrandstof[Brandstof],0)))*
      IF(OR(TblReferentiescoreT13215161741848131516[[#This Row],[Motortype]]="Elektrisch",TblReferentiescoreT13215161741848131516[[#This Row],[Hybride]]="Ja"),TblHybride[Waardering hybride],1),"")</f>
        <v/>
      </c>
      <c r="O10" s="71" t="str">
        <f>IFERROR(TblReferentiescoreT13215161741848131516[[#This Row],[CO2-impact
'[kg CO2']]]*IF(INDEX(TblBrandstof[Waardering Euroniveau],MATCH(TblReferentiescoreT13215161741848131516[[#This Row],[Energiebron]],TblBrandstof[Brandstof],0)),VLOOKUP(TblReferentiescoreT13215161741848131516[[#This Row],[Motortype]],TblMotortypeT[],2,0),1),"")</f>
        <v/>
      </c>
      <c r="P10" s="73" t="str">
        <f>IF(TblReferentiescoreT13215161741848131516[[#This Row],[Slibtransport
van rwzi naar rwzi]]&lt;&gt;"",
    IF(TblReferentiescoreT13215161741848131516[[#This Row],[Gemiddeld
volume
per rit
'[ton']]]="","Gemiddelde vracht per volle rit niet gevuld",
    IF(TblReferentiescoreT13215161741848131516[[#This Row],[Afstand
per rit
'[km']]]="","Afstand per rit niet gevuld",
    IF(TblReferentiescoreT13215161741848131516[[#This Row],[Aantal
ritten]]="","Aantal ritten niet gevuld",""))),
  "")</f>
        <v/>
      </c>
    </row>
    <row r="11" spans="1:17" ht="15.75" customHeight="1" x14ac:dyDescent="0.2">
      <c r="A11" s="137" t="s">
        <v>203</v>
      </c>
      <c r="B11" s="136">
        <v>18525</v>
      </c>
      <c r="C11" s="64"/>
      <c r="D11" s="65">
        <v>36</v>
      </c>
      <c r="E11" s="82">
        <f t="shared" si="0"/>
        <v>515</v>
      </c>
      <c r="F11" s="83">
        <v>18.399999999999999</v>
      </c>
      <c r="G11" s="66"/>
      <c r="H11" s="67"/>
      <c r="I11" s="67"/>
      <c r="J11" s="68"/>
      <c r="K11" s="69"/>
      <c r="L11" s="70" t="str">
        <f>IFERROR(TblReferentiescoreT13215161741848131516[[#This Row],[Aantal
ritten]]*TblReferentiescoreT13215161741848131516[[#This Row],[Afstand
per rit
'[km']]]*TblReferentiescoreT13215161741848131516[[#This Row],[Gemiddeld
volume
per rit
'[ton']]]*VLOOKUP(TblReferentiescoreT13215161741848131516[[#This Row],[Type transportmiddel]],TblType[],2,0),"")</f>
        <v/>
      </c>
      <c r="M11" s="70" t="str">
        <f>IFERROR(TblReferentiescoreT13215161741848131516[[#This Row],[Energie-vraag (MJ)]]/stookwaarde_diesel/dichtheid_diesel*emissiefactor_diesel,"")</f>
        <v/>
      </c>
      <c r="N11" s="71" t="str">
        <f>IFERROR(
     TblReferentiescoreT13215161741848131516[[#This Row],[Referentie-score]]*
          ((100%-TblReferentiescoreT13215161741848131516[[#This Row],[Aandeel
2e energie
-bron]])*INDEX(TblBrandstof[CO2 uitstoot verg 1l diesel],MATCH(TblReferentiescoreT13215161741848131516[[#This Row],[Energiebron]],TblBrandstof[Brandstof],0))+
          TblReferentiescoreT13215161741848131516[[#This Row],[Aandeel
2e energie
-bron]]*INDEX(TblBrandstof[CO2 uitstoot verg 1l diesel],MATCH(IF(OR(TblReferentiescoreT13215161741848131516[[#This Row],[2e energiebron]]="N.v.t.",TblReferentiescoreT13215161741848131516[[#This Row],[2e energiebron]]=""),TblReferentiescoreT13215161741848131516[[#This Row],[Energiebron]],TblReferentiescoreT13215161741848131516[[#This Row],[2e energiebron]]),TblBrandstof[Brandstof],0)))*
      IF(OR(TblReferentiescoreT13215161741848131516[[#This Row],[Motortype]]="Elektrisch",TblReferentiescoreT13215161741848131516[[#This Row],[Hybride]]="Ja"),TblHybride[Waardering hybride],1),"")</f>
        <v/>
      </c>
      <c r="O11" s="71" t="str">
        <f>IFERROR(TblReferentiescoreT13215161741848131516[[#This Row],[CO2-impact
'[kg CO2']]]*IF(INDEX(TblBrandstof[Waardering Euroniveau],MATCH(TblReferentiescoreT13215161741848131516[[#This Row],[Energiebron]],TblBrandstof[Brandstof],0)),VLOOKUP(TblReferentiescoreT13215161741848131516[[#This Row],[Motortype]],TblMotortypeT[],2,0),1),"")</f>
        <v/>
      </c>
      <c r="P11" s="73" t="str">
        <f>IF(TblReferentiescoreT13215161741848131516[[#This Row],[Slibtransport
van rwzi naar rwzi]]&lt;&gt;"",
    IF(TblReferentiescoreT13215161741848131516[[#This Row],[Gemiddeld
volume
per rit
'[ton']]]="","Gemiddelde vracht per volle rit niet gevuld",
    IF(TblReferentiescoreT13215161741848131516[[#This Row],[Afstand
per rit
'[km']]]="","Afstand per rit niet gevuld",
    IF(TblReferentiescoreT13215161741848131516[[#This Row],[Aantal
ritten]]="","Aantal ritten niet gevuld",""))),
  "")</f>
        <v/>
      </c>
    </row>
    <row r="12" spans="1:17" ht="15.75" customHeight="1" x14ac:dyDescent="0.2">
      <c r="A12" s="137" t="s">
        <v>204</v>
      </c>
      <c r="B12" s="136">
        <v>17352</v>
      </c>
      <c r="C12" s="64"/>
      <c r="D12" s="65">
        <v>36</v>
      </c>
      <c r="E12" s="82">
        <f t="shared" si="0"/>
        <v>482</v>
      </c>
      <c r="F12" s="83">
        <v>31</v>
      </c>
      <c r="G12" s="66"/>
      <c r="H12" s="67"/>
      <c r="I12" s="67"/>
      <c r="J12" s="68"/>
      <c r="K12" s="69"/>
      <c r="L12" s="70" t="str">
        <f>IFERROR(TblReferentiescoreT13215161741848131516[[#This Row],[Aantal
ritten]]*TblReferentiescoreT13215161741848131516[[#This Row],[Afstand
per rit
'[km']]]*TblReferentiescoreT13215161741848131516[[#This Row],[Gemiddeld
volume
per rit
'[ton']]]*VLOOKUP(TblReferentiescoreT13215161741848131516[[#This Row],[Type transportmiddel]],TblType[],2,0),"")</f>
        <v/>
      </c>
      <c r="M12" s="70" t="str">
        <f>IFERROR(TblReferentiescoreT13215161741848131516[[#This Row],[Energie-vraag (MJ)]]/stookwaarde_diesel/dichtheid_diesel*emissiefactor_diesel,"")</f>
        <v/>
      </c>
      <c r="N12" s="71" t="str">
        <f>IFERROR(
     TblReferentiescoreT13215161741848131516[[#This Row],[Referentie-score]]*
          ((100%-TblReferentiescoreT13215161741848131516[[#This Row],[Aandeel
2e energie
-bron]])*INDEX(TblBrandstof[CO2 uitstoot verg 1l diesel],MATCH(TblReferentiescoreT13215161741848131516[[#This Row],[Energiebron]],TblBrandstof[Brandstof],0))+
          TblReferentiescoreT13215161741848131516[[#This Row],[Aandeel
2e energie
-bron]]*INDEX(TblBrandstof[CO2 uitstoot verg 1l diesel],MATCH(IF(OR(TblReferentiescoreT13215161741848131516[[#This Row],[2e energiebron]]="N.v.t.",TblReferentiescoreT13215161741848131516[[#This Row],[2e energiebron]]=""),TblReferentiescoreT13215161741848131516[[#This Row],[Energiebron]],TblReferentiescoreT13215161741848131516[[#This Row],[2e energiebron]]),TblBrandstof[Brandstof],0)))*
      IF(OR(TblReferentiescoreT13215161741848131516[[#This Row],[Motortype]]="Elektrisch",TblReferentiescoreT13215161741848131516[[#This Row],[Hybride]]="Ja"),TblHybride[Waardering hybride],1),"")</f>
        <v/>
      </c>
      <c r="O12" s="71" t="str">
        <f>IFERROR(TblReferentiescoreT13215161741848131516[[#This Row],[CO2-impact
'[kg CO2']]]*IF(INDEX(TblBrandstof[Waardering Euroniveau],MATCH(TblReferentiescoreT13215161741848131516[[#This Row],[Energiebron]],TblBrandstof[Brandstof],0)),VLOOKUP(TblReferentiescoreT13215161741848131516[[#This Row],[Motortype]],TblMotortypeT[],2,0),1),"")</f>
        <v/>
      </c>
      <c r="P12" s="73" t="str">
        <f>IF(TblReferentiescoreT13215161741848131516[[#This Row],[Slibtransport
van rwzi naar rwzi]]&lt;&gt;"",
    IF(TblReferentiescoreT13215161741848131516[[#This Row],[Gemiddeld
volume
per rit
'[ton']]]="","Gemiddelde vracht per volle rit niet gevuld",
    IF(TblReferentiescoreT13215161741848131516[[#This Row],[Afstand
per rit
'[km']]]="","Afstand per rit niet gevuld",
    IF(TblReferentiescoreT13215161741848131516[[#This Row],[Aantal
ritten]]="","Aantal ritten niet gevuld",""))),
  "")</f>
        <v/>
      </c>
    </row>
    <row r="13" spans="1:17" ht="15.75" customHeight="1" x14ac:dyDescent="0.2">
      <c r="A13" s="137" t="s">
        <v>205</v>
      </c>
      <c r="B13" s="136">
        <v>4125</v>
      </c>
      <c r="C13" s="64"/>
      <c r="D13" s="65">
        <v>36</v>
      </c>
      <c r="E13" s="82">
        <f t="shared" si="0"/>
        <v>115</v>
      </c>
      <c r="F13" s="83">
        <v>17.2</v>
      </c>
      <c r="G13" s="66"/>
      <c r="H13" s="67"/>
      <c r="I13" s="67"/>
      <c r="J13" s="68"/>
      <c r="K13" s="69"/>
      <c r="L13" s="70" t="str">
        <f>IFERROR(TblReferentiescoreT13215161741848131516[[#This Row],[Aantal
ritten]]*TblReferentiescoreT13215161741848131516[[#This Row],[Afstand
per rit
'[km']]]*TblReferentiescoreT13215161741848131516[[#This Row],[Gemiddeld
volume
per rit
'[ton']]]*VLOOKUP(TblReferentiescoreT13215161741848131516[[#This Row],[Type transportmiddel]],TblType[],2,0),"")</f>
        <v/>
      </c>
      <c r="M13" s="70" t="str">
        <f>IFERROR(TblReferentiescoreT13215161741848131516[[#This Row],[Energie-vraag (MJ)]]/stookwaarde_diesel/dichtheid_diesel*emissiefactor_diesel,"")</f>
        <v/>
      </c>
      <c r="N13" s="71" t="str">
        <f>IFERROR(
     TblReferentiescoreT13215161741848131516[[#This Row],[Referentie-score]]*
          ((100%-TblReferentiescoreT13215161741848131516[[#This Row],[Aandeel
2e energie
-bron]])*INDEX(TblBrandstof[CO2 uitstoot verg 1l diesel],MATCH(TblReferentiescoreT13215161741848131516[[#This Row],[Energiebron]],TblBrandstof[Brandstof],0))+
          TblReferentiescoreT13215161741848131516[[#This Row],[Aandeel
2e energie
-bron]]*INDEX(TblBrandstof[CO2 uitstoot verg 1l diesel],MATCH(IF(OR(TblReferentiescoreT13215161741848131516[[#This Row],[2e energiebron]]="N.v.t.",TblReferentiescoreT13215161741848131516[[#This Row],[2e energiebron]]=""),TblReferentiescoreT13215161741848131516[[#This Row],[Energiebron]],TblReferentiescoreT13215161741848131516[[#This Row],[2e energiebron]]),TblBrandstof[Brandstof],0)))*
      IF(OR(TblReferentiescoreT13215161741848131516[[#This Row],[Motortype]]="Elektrisch",TblReferentiescoreT13215161741848131516[[#This Row],[Hybride]]="Ja"),TblHybride[Waardering hybride],1),"")</f>
        <v/>
      </c>
      <c r="O13" s="71" t="str">
        <f>IFERROR(TblReferentiescoreT13215161741848131516[[#This Row],[CO2-impact
'[kg CO2']]]*IF(INDEX(TblBrandstof[Waardering Euroniveau],MATCH(TblReferentiescoreT13215161741848131516[[#This Row],[Energiebron]],TblBrandstof[Brandstof],0)),VLOOKUP(TblReferentiescoreT13215161741848131516[[#This Row],[Motortype]],TblMotortypeT[],2,0),1),"")</f>
        <v/>
      </c>
      <c r="P13" s="73" t="str">
        <f>IF(TblReferentiescoreT13215161741848131516[[#This Row],[Slibtransport
van rwzi naar rwzi]]&lt;&gt;"",
    IF(TblReferentiescoreT13215161741848131516[[#This Row],[Gemiddeld
volume
per rit
'[ton']]]="","Gemiddelde vracht per volle rit niet gevuld",
    IF(TblReferentiescoreT13215161741848131516[[#This Row],[Afstand
per rit
'[km']]]="","Afstand per rit niet gevuld",
    IF(TblReferentiescoreT13215161741848131516[[#This Row],[Aantal
ritten]]="","Aantal ritten niet gevuld",""))),
  "")</f>
        <v/>
      </c>
    </row>
    <row r="14" spans="1:17" ht="15.75" customHeight="1" x14ac:dyDescent="0.2">
      <c r="A14" s="137" t="s">
        <v>206</v>
      </c>
      <c r="B14" s="136">
        <v>1548</v>
      </c>
      <c r="C14" s="64"/>
      <c r="D14" s="65">
        <v>36</v>
      </c>
      <c r="E14" s="82">
        <f t="shared" si="0"/>
        <v>43</v>
      </c>
      <c r="F14" s="83">
        <v>29.8</v>
      </c>
      <c r="G14" s="66"/>
      <c r="H14" s="67"/>
      <c r="I14" s="67"/>
      <c r="J14" s="68"/>
      <c r="K14" s="69"/>
      <c r="L14" s="70" t="str">
        <f>IFERROR(TblReferentiescoreT13215161741848131516[[#This Row],[Aantal
ritten]]*TblReferentiescoreT13215161741848131516[[#This Row],[Afstand
per rit
'[km']]]*TblReferentiescoreT13215161741848131516[[#This Row],[Gemiddeld
volume
per rit
'[ton']]]*VLOOKUP(TblReferentiescoreT13215161741848131516[[#This Row],[Type transportmiddel]],TblType[],2,0),"")</f>
        <v/>
      </c>
      <c r="M14" s="70" t="str">
        <f>IFERROR(TblReferentiescoreT13215161741848131516[[#This Row],[Energie-vraag (MJ)]]/stookwaarde_diesel/dichtheid_diesel*emissiefactor_diesel,"")</f>
        <v/>
      </c>
      <c r="N14" s="71" t="str">
        <f>IFERROR(
     TblReferentiescoreT13215161741848131516[[#This Row],[Referentie-score]]*
          ((100%-TblReferentiescoreT13215161741848131516[[#This Row],[Aandeel
2e energie
-bron]])*INDEX(TblBrandstof[CO2 uitstoot verg 1l diesel],MATCH(TblReferentiescoreT13215161741848131516[[#This Row],[Energiebron]],TblBrandstof[Brandstof],0))+
          TblReferentiescoreT13215161741848131516[[#This Row],[Aandeel
2e energie
-bron]]*INDEX(TblBrandstof[CO2 uitstoot verg 1l diesel],MATCH(IF(OR(TblReferentiescoreT13215161741848131516[[#This Row],[2e energiebron]]="N.v.t.",TblReferentiescoreT13215161741848131516[[#This Row],[2e energiebron]]=""),TblReferentiescoreT13215161741848131516[[#This Row],[Energiebron]],TblReferentiescoreT13215161741848131516[[#This Row],[2e energiebron]]),TblBrandstof[Brandstof],0)))*
      IF(OR(TblReferentiescoreT13215161741848131516[[#This Row],[Motortype]]="Elektrisch",TblReferentiescoreT13215161741848131516[[#This Row],[Hybride]]="Ja"),TblHybride[Waardering hybride],1),"")</f>
        <v/>
      </c>
      <c r="O14" s="71" t="str">
        <f>IFERROR(TblReferentiescoreT13215161741848131516[[#This Row],[CO2-impact
'[kg CO2']]]*IF(INDEX(TblBrandstof[Waardering Euroniveau],MATCH(TblReferentiescoreT13215161741848131516[[#This Row],[Energiebron]],TblBrandstof[Brandstof],0)),VLOOKUP(TblReferentiescoreT13215161741848131516[[#This Row],[Motortype]],TblMotortypeT[],2,0),1),"")</f>
        <v/>
      </c>
      <c r="P14" s="73" t="str">
        <f>IF(TblReferentiescoreT13215161741848131516[[#This Row],[Slibtransport
van rwzi naar rwzi]]&lt;&gt;"",
    IF(TblReferentiescoreT13215161741848131516[[#This Row],[Gemiddeld
volume
per rit
'[ton']]]="","Gemiddelde vracht per volle rit niet gevuld",
    IF(TblReferentiescoreT13215161741848131516[[#This Row],[Afstand
per rit
'[km']]]="","Afstand per rit niet gevuld",
    IF(TblReferentiescoreT13215161741848131516[[#This Row],[Aantal
ritten]]="","Aantal ritten niet gevuld",""))),
  "")</f>
        <v/>
      </c>
    </row>
    <row r="15" spans="1:17" ht="15.75" customHeight="1" x14ac:dyDescent="0.2">
      <c r="A15" s="137" t="s">
        <v>207</v>
      </c>
      <c r="B15" s="136">
        <v>2595</v>
      </c>
      <c r="C15" s="64"/>
      <c r="D15" s="65">
        <v>36</v>
      </c>
      <c r="E15" s="82">
        <f t="shared" si="0"/>
        <v>73</v>
      </c>
      <c r="F15" s="83">
        <v>17.2</v>
      </c>
      <c r="G15" s="66"/>
      <c r="H15" s="67"/>
      <c r="I15" s="67"/>
      <c r="J15" s="68"/>
      <c r="K15" s="69"/>
      <c r="L15" s="70" t="str">
        <f>IFERROR(TblReferentiescoreT13215161741848131516[[#This Row],[Aantal
ritten]]*TblReferentiescoreT13215161741848131516[[#This Row],[Afstand
per rit
'[km']]]*TblReferentiescoreT13215161741848131516[[#This Row],[Gemiddeld
volume
per rit
'[ton']]]*VLOOKUP(TblReferentiescoreT13215161741848131516[[#This Row],[Type transportmiddel]],TblType[],2,0),"")</f>
        <v/>
      </c>
      <c r="M15" s="70" t="str">
        <f>IFERROR(TblReferentiescoreT13215161741848131516[[#This Row],[Energie-vraag (MJ)]]/stookwaarde_diesel/dichtheid_diesel*emissiefactor_diesel,"")</f>
        <v/>
      </c>
      <c r="N15" s="71" t="str">
        <f>IFERROR(
     TblReferentiescoreT13215161741848131516[[#This Row],[Referentie-score]]*
          ((100%-TblReferentiescoreT13215161741848131516[[#This Row],[Aandeel
2e energie
-bron]])*INDEX(TblBrandstof[CO2 uitstoot verg 1l diesel],MATCH(TblReferentiescoreT13215161741848131516[[#This Row],[Energiebron]],TblBrandstof[Brandstof],0))+
          TblReferentiescoreT13215161741848131516[[#This Row],[Aandeel
2e energie
-bron]]*INDEX(TblBrandstof[CO2 uitstoot verg 1l diesel],MATCH(IF(OR(TblReferentiescoreT13215161741848131516[[#This Row],[2e energiebron]]="N.v.t.",TblReferentiescoreT13215161741848131516[[#This Row],[2e energiebron]]=""),TblReferentiescoreT13215161741848131516[[#This Row],[Energiebron]],TblReferentiescoreT13215161741848131516[[#This Row],[2e energiebron]]),TblBrandstof[Brandstof],0)))*
      IF(OR(TblReferentiescoreT13215161741848131516[[#This Row],[Motortype]]="Elektrisch",TblReferentiescoreT13215161741848131516[[#This Row],[Hybride]]="Ja"),TblHybride[Waardering hybride],1),"")</f>
        <v/>
      </c>
      <c r="O15" s="71" t="str">
        <f>IFERROR(TblReferentiescoreT13215161741848131516[[#This Row],[CO2-impact
'[kg CO2']]]*IF(INDEX(TblBrandstof[Waardering Euroniveau],MATCH(TblReferentiescoreT13215161741848131516[[#This Row],[Energiebron]],TblBrandstof[Brandstof],0)),VLOOKUP(TblReferentiescoreT13215161741848131516[[#This Row],[Motortype]],TblMotortypeT[],2,0),1),"")</f>
        <v/>
      </c>
      <c r="P15" s="73" t="str">
        <f>IF(TblReferentiescoreT13215161741848131516[[#This Row],[Slibtransport
van rwzi naar rwzi]]&lt;&gt;"",
    IF(TblReferentiescoreT13215161741848131516[[#This Row],[Gemiddeld
volume
per rit
'[ton']]]="","Gemiddelde vracht per volle rit niet gevuld",
    IF(TblReferentiescoreT13215161741848131516[[#This Row],[Afstand
per rit
'[km']]]="","Afstand per rit niet gevuld",
    IF(TblReferentiescoreT13215161741848131516[[#This Row],[Aantal
ritten]]="","Aantal ritten niet gevuld",""))),
  "")</f>
        <v/>
      </c>
    </row>
    <row r="16" spans="1:17" ht="15.75" customHeight="1" x14ac:dyDescent="0.2">
      <c r="A16" s="137" t="s">
        <v>208</v>
      </c>
      <c r="B16" s="136">
        <v>3770</v>
      </c>
      <c r="C16" s="64"/>
      <c r="D16" s="65">
        <v>36</v>
      </c>
      <c r="E16" s="82">
        <f t="shared" si="0"/>
        <v>105</v>
      </c>
      <c r="F16" s="83">
        <v>33</v>
      </c>
      <c r="G16" s="66"/>
      <c r="H16" s="67"/>
      <c r="I16" s="67"/>
      <c r="J16" s="68"/>
      <c r="K16" s="69"/>
      <c r="L16" s="70" t="str">
        <f>IFERROR(TblReferentiescoreT13215161741848131516[[#This Row],[Aantal
ritten]]*TblReferentiescoreT13215161741848131516[[#This Row],[Afstand
per rit
'[km']]]*TblReferentiescoreT13215161741848131516[[#This Row],[Gemiddeld
volume
per rit
'[ton']]]*VLOOKUP(TblReferentiescoreT13215161741848131516[[#This Row],[Type transportmiddel]],TblType[],2,0),"")</f>
        <v/>
      </c>
      <c r="M16" s="70" t="str">
        <f>IFERROR(TblReferentiescoreT13215161741848131516[[#This Row],[Energie-vraag (MJ)]]/stookwaarde_diesel/dichtheid_diesel*emissiefactor_diesel,"")</f>
        <v/>
      </c>
      <c r="N16" s="71" t="str">
        <f>IFERROR(
     TblReferentiescoreT13215161741848131516[[#This Row],[Referentie-score]]*
          ((100%-TblReferentiescoreT13215161741848131516[[#This Row],[Aandeel
2e energie
-bron]])*INDEX(TblBrandstof[CO2 uitstoot verg 1l diesel],MATCH(TblReferentiescoreT13215161741848131516[[#This Row],[Energiebron]],TblBrandstof[Brandstof],0))+
          TblReferentiescoreT13215161741848131516[[#This Row],[Aandeel
2e energie
-bron]]*INDEX(TblBrandstof[CO2 uitstoot verg 1l diesel],MATCH(IF(OR(TblReferentiescoreT13215161741848131516[[#This Row],[2e energiebron]]="N.v.t.",TblReferentiescoreT13215161741848131516[[#This Row],[2e energiebron]]=""),TblReferentiescoreT13215161741848131516[[#This Row],[Energiebron]],TblReferentiescoreT13215161741848131516[[#This Row],[2e energiebron]]),TblBrandstof[Brandstof],0)))*
      IF(OR(TblReferentiescoreT13215161741848131516[[#This Row],[Motortype]]="Elektrisch",TblReferentiescoreT13215161741848131516[[#This Row],[Hybride]]="Ja"),TblHybride[Waardering hybride],1),"")</f>
        <v/>
      </c>
      <c r="O16" s="71" t="str">
        <f>IFERROR(TblReferentiescoreT13215161741848131516[[#This Row],[CO2-impact
'[kg CO2']]]*IF(INDEX(TblBrandstof[Waardering Euroniveau],MATCH(TblReferentiescoreT13215161741848131516[[#This Row],[Energiebron]],TblBrandstof[Brandstof],0)),VLOOKUP(TblReferentiescoreT13215161741848131516[[#This Row],[Motortype]],TblMotortypeT[],2,0),1),"")</f>
        <v/>
      </c>
      <c r="P16" s="73" t="str">
        <f>IF(TblReferentiescoreT13215161741848131516[[#This Row],[Slibtransport
van rwzi naar rwzi]]&lt;&gt;"",
    IF(TblReferentiescoreT13215161741848131516[[#This Row],[Gemiddeld
volume
per rit
'[ton']]]="","Gemiddelde vracht per volle rit niet gevuld",
    IF(TblReferentiescoreT13215161741848131516[[#This Row],[Afstand
per rit
'[km']]]="","Afstand per rit niet gevuld",
    IF(TblReferentiescoreT13215161741848131516[[#This Row],[Aantal
ritten]]="","Aantal ritten niet gevuld",""))),
  "")</f>
        <v/>
      </c>
    </row>
    <row r="17" spans="1:17" ht="15.75" customHeight="1" x14ac:dyDescent="0.2">
      <c r="A17" s="137" t="s">
        <v>209</v>
      </c>
      <c r="B17" s="136">
        <v>210</v>
      </c>
      <c r="C17" s="64"/>
      <c r="D17" s="65">
        <v>36</v>
      </c>
      <c r="E17" s="82">
        <f t="shared" si="0"/>
        <v>6</v>
      </c>
      <c r="F17" s="83">
        <v>39</v>
      </c>
      <c r="G17" s="66"/>
      <c r="H17" s="67"/>
      <c r="I17" s="67"/>
      <c r="J17" s="68"/>
      <c r="K17" s="69"/>
      <c r="L17" s="70" t="str">
        <f>IFERROR(TblReferentiescoreT13215161741848131516[[#This Row],[Aantal
ritten]]*TblReferentiescoreT13215161741848131516[[#This Row],[Afstand
per rit
'[km']]]*TblReferentiescoreT13215161741848131516[[#This Row],[Gemiddeld
volume
per rit
'[ton']]]*VLOOKUP(TblReferentiescoreT13215161741848131516[[#This Row],[Type transportmiddel]],TblType[],2,0),"")</f>
        <v/>
      </c>
      <c r="M17" s="70" t="str">
        <f>IFERROR(TblReferentiescoreT13215161741848131516[[#This Row],[Energie-vraag (MJ)]]/stookwaarde_diesel/dichtheid_diesel*emissiefactor_diesel,"")</f>
        <v/>
      </c>
      <c r="N17" s="71" t="str">
        <f>IFERROR(
     TblReferentiescoreT13215161741848131516[[#This Row],[Referentie-score]]*
          ((100%-TblReferentiescoreT13215161741848131516[[#This Row],[Aandeel
2e energie
-bron]])*INDEX(TblBrandstof[CO2 uitstoot verg 1l diesel],MATCH(TblReferentiescoreT13215161741848131516[[#This Row],[Energiebron]],TblBrandstof[Brandstof],0))+
          TblReferentiescoreT13215161741848131516[[#This Row],[Aandeel
2e energie
-bron]]*INDEX(TblBrandstof[CO2 uitstoot verg 1l diesel],MATCH(IF(OR(TblReferentiescoreT13215161741848131516[[#This Row],[2e energiebron]]="N.v.t.",TblReferentiescoreT13215161741848131516[[#This Row],[2e energiebron]]=""),TblReferentiescoreT13215161741848131516[[#This Row],[Energiebron]],TblReferentiescoreT13215161741848131516[[#This Row],[2e energiebron]]),TblBrandstof[Brandstof],0)))*
      IF(OR(TblReferentiescoreT13215161741848131516[[#This Row],[Motortype]]="Elektrisch",TblReferentiescoreT13215161741848131516[[#This Row],[Hybride]]="Ja"),TblHybride[Waardering hybride],1),"")</f>
        <v/>
      </c>
      <c r="O17" s="71" t="str">
        <f>IFERROR(TblReferentiescoreT13215161741848131516[[#This Row],[CO2-impact
'[kg CO2']]]*IF(INDEX(TblBrandstof[Waardering Euroniveau],MATCH(TblReferentiescoreT13215161741848131516[[#This Row],[Energiebron]],TblBrandstof[Brandstof],0)),VLOOKUP(TblReferentiescoreT13215161741848131516[[#This Row],[Motortype]],TblMotortypeT[],2,0),1),"")</f>
        <v/>
      </c>
      <c r="P17" s="73" t="str">
        <f>IF(TblReferentiescoreT13215161741848131516[[#This Row],[Slibtransport
van rwzi naar rwzi]]&lt;&gt;"",
    IF(TblReferentiescoreT13215161741848131516[[#This Row],[Gemiddeld
volume
per rit
'[ton']]]="","Gemiddelde vracht per volle rit niet gevuld",
    IF(TblReferentiescoreT13215161741848131516[[#This Row],[Afstand
per rit
'[km']]]="","Afstand per rit niet gevuld",
    IF(TblReferentiescoreT13215161741848131516[[#This Row],[Aantal
ritten]]="","Aantal ritten niet gevuld",""))),
  "")</f>
        <v/>
      </c>
    </row>
    <row r="18" spans="1:17" ht="15.75" customHeight="1" x14ac:dyDescent="0.2">
      <c r="A18" s="137" t="s">
        <v>210</v>
      </c>
      <c r="B18" s="136">
        <v>3420</v>
      </c>
      <c r="C18" s="64"/>
      <c r="D18" s="65">
        <v>36</v>
      </c>
      <c r="E18" s="82">
        <f t="shared" si="0"/>
        <v>95</v>
      </c>
      <c r="F18" s="83">
        <v>46.3</v>
      </c>
      <c r="G18" s="66"/>
      <c r="H18" s="67"/>
      <c r="I18" s="67"/>
      <c r="J18" s="68"/>
      <c r="K18" s="69"/>
      <c r="L18" s="70" t="str">
        <f>IFERROR(TblReferentiescoreT13215161741848131516[[#This Row],[Aantal
ritten]]*TblReferentiescoreT13215161741848131516[[#This Row],[Afstand
per rit
'[km']]]*TblReferentiescoreT13215161741848131516[[#This Row],[Gemiddeld
volume
per rit
'[ton']]]*VLOOKUP(TblReferentiescoreT13215161741848131516[[#This Row],[Type transportmiddel]],TblType[],2,0),"")</f>
        <v/>
      </c>
      <c r="M18" s="70" t="str">
        <f>IFERROR(TblReferentiescoreT13215161741848131516[[#This Row],[Energie-vraag (MJ)]]/stookwaarde_diesel/dichtheid_diesel*emissiefactor_diesel,"")</f>
        <v/>
      </c>
      <c r="N18" s="71" t="str">
        <f>IFERROR(
     TblReferentiescoreT13215161741848131516[[#This Row],[Referentie-score]]*
          ((100%-TblReferentiescoreT13215161741848131516[[#This Row],[Aandeel
2e energie
-bron]])*INDEX(TblBrandstof[CO2 uitstoot verg 1l diesel],MATCH(TblReferentiescoreT13215161741848131516[[#This Row],[Energiebron]],TblBrandstof[Brandstof],0))+
          TblReferentiescoreT13215161741848131516[[#This Row],[Aandeel
2e energie
-bron]]*INDEX(TblBrandstof[CO2 uitstoot verg 1l diesel],MATCH(IF(OR(TblReferentiescoreT13215161741848131516[[#This Row],[2e energiebron]]="N.v.t.",TblReferentiescoreT13215161741848131516[[#This Row],[2e energiebron]]=""),TblReferentiescoreT13215161741848131516[[#This Row],[Energiebron]],TblReferentiescoreT13215161741848131516[[#This Row],[2e energiebron]]),TblBrandstof[Brandstof],0)))*
      IF(OR(TblReferentiescoreT13215161741848131516[[#This Row],[Motortype]]="Elektrisch",TblReferentiescoreT13215161741848131516[[#This Row],[Hybride]]="Ja"),TblHybride[Waardering hybride],1),"")</f>
        <v/>
      </c>
      <c r="O18" s="71" t="str">
        <f>IFERROR(TblReferentiescoreT13215161741848131516[[#This Row],[CO2-impact
'[kg CO2']]]*IF(INDEX(TblBrandstof[Waardering Euroniveau],MATCH(TblReferentiescoreT13215161741848131516[[#This Row],[Energiebron]],TblBrandstof[Brandstof],0)),VLOOKUP(TblReferentiescoreT13215161741848131516[[#This Row],[Motortype]],TblMotortypeT[],2,0),1),"")</f>
        <v/>
      </c>
      <c r="P18" s="73" t="str">
        <f>IF(TblReferentiescoreT13215161741848131516[[#This Row],[Slibtransport
van rwzi naar rwzi]]&lt;&gt;"",
    IF(TblReferentiescoreT13215161741848131516[[#This Row],[Gemiddeld
volume
per rit
'[ton']]]="","Gemiddelde vracht per volle rit niet gevuld",
    IF(TblReferentiescoreT13215161741848131516[[#This Row],[Afstand
per rit
'[km']]]="","Afstand per rit niet gevuld",
    IF(TblReferentiescoreT13215161741848131516[[#This Row],[Aantal
ritten]]="","Aantal ritten niet gevuld",""))),
  "")</f>
        <v/>
      </c>
    </row>
    <row r="19" spans="1:17" ht="15.75" customHeight="1" x14ac:dyDescent="0.2">
      <c r="A19" s="137" t="s">
        <v>211</v>
      </c>
      <c r="B19" s="136">
        <v>2106</v>
      </c>
      <c r="C19" s="64"/>
      <c r="D19" s="65">
        <v>36</v>
      </c>
      <c r="E19" s="82">
        <f t="shared" si="0"/>
        <v>59</v>
      </c>
      <c r="F19" s="83">
        <v>18.3</v>
      </c>
      <c r="G19" s="66"/>
      <c r="H19" s="67"/>
      <c r="I19" s="67"/>
      <c r="J19" s="68"/>
      <c r="K19" s="69"/>
      <c r="L19" s="70" t="str">
        <f>IFERROR(TblReferentiescoreT13215161741848131516[[#This Row],[Aantal
ritten]]*TblReferentiescoreT13215161741848131516[[#This Row],[Afstand
per rit
'[km']]]*TblReferentiescoreT13215161741848131516[[#This Row],[Gemiddeld
volume
per rit
'[ton']]]*VLOOKUP(TblReferentiescoreT13215161741848131516[[#This Row],[Type transportmiddel]],TblType[],2,0),"")</f>
        <v/>
      </c>
      <c r="M19" s="70" t="str">
        <f>IFERROR(TblReferentiescoreT13215161741848131516[[#This Row],[Energie-vraag (MJ)]]/stookwaarde_diesel/dichtheid_diesel*emissiefactor_diesel,"")</f>
        <v/>
      </c>
      <c r="N19" s="71" t="str">
        <f>IFERROR(
     TblReferentiescoreT13215161741848131516[[#This Row],[Referentie-score]]*
          ((100%-TblReferentiescoreT13215161741848131516[[#This Row],[Aandeel
2e energie
-bron]])*INDEX(TblBrandstof[CO2 uitstoot verg 1l diesel],MATCH(TblReferentiescoreT13215161741848131516[[#This Row],[Energiebron]],TblBrandstof[Brandstof],0))+
          TblReferentiescoreT13215161741848131516[[#This Row],[Aandeel
2e energie
-bron]]*INDEX(TblBrandstof[CO2 uitstoot verg 1l diesel],MATCH(IF(OR(TblReferentiescoreT13215161741848131516[[#This Row],[2e energiebron]]="N.v.t.",TblReferentiescoreT13215161741848131516[[#This Row],[2e energiebron]]=""),TblReferentiescoreT13215161741848131516[[#This Row],[Energiebron]],TblReferentiescoreT13215161741848131516[[#This Row],[2e energiebron]]),TblBrandstof[Brandstof],0)))*
      IF(OR(TblReferentiescoreT13215161741848131516[[#This Row],[Motortype]]="Elektrisch",TblReferentiescoreT13215161741848131516[[#This Row],[Hybride]]="Ja"),TblHybride[Waardering hybride],1),"")</f>
        <v/>
      </c>
      <c r="O19" s="71" t="str">
        <f>IFERROR(TblReferentiescoreT13215161741848131516[[#This Row],[CO2-impact
'[kg CO2']]]*IF(INDEX(TblBrandstof[Waardering Euroniveau],MATCH(TblReferentiescoreT13215161741848131516[[#This Row],[Energiebron]],TblBrandstof[Brandstof],0)),VLOOKUP(TblReferentiescoreT13215161741848131516[[#This Row],[Motortype]],TblMotortypeT[],2,0),1),"")</f>
        <v/>
      </c>
      <c r="P19" s="73" t="str">
        <f>IF(TblReferentiescoreT13215161741848131516[[#This Row],[Slibtransport
van rwzi naar rwzi]]&lt;&gt;"",
    IF(TblReferentiescoreT13215161741848131516[[#This Row],[Gemiddeld
volume
per rit
'[ton']]]="","Gemiddelde vracht per volle rit niet gevuld",
    IF(TblReferentiescoreT13215161741848131516[[#This Row],[Afstand
per rit
'[km']]]="","Afstand per rit niet gevuld",
    IF(TblReferentiescoreT13215161741848131516[[#This Row],[Aantal
ritten]]="","Aantal ritten niet gevuld",""))),
  "")</f>
        <v/>
      </c>
    </row>
    <row r="20" spans="1:17" ht="15.75" customHeight="1" x14ac:dyDescent="0.2">
      <c r="A20" s="137" t="s">
        <v>212</v>
      </c>
      <c r="B20" s="136">
        <v>5072</v>
      </c>
      <c r="C20" s="64"/>
      <c r="D20" s="65">
        <v>36</v>
      </c>
      <c r="E20" s="82">
        <f t="shared" si="0"/>
        <v>141</v>
      </c>
      <c r="F20" s="83">
        <v>27.5</v>
      </c>
      <c r="G20" s="66"/>
      <c r="H20" s="67"/>
      <c r="I20" s="67"/>
      <c r="J20" s="68"/>
      <c r="K20" s="69"/>
      <c r="L20" s="70" t="str">
        <f>IFERROR(TblReferentiescoreT13215161741848131516[[#This Row],[Aantal
ritten]]*TblReferentiescoreT13215161741848131516[[#This Row],[Afstand
per rit
'[km']]]*TblReferentiescoreT13215161741848131516[[#This Row],[Gemiddeld
volume
per rit
'[ton']]]*VLOOKUP(TblReferentiescoreT13215161741848131516[[#This Row],[Type transportmiddel]],TblType[],2,0),"")</f>
        <v/>
      </c>
      <c r="M20" s="70" t="str">
        <f>IFERROR(TblReferentiescoreT13215161741848131516[[#This Row],[Energie-vraag (MJ)]]/stookwaarde_diesel/dichtheid_diesel*emissiefactor_diesel,"")</f>
        <v/>
      </c>
      <c r="N20" s="71" t="str">
        <f>IFERROR(
     TblReferentiescoreT13215161741848131516[[#This Row],[Referentie-score]]*
          ((100%-TblReferentiescoreT13215161741848131516[[#This Row],[Aandeel
2e energie
-bron]])*INDEX(TblBrandstof[CO2 uitstoot verg 1l diesel],MATCH(TblReferentiescoreT13215161741848131516[[#This Row],[Energiebron]],TblBrandstof[Brandstof],0))+
          TblReferentiescoreT13215161741848131516[[#This Row],[Aandeel
2e energie
-bron]]*INDEX(TblBrandstof[CO2 uitstoot verg 1l diesel],MATCH(IF(OR(TblReferentiescoreT13215161741848131516[[#This Row],[2e energiebron]]="N.v.t.",TblReferentiescoreT13215161741848131516[[#This Row],[2e energiebron]]=""),TblReferentiescoreT13215161741848131516[[#This Row],[Energiebron]],TblReferentiescoreT13215161741848131516[[#This Row],[2e energiebron]]),TblBrandstof[Brandstof],0)))*
      IF(OR(TblReferentiescoreT13215161741848131516[[#This Row],[Motortype]]="Elektrisch",TblReferentiescoreT13215161741848131516[[#This Row],[Hybride]]="Ja"),TblHybride[Waardering hybride],1),"")</f>
        <v/>
      </c>
      <c r="O20" s="71" t="str">
        <f>IFERROR(TblReferentiescoreT13215161741848131516[[#This Row],[CO2-impact
'[kg CO2']]]*IF(INDEX(TblBrandstof[Waardering Euroniveau],MATCH(TblReferentiescoreT13215161741848131516[[#This Row],[Energiebron]],TblBrandstof[Brandstof],0)),VLOOKUP(TblReferentiescoreT13215161741848131516[[#This Row],[Motortype]],TblMotortypeT[],2,0),1),"")</f>
        <v/>
      </c>
      <c r="P20" s="73" t="str">
        <f>IF(TblReferentiescoreT13215161741848131516[[#This Row],[Slibtransport
van rwzi naar rwzi]]&lt;&gt;"",
    IF(TblReferentiescoreT13215161741848131516[[#This Row],[Gemiddeld
volume
per rit
'[ton']]]="","Gemiddelde vracht per volle rit niet gevuld",
    IF(TblReferentiescoreT13215161741848131516[[#This Row],[Afstand
per rit
'[km']]]="","Afstand per rit niet gevuld",
    IF(TblReferentiescoreT13215161741848131516[[#This Row],[Aantal
ritten]]="","Aantal ritten niet gevuld",""))),
  "")</f>
        <v/>
      </c>
    </row>
    <row r="21" spans="1:17" ht="15.75" customHeight="1" x14ac:dyDescent="0.2">
      <c r="A21" s="137" t="s">
        <v>213</v>
      </c>
      <c r="B21" s="136">
        <v>1689</v>
      </c>
      <c r="C21" s="64"/>
      <c r="D21" s="65">
        <v>36</v>
      </c>
      <c r="E21" s="82">
        <f t="shared" si="0"/>
        <v>47</v>
      </c>
      <c r="F21" s="83">
        <v>36.299999999999997</v>
      </c>
      <c r="G21" s="66"/>
      <c r="H21" s="67"/>
      <c r="I21" s="67"/>
      <c r="J21" s="68"/>
      <c r="K21" s="69"/>
      <c r="L21" s="70" t="str">
        <f>IFERROR(TblReferentiescoreT13215161741848131516[[#This Row],[Aantal
ritten]]*TblReferentiescoreT13215161741848131516[[#This Row],[Afstand
per rit
'[km']]]*TblReferentiescoreT13215161741848131516[[#This Row],[Gemiddeld
volume
per rit
'[ton']]]*VLOOKUP(TblReferentiescoreT13215161741848131516[[#This Row],[Type transportmiddel]],TblType[],2,0),"")</f>
        <v/>
      </c>
      <c r="M21" s="70" t="str">
        <f>IFERROR(TblReferentiescoreT13215161741848131516[[#This Row],[Energie-vraag (MJ)]]/stookwaarde_diesel/dichtheid_diesel*emissiefactor_diesel,"")</f>
        <v/>
      </c>
      <c r="N21" s="71" t="str">
        <f>IFERROR(
     TblReferentiescoreT13215161741848131516[[#This Row],[Referentie-score]]*
          ((100%-TblReferentiescoreT13215161741848131516[[#This Row],[Aandeel
2e energie
-bron]])*INDEX(TblBrandstof[CO2 uitstoot verg 1l diesel],MATCH(TblReferentiescoreT13215161741848131516[[#This Row],[Energiebron]],TblBrandstof[Brandstof],0))+
          TblReferentiescoreT13215161741848131516[[#This Row],[Aandeel
2e energie
-bron]]*INDEX(TblBrandstof[CO2 uitstoot verg 1l diesel],MATCH(IF(OR(TblReferentiescoreT13215161741848131516[[#This Row],[2e energiebron]]="N.v.t.",TblReferentiescoreT13215161741848131516[[#This Row],[2e energiebron]]=""),TblReferentiescoreT13215161741848131516[[#This Row],[Energiebron]],TblReferentiescoreT13215161741848131516[[#This Row],[2e energiebron]]),TblBrandstof[Brandstof],0)))*
      IF(OR(TblReferentiescoreT13215161741848131516[[#This Row],[Motortype]]="Elektrisch",TblReferentiescoreT13215161741848131516[[#This Row],[Hybride]]="Ja"),TblHybride[Waardering hybride],1),"")</f>
        <v/>
      </c>
      <c r="O21" s="71" t="str">
        <f>IFERROR(TblReferentiescoreT13215161741848131516[[#This Row],[CO2-impact
'[kg CO2']]]*IF(INDEX(TblBrandstof[Waardering Euroniveau],MATCH(TblReferentiescoreT13215161741848131516[[#This Row],[Energiebron]],TblBrandstof[Brandstof],0)),VLOOKUP(TblReferentiescoreT13215161741848131516[[#This Row],[Motortype]],TblMotortypeT[],2,0),1),"")</f>
        <v/>
      </c>
      <c r="P21" s="73" t="str">
        <f>IF(TblReferentiescoreT13215161741848131516[[#This Row],[Slibtransport
van rwzi naar rwzi]]&lt;&gt;"",
    IF(TblReferentiescoreT13215161741848131516[[#This Row],[Gemiddeld
volume
per rit
'[ton']]]="","Gemiddelde vracht per volle rit niet gevuld",
    IF(TblReferentiescoreT13215161741848131516[[#This Row],[Afstand
per rit
'[km']]]="","Afstand per rit niet gevuld",
    IF(TblReferentiescoreT13215161741848131516[[#This Row],[Aantal
ritten]]="","Aantal ritten niet gevuld",""))),
  "")</f>
        <v/>
      </c>
    </row>
    <row r="22" spans="1:17" ht="15.75" customHeight="1" x14ac:dyDescent="0.2">
      <c r="A22" s="137" t="s">
        <v>214</v>
      </c>
      <c r="B22" s="136">
        <v>4509</v>
      </c>
      <c r="C22" s="64"/>
      <c r="D22" s="65">
        <v>36</v>
      </c>
      <c r="E22" s="82">
        <f t="shared" si="0"/>
        <v>126</v>
      </c>
      <c r="F22" s="83">
        <v>25.3</v>
      </c>
      <c r="G22" s="66"/>
      <c r="H22" s="67"/>
      <c r="I22" s="67"/>
      <c r="J22" s="68"/>
      <c r="K22" s="69"/>
      <c r="L22" s="70" t="str">
        <f>IFERROR(TblReferentiescoreT13215161741848131516[[#This Row],[Aantal
ritten]]*TblReferentiescoreT13215161741848131516[[#This Row],[Afstand
per rit
'[km']]]*TblReferentiescoreT13215161741848131516[[#This Row],[Gemiddeld
volume
per rit
'[ton']]]*VLOOKUP(TblReferentiescoreT13215161741848131516[[#This Row],[Type transportmiddel]],TblType[],2,0),"")</f>
        <v/>
      </c>
      <c r="M22" s="70" t="str">
        <f>IFERROR(TblReferentiescoreT13215161741848131516[[#This Row],[Energie-vraag (MJ)]]/stookwaarde_diesel/dichtheid_diesel*emissiefactor_diesel,"")</f>
        <v/>
      </c>
      <c r="N22" s="71" t="str">
        <f>IFERROR(
     TblReferentiescoreT13215161741848131516[[#This Row],[Referentie-score]]*
          ((100%-TblReferentiescoreT13215161741848131516[[#This Row],[Aandeel
2e energie
-bron]])*INDEX(TblBrandstof[CO2 uitstoot verg 1l diesel],MATCH(TblReferentiescoreT13215161741848131516[[#This Row],[Energiebron]],TblBrandstof[Brandstof],0))+
          TblReferentiescoreT13215161741848131516[[#This Row],[Aandeel
2e energie
-bron]]*INDEX(TblBrandstof[CO2 uitstoot verg 1l diesel],MATCH(IF(OR(TblReferentiescoreT13215161741848131516[[#This Row],[2e energiebron]]="N.v.t.",TblReferentiescoreT13215161741848131516[[#This Row],[2e energiebron]]=""),TblReferentiescoreT13215161741848131516[[#This Row],[Energiebron]],TblReferentiescoreT13215161741848131516[[#This Row],[2e energiebron]]),TblBrandstof[Brandstof],0)))*
      IF(OR(TblReferentiescoreT13215161741848131516[[#This Row],[Motortype]]="Elektrisch",TblReferentiescoreT13215161741848131516[[#This Row],[Hybride]]="Ja"),TblHybride[Waardering hybride],1),"")</f>
        <v/>
      </c>
      <c r="O22" s="71" t="str">
        <f>IFERROR(TblReferentiescoreT13215161741848131516[[#This Row],[CO2-impact
'[kg CO2']]]*IF(INDEX(TblBrandstof[Waardering Euroniveau],MATCH(TblReferentiescoreT13215161741848131516[[#This Row],[Energiebron]],TblBrandstof[Brandstof],0)),VLOOKUP(TblReferentiescoreT13215161741848131516[[#This Row],[Motortype]],TblMotortypeT[],2,0),1),"")</f>
        <v/>
      </c>
      <c r="P22" s="73" t="str">
        <f>IF(TblReferentiescoreT13215161741848131516[[#This Row],[Slibtransport
van rwzi naar rwzi]]&lt;&gt;"",
    IF(TblReferentiescoreT13215161741848131516[[#This Row],[Gemiddeld
volume
per rit
'[ton']]]="","Gemiddelde vracht per volle rit niet gevuld",
    IF(TblReferentiescoreT13215161741848131516[[#This Row],[Afstand
per rit
'[km']]]="","Afstand per rit niet gevuld",
    IF(TblReferentiescoreT13215161741848131516[[#This Row],[Aantal
ritten]]="","Aantal ritten niet gevuld",""))),
  "")</f>
        <v/>
      </c>
    </row>
    <row r="23" spans="1:17" ht="15.75" customHeight="1" x14ac:dyDescent="0.2">
      <c r="A23" s="137" t="s">
        <v>215</v>
      </c>
      <c r="B23" s="136">
        <v>144</v>
      </c>
      <c r="C23" s="64"/>
      <c r="D23" s="65">
        <v>36</v>
      </c>
      <c r="E23" s="82">
        <f t="shared" si="0"/>
        <v>4</v>
      </c>
      <c r="F23" s="83">
        <v>13.7</v>
      </c>
      <c r="G23" s="66"/>
      <c r="H23" s="67"/>
      <c r="I23" s="67"/>
      <c r="J23" s="68"/>
      <c r="K23" s="69"/>
      <c r="L23" s="70" t="str">
        <f>IFERROR(TblReferentiescoreT13215161741848131516[[#This Row],[Aantal
ritten]]*TblReferentiescoreT13215161741848131516[[#This Row],[Afstand
per rit
'[km']]]*TblReferentiescoreT13215161741848131516[[#This Row],[Gemiddeld
volume
per rit
'[ton']]]*VLOOKUP(TblReferentiescoreT13215161741848131516[[#This Row],[Type transportmiddel]],TblType[],2,0),"")</f>
        <v/>
      </c>
      <c r="M23" s="70" t="str">
        <f>IFERROR(TblReferentiescoreT13215161741848131516[[#This Row],[Energie-vraag (MJ)]]/stookwaarde_diesel/dichtheid_diesel*emissiefactor_diesel,"")</f>
        <v/>
      </c>
      <c r="N23" s="71" t="str">
        <f>IFERROR(
     TblReferentiescoreT13215161741848131516[[#This Row],[Referentie-score]]*
          ((100%-TblReferentiescoreT13215161741848131516[[#This Row],[Aandeel
2e energie
-bron]])*INDEX(TblBrandstof[CO2 uitstoot verg 1l diesel],MATCH(TblReferentiescoreT13215161741848131516[[#This Row],[Energiebron]],TblBrandstof[Brandstof],0))+
          TblReferentiescoreT13215161741848131516[[#This Row],[Aandeel
2e energie
-bron]]*INDEX(TblBrandstof[CO2 uitstoot verg 1l diesel],MATCH(IF(OR(TblReferentiescoreT13215161741848131516[[#This Row],[2e energiebron]]="N.v.t.",TblReferentiescoreT13215161741848131516[[#This Row],[2e energiebron]]=""),TblReferentiescoreT13215161741848131516[[#This Row],[Energiebron]],TblReferentiescoreT13215161741848131516[[#This Row],[2e energiebron]]),TblBrandstof[Brandstof],0)))*
      IF(OR(TblReferentiescoreT13215161741848131516[[#This Row],[Motortype]]="Elektrisch",TblReferentiescoreT13215161741848131516[[#This Row],[Hybride]]="Ja"),TblHybride[Waardering hybride],1),"")</f>
        <v/>
      </c>
      <c r="O23" s="71" t="str">
        <f>IFERROR(TblReferentiescoreT13215161741848131516[[#This Row],[CO2-impact
'[kg CO2']]]*IF(INDEX(TblBrandstof[Waardering Euroniveau],MATCH(TblReferentiescoreT13215161741848131516[[#This Row],[Energiebron]],TblBrandstof[Brandstof],0)),VLOOKUP(TblReferentiescoreT13215161741848131516[[#This Row],[Motortype]],TblMotortypeT[],2,0),1),"")</f>
        <v/>
      </c>
      <c r="P23" s="73" t="str">
        <f>IF(TblReferentiescoreT13215161741848131516[[#This Row],[Slibtransport
van rwzi naar rwzi]]&lt;&gt;"",
    IF(TblReferentiescoreT13215161741848131516[[#This Row],[Gemiddeld
volume
per rit
'[ton']]]="","Gemiddelde vracht per volle rit niet gevuld",
    IF(TblReferentiescoreT13215161741848131516[[#This Row],[Afstand
per rit
'[km']]]="","Afstand per rit niet gevuld",
    IF(TblReferentiescoreT13215161741848131516[[#This Row],[Aantal
ritten]]="","Aantal ritten niet gevuld",""))),
  "")</f>
        <v/>
      </c>
    </row>
    <row r="24" spans="1:17" ht="15.75" customHeight="1" x14ac:dyDescent="0.2">
      <c r="A24" s="137" t="s">
        <v>217</v>
      </c>
      <c r="B24" s="136">
        <v>3765</v>
      </c>
      <c r="C24" s="64"/>
      <c r="D24" s="65">
        <v>36</v>
      </c>
      <c r="E24" s="82">
        <f t="shared" si="0"/>
        <v>105</v>
      </c>
      <c r="F24" s="83">
        <v>24.8</v>
      </c>
      <c r="G24" s="66"/>
      <c r="H24" s="67"/>
      <c r="I24" s="67"/>
      <c r="J24" s="68"/>
      <c r="K24" s="69"/>
      <c r="L24" s="70" t="str">
        <f>IFERROR(TblReferentiescoreT13215161741848131516[[#This Row],[Aantal
ritten]]*TblReferentiescoreT13215161741848131516[[#This Row],[Afstand
per rit
'[km']]]*TblReferentiescoreT13215161741848131516[[#This Row],[Gemiddeld
volume
per rit
'[ton']]]*VLOOKUP(TblReferentiescoreT13215161741848131516[[#This Row],[Type transportmiddel]],TblType[],2,0),"")</f>
        <v/>
      </c>
      <c r="M24" s="70" t="str">
        <f>IFERROR(TblReferentiescoreT13215161741848131516[[#This Row],[Energie-vraag (MJ)]]/stookwaarde_diesel/dichtheid_diesel*emissiefactor_diesel,"")</f>
        <v/>
      </c>
      <c r="N24" s="71" t="str">
        <f>IFERROR(
     TblReferentiescoreT13215161741848131516[[#This Row],[Referentie-score]]*
          ((100%-TblReferentiescoreT13215161741848131516[[#This Row],[Aandeel
2e energie
-bron]])*INDEX(TblBrandstof[CO2 uitstoot verg 1l diesel],MATCH(TblReferentiescoreT13215161741848131516[[#This Row],[Energiebron]],TblBrandstof[Brandstof],0))+
          TblReferentiescoreT13215161741848131516[[#This Row],[Aandeel
2e energie
-bron]]*INDEX(TblBrandstof[CO2 uitstoot verg 1l diesel],MATCH(IF(OR(TblReferentiescoreT13215161741848131516[[#This Row],[2e energiebron]]="N.v.t.",TblReferentiescoreT13215161741848131516[[#This Row],[2e energiebron]]=""),TblReferentiescoreT13215161741848131516[[#This Row],[Energiebron]],TblReferentiescoreT13215161741848131516[[#This Row],[2e energiebron]]),TblBrandstof[Brandstof],0)))*
      IF(OR(TblReferentiescoreT13215161741848131516[[#This Row],[Motortype]]="Elektrisch",TblReferentiescoreT13215161741848131516[[#This Row],[Hybride]]="Ja"),TblHybride[Waardering hybride],1),"")</f>
        <v/>
      </c>
      <c r="O24" s="71" t="str">
        <f>IFERROR(TblReferentiescoreT13215161741848131516[[#This Row],[CO2-impact
'[kg CO2']]]*IF(INDEX(TblBrandstof[Waardering Euroniveau],MATCH(TblReferentiescoreT13215161741848131516[[#This Row],[Energiebron]],TblBrandstof[Brandstof],0)),VLOOKUP(TblReferentiescoreT13215161741848131516[[#This Row],[Motortype]],TblMotortypeT[],2,0),1),"")</f>
        <v/>
      </c>
      <c r="P24" s="73" t="str">
        <f>IF(TblReferentiescoreT13215161741848131516[[#This Row],[Slibtransport
van rwzi naar rwzi]]&lt;&gt;"",
    IF(TblReferentiescoreT13215161741848131516[[#This Row],[Gemiddeld
volume
per rit
'[ton']]]="","Gemiddelde vracht per volle rit niet gevuld",
    IF(TblReferentiescoreT13215161741848131516[[#This Row],[Afstand
per rit
'[km']]]="","Afstand per rit niet gevuld",
    IF(TblReferentiescoreT13215161741848131516[[#This Row],[Aantal
ritten]]="","Aantal ritten niet gevuld",""))),
  "")</f>
        <v/>
      </c>
    </row>
    <row r="25" spans="1:17" ht="15.75" customHeight="1" thickBot="1" x14ac:dyDescent="0.25">
      <c r="A25" s="137" t="s">
        <v>216</v>
      </c>
      <c r="B25" s="136">
        <v>72</v>
      </c>
      <c r="C25" s="64"/>
      <c r="D25" s="65">
        <v>36</v>
      </c>
      <c r="E25" s="82">
        <f t="shared" si="0"/>
        <v>2</v>
      </c>
      <c r="F25" s="83">
        <v>35.9</v>
      </c>
      <c r="G25" s="66"/>
      <c r="H25" s="67"/>
      <c r="I25" s="67"/>
      <c r="J25" s="68"/>
      <c r="K25" s="69"/>
      <c r="L25" s="70" t="str">
        <f>IFERROR(TblReferentiescoreT13215161741848131516[[#This Row],[Aantal
ritten]]*TblReferentiescoreT13215161741848131516[[#This Row],[Afstand
per rit
'[km']]]*TblReferentiescoreT13215161741848131516[[#This Row],[Gemiddeld
volume
per rit
'[ton']]]*VLOOKUP(TblReferentiescoreT13215161741848131516[[#This Row],[Type transportmiddel]],TblType[],2,0),"")</f>
        <v/>
      </c>
      <c r="M25" s="70" t="str">
        <f>IFERROR(TblReferentiescoreT13215161741848131516[[#This Row],[Energie-vraag (MJ)]]/stookwaarde_diesel/dichtheid_diesel*emissiefactor_diesel,"")</f>
        <v/>
      </c>
      <c r="N25" s="71" t="str">
        <f>IFERROR(
     TblReferentiescoreT13215161741848131516[[#This Row],[Referentie-score]]*
          ((100%-TblReferentiescoreT13215161741848131516[[#This Row],[Aandeel
2e energie
-bron]])*INDEX(TblBrandstof[CO2 uitstoot verg 1l diesel],MATCH(TblReferentiescoreT13215161741848131516[[#This Row],[Energiebron]],TblBrandstof[Brandstof],0))+
          TblReferentiescoreT13215161741848131516[[#This Row],[Aandeel
2e energie
-bron]]*INDEX(TblBrandstof[CO2 uitstoot verg 1l diesel],MATCH(IF(OR(TblReferentiescoreT13215161741848131516[[#This Row],[2e energiebron]]="N.v.t.",TblReferentiescoreT13215161741848131516[[#This Row],[2e energiebron]]=""),TblReferentiescoreT13215161741848131516[[#This Row],[Energiebron]],TblReferentiescoreT13215161741848131516[[#This Row],[2e energiebron]]),TblBrandstof[Brandstof],0)))*
      IF(OR(TblReferentiescoreT13215161741848131516[[#This Row],[Motortype]]="Elektrisch",TblReferentiescoreT13215161741848131516[[#This Row],[Hybride]]="Ja"),TblHybride[Waardering hybride],1),"")</f>
        <v/>
      </c>
      <c r="O25" s="71" t="str">
        <f>IFERROR(TblReferentiescoreT13215161741848131516[[#This Row],[CO2-impact
'[kg CO2']]]*IF(INDEX(TblBrandstof[Waardering Euroniveau],MATCH(TblReferentiescoreT13215161741848131516[[#This Row],[Energiebron]],TblBrandstof[Brandstof],0)),VLOOKUP(TblReferentiescoreT13215161741848131516[[#This Row],[Motortype]],TblMotortypeT[],2,0),1),"")</f>
        <v/>
      </c>
      <c r="P25" s="73" t="str">
        <f>IF(TblReferentiescoreT13215161741848131516[[#This Row],[Slibtransport
van rwzi naar rwzi]]&lt;&gt;"",
    IF(TblReferentiescoreT13215161741848131516[[#This Row],[Gemiddeld
volume
per rit
'[ton']]]="","Gemiddelde vracht per volle rit niet gevuld",
    IF(TblReferentiescoreT13215161741848131516[[#This Row],[Afstand
per rit
'[km']]]="","Afstand per rit niet gevuld",
    IF(TblReferentiescoreT13215161741848131516[[#This Row],[Aantal
ritten]]="","Aantal ritten niet gevuld",""))),
  "")</f>
        <v/>
      </c>
    </row>
    <row r="26" spans="1:17" s="45" customFormat="1" ht="15.75" thickBot="1" x14ac:dyDescent="0.25">
      <c r="A26" s="46" t="s">
        <v>159</v>
      </c>
      <c r="B26" s="48">
        <f>SUBTOTAL(109,TblReferentiescoreT13215161741848131516[Gemiddeld
volume 
per jaar
'[ton']])</f>
        <v>114305</v>
      </c>
      <c r="C26" s="48"/>
      <c r="D26" s="48"/>
      <c r="E26" s="48"/>
      <c r="F26" s="48"/>
      <c r="G26" s="48"/>
      <c r="H26" s="48"/>
      <c r="I26" s="48"/>
      <c r="J26" s="48"/>
      <c r="K26" s="48"/>
      <c r="L26" s="47"/>
      <c r="M26" s="48">
        <f>SUBTOTAL(109,TblReferentiescoreT13215161741848131516[Referentie-score])</f>
        <v>0</v>
      </c>
      <c r="N26" s="79">
        <f>SUBTOTAL(109,TblReferentiescoreT13215161741848131516[CO2-impact
'[kg CO2']])</f>
        <v>0</v>
      </c>
      <c r="O26" s="79">
        <f>SUBTOTAL(109,TblReferentiescoreT13215161741848131516[Transport
score])</f>
        <v>0</v>
      </c>
      <c r="P26" s="48"/>
    </row>
    <row r="27" spans="1:17" x14ac:dyDescent="0.2">
      <c r="C27" s="74"/>
      <c r="D27" s="74"/>
      <c r="E27" s="75"/>
      <c r="F27" s="74"/>
      <c r="N27" s="54"/>
      <c r="O27" s="54" t="s">
        <v>197</v>
      </c>
    </row>
    <row r="28" spans="1:17" x14ac:dyDescent="0.2">
      <c r="Q28" s="49"/>
    </row>
    <row r="29" spans="1:17" x14ac:dyDescent="0.2">
      <c r="A29" s="50"/>
      <c r="B29" s="50"/>
      <c r="C29" s="85"/>
      <c r="D29" s="49"/>
      <c r="E29" s="85"/>
      <c r="F29" s="85"/>
      <c r="Q29" s="49"/>
    </row>
    <row r="30" spans="1:17" x14ac:dyDescent="0.2">
      <c r="A30" s="50"/>
      <c r="B30" s="50"/>
      <c r="C30" s="85"/>
      <c r="D30" s="49"/>
      <c r="E30" s="86"/>
      <c r="F30" s="85"/>
      <c r="Q30" s="51"/>
    </row>
    <row r="31" spans="1:17" x14ac:dyDescent="0.2">
      <c r="A31" s="50"/>
      <c r="B31" s="50"/>
      <c r="C31" s="154"/>
      <c r="D31" s="49"/>
      <c r="E31" s="85"/>
      <c r="F31" s="85"/>
    </row>
  </sheetData>
  <sheetProtection algorithmName="SHA-512" hashValue="URdFgBkvXTd+Ly5HeTSVd7XNauo04HDf2DIHiWzTQEjlZqqjGnDEdoverzn7l+fUG20XOMKCNnY3jrp5KU3irg==" saltValue="NLsbUFSXavwAiIKiNrJftA==" spinCount="100000" sheet="1" selectLockedCells="1"/>
  <mergeCells count="2">
    <mergeCell ref="B2:C2"/>
    <mergeCell ref="B3:C3"/>
  </mergeCells>
  <dataValidations count="7">
    <dataValidation type="whole" allowBlank="1" showInputMessage="1" showErrorMessage="1" prompt="Numerieke waarde" sqref="D6:F25" xr:uid="{FAAD7AA2-729C-4C2C-ACCE-06026E69E178}">
      <formula1>1</formula1>
      <formula2>999999</formula2>
    </dataValidation>
    <dataValidation type="list" allowBlank="1" showInputMessage="1" showErrorMessage="1" sqref="K6:K25" xr:uid="{3E13F8E0-9ED4-4D86-AC0B-15C6E50EE8DC}">
      <formula1>"Ja,Nee"</formula1>
    </dataValidation>
    <dataValidation type="decimal" allowBlank="1" showInputMessage="1" showErrorMessage="1" sqref="J6:J25" xr:uid="{461E9E2E-49CF-4613-AB5E-7BA9CC263CEC}">
      <formula1>0</formula1>
      <formula2>1</formula2>
    </dataValidation>
    <dataValidation type="list" allowBlank="1" showInputMessage="1" showErrorMessage="1" sqref="G6:G25" xr:uid="{C6901888-883F-48D5-9DC7-F3CE98AA1F29}">
      <formula1>motortypest</formula1>
    </dataValidation>
    <dataValidation type="list" allowBlank="1" showInputMessage="1" showErrorMessage="1" sqref="C6:C25" xr:uid="{7E86E312-85F7-490D-B0B4-D82779EC5452}">
      <formula1>types</formula1>
    </dataValidation>
    <dataValidation type="list" allowBlank="1" showInputMessage="1" showErrorMessage="1" sqref="I6:I25" xr:uid="{909D453F-F962-4C82-814D-FE0C3CC2B548}">
      <formula1>INDIRECT(LEFT(SUBSTITUTE(SUBSTITUTE(H6," ","_"),"(","_"),10))</formula1>
    </dataValidation>
    <dataValidation type="list" allowBlank="1" showInputMessage="1" showErrorMessage="1" sqref="H6:H25" xr:uid="{88869F40-ABB2-4599-AB8C-4674F0BE01F2}">
      <formula1>INDIRECT(LEFT(G6,5))</formula1>
    </dataValidation>
  </dataValidations>
  <pageMargins left="0.25" right="0.25" top="0.75" bottom="0.75" header="0.3" footer="0.3"/>
  <pageSetup paperSize="9" scale="7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5841" r:id="rId4" name="Button 1">
              <controlPr defaultSize="0" print="0" autoFill="0" autoPict="0" macro="[0]!export.export">
                <anchor moveWithCells="1" sizeWithCells="1">
                  <from>
                    <xdr:col>3</xdr:col>
                    <xdr:colOff>76200</xdr:colOff>
                    <xdr:row>1</xdr:row>
                    <xdr:rowOff>190500</xdr:rowOff>
                  </from>
                  <to>
                    <xdr:col>5</xdr:col>
                    <xdr:colOff>9525</xdr:colOff>
                    <xdr:row>3</xdr:row>
                    <xdr:rowOff>0</xdr:rowOff>
                  </to>
                </anchor>
              </controlPr>
            </control>
          </mc:Choice>
        </mc:AlternateContent>
      </controls>
    </mc:Choice>
  </mc:AlternateContent>
  <tableParts count="1">
    <tablePart r:id="rId5"/>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A3B51-C7AB-4312-AEC1-EE1FC754A477}">
  <sheetPr codeName="Blad22">
    <tabColor theme="8" tint="0.59999389629810485"/>
    <pageSetUpPr fitToPage="1"/>
  </sheetPr>
  <dimension ref="A1:Q31"/>
  <sheetViews>
    <sheetView showGridLines="0" zoomScale="70" zoomScaleNormal="70" workbookViewId="0">
      <selection activeCell="B2" sqref="B2:C2"/>
    </sheetView>
  </sheetViews>
  <sheetFormatPr defaultColWidth="11" defaultRowHeight="12.75" x14ac:dyDescent="0.2"/>
  <cols>
    <col min="1" max="1" width="28.625" style="52" customWidth="1"/>
    <col min="2" max="2" width="12.625" style="52" customWidth="1"/>
    <col min="3" max="3" width="32.625" style="52" customWidth="1"/>
    <col min="4" max="4" width="12.625" style="54" customWidth="1"/>
    <col min="5" max="6" width="12.625" style="52" customWidth="1"/>
    <col min="7" max="7" width="12.625" style="55" customWidth="1"/>
    <col min="8" max="9" width="20.625" style="52" customWidth="1"/>
    <col min="10" max="10" width="12.125" style="52" customWidth="1"/>
    <col min="11" max="11" width="9.125" style="55" customWidth="1"/>
    <col min="12" max="12" width="8.625" style="52" hidden="1" customWidth="1"/>
    <col min="13" max="13" width="10.875" style="52" hidden="1" customWidth="1"/>
    <col min="14" max="14" width="12.625" style="52" customWidth="1"/>
    <col min="15" max="15" width="12.625" style="52" hidden="1" customWidth="1"/>
    <col min="16" max="16" width="12.625" style="52" customWidth="1"/>
    <col min="17" max="17" width="36.375" style="52" customWidth="1"/>
    <col min="18" max="18" width="17.125" style="52" customWidth="1"/>
    <col min="19" max="16384" width="11" style="52"/>
  </cols>
  <sheetData>
    <row r="1" spans="1:17" ht="15.75" customHeight="1" x14ac:dyDescent="0.2">
      <c r="A1" s="53" t="s">
        <v>239</v>
      </c>
      <c r="B1" s="53"/>
    </row>
    <row r="2" spans="1:17" ht="15.75" customHeight="1" thickBot="1" x14ac:dyDescent="0.25">
      <c r="A2" s="152" t="s">
        <v>189</v>
      </c>
      <c r="B2" s="169"/>
      <c r="C2" s="173"/>
      <c r="D2" s="118" t="s">
        <v>266</v>
      </c>
    </row>
    <row r="3" spans="1:17" ht="15.75" customHeight="1" thickTop="1" thickBot="1" x14ac:dyDescent="0.25">
      <c r="A3" s="153" t="s">
        <v>190</v>
      </c>
      <c r="B3" s="171"/>
      <c r="C3" s="174"/>
    </row>
    <row r="4" spans="1:17" ht="15.75" customHeight="1" thickTop="1" x14ac:dyDescent="0.2">
      <c r="G4" s="58"/>
    </row>
    <row r="5" spans="1:17" ht="60" customHeight="1" x14ac:dyDescent="0.2">
      <c r="A5" s="59" t="s">
        <v>221</v>
      </c>
      <c r="B5" s="60" t="s">
        <v>225</v>
      </c>
      <c r="C5" s="91" t="s">
        <v>227</v>
      </c>
      <c r="D5" s="155" t="s">
        <v>224</v>
      </c>
      <c r="E5" s="84" t="s">
        <v>218</v>
      </c>
      <c r="F5" s="84" t="s">
        <v>219</v>
      </c>
      <c r="G5" s="156" t="s">
        <v>36</v>
      </c>
      <c r="H5" s="157" t="s">
        <v>173</v>
      </c>
      <c r="I5" s="158" t="s">
        <v>191</v>
      </c>
      <c r="J5" s="96" t="s">
        <v>226</v>
      </c>
      <c r="K5" s="97" t="s">
        <v>39</v>
      </c>
      <c r="L5" s="59" t="s">
        <v>184</v>
      </c>
      <c r="M5" s="59" t="s">
        <v>183</v>
      </c>
      <c r="N5" s="62" t="s">
        <v>222</v>
      </c>
      <c r="O5" s="60" t="s">
        <v>220</v>
      </c>
      <c r="P5" s="80" t="s">
        <v>223</v>
      </c>
      <c r="Q5" s="63"/>
    </row>
    <row r="6" spans="1:17" ht="15.75" customHeight="1" x14ac:dyDescent="0.2">
      <c r="A6" s="137" t="s">
        <v>198</v>
      </c>
      <c r="B6" s="136">
        <v>5122</v>
      </c>
      <c r="C6" s="64"/>
      <c r="D6" s="65">
        <v>36</v>
      </c>
      <c r="E6" s="82">
        <f t="shared" ref="E6:E25" si="0">CEILING(B6/D6,1)</f>
        <v>143</v>
      </c>
      <c r="F6" s="83">
        <v>25.8</v>
      </c>
      <c r="G6" s="66"/>
      <c r="H6" s="67" t="s">
        <v>188</v>
      </c>
      <c r="I6" s="67" t="s">
        <v>188</v>
      </c>
      <c r="J6" s="68"/>
      <c r="K6" s="69"/>
      <c r="L6" s="70" t="str">
        <f>IFERROR(TblReferentiescoreT1321516174184813151617[[#This Row],[Aantal
ritten]]*TblReferentiescoreT1321516174184813151617[[#This Row],[Afstand
per rit
'[km']]]*TblReferentiescoreT1321516174184813151617[[#This Row],[Gemiddeld
volume
per rit
'[ton']]]*VLOOKUP(TblReferentiescoreT1321516174184813151617[[#This Row],[Type transportmiddel]],TblType[],2,0),"")</f>
        <v/>
      </c>
      <c r="M6" s="70" t="str">
        <f>IFERROR(TblReferentiescoreT1321516174184813151617[[#This Row],[Energie-vraag (MJ)]]/stookwaarde_diesel/dichtheid_diesel*emissiefactor_diesel,"")</f>
        <v/>
      </c>
      <c r="N6" s="71" t="str">
        <f>IFERROR(
     TblReferentiescoreT1321516174184813151617[[#This Row],[Referentie-score]]*
          ((100%-TblReferentiescoreT1321516174184813151617[[#This Row],[Aandeel
2e energie
-bron]])*INDEX(TblBrandstof[CO2 uitstoot verg 1l diesel],MATCH(TblReferentiescoreT1321516174184813151617[[#This Row],[Energiebron]],TblBrandstof[Brandstof],0))+
          TblReferentiescoreT1321516174184813151617[[#This Row],[Aandeel
2e energie
-bron]]*INDEX(TblBrandstof[CO2 uitstoot verg 1l diesel],MATCH(IF(OR(TblReferentiescoreT1321516174184813151617[[#This Row],[2e energiebron]]="N.v.t.",TblReferentiescoreT1321516174184813151617[[#This Row],[2e energiebron]]=""),TblReferentiescoreT1321516174184813151617[[#This Row],[Energiebron]],TblReferentiescoreT1321516174184813151617[[#This Row],[2e energiebron]]),TblBrandstof[Brandstof],0)))*
      IF(OR(TblReferentiescoreT1321516174184813151617[[#This Row],[Motortype]]="Elektrisch",TblReferentiescoreT1321516174184813151617[[#This Row],[Hybride]]="Ja"),TblHybride[Waardering hybride],1),"")</f>
        <v/>
      </c>
      <c r="O6" s="71" t="str">
        <f>IFERROR(TblReferentiescoreT1321516174184813151617[[#This Row],[CO2-impact
'[kg CO2']]]*IF(INDEX(TblBrandstof[Waardering Euroniveau],MATCH(TblReferentiescoreT1321516174184813151617[[#This Row],[Energiebron]],TblBrandstof[Brandstof],0)),VLOOKUP(TblReferentiescoreT1321516174184813151617[[#This Row],[Motortype]],TblMotortypeT[],2,0),1),"")</f>
        <v/>
      </c>
      <c r="P6" s="72" t="str">
        <f>IF(TblReferentiescoreT1321516174184813151617[[#This Row],[Slibtransport
van rwzi naar rwzi]]&lt;&gt;"",
    IF(TblReferentiescoreT1321516174184813151617[[#This Row],[Gemiddeld
volume
per rit
'[ton']]]="","Gemiddelde vracht per volle rit niet gevuld",
    IF(TblReferentiescoreT1321516174184813151617[[#This Row],[Afstand
per rit
'[km']]]="","Afstand per rit niet gevuld",
    IF(TblReferentiescoreT1321516174184813151617[[#This Row],[Aantal
ritten]]="","Aantal ritten niet gevuld",""))),
  "")</f>
        <v/>
      </c>
    </row>
    <row r="7" spans="1:17" ht="15.75" customHeight="1" x14ac:dyDescent="0.2">
      <c r="A7" s="137" t="s">
        <v>199</v>
      </c>
      <c r="B7" s="136">
        <v>5104</v>
      </c>
      <c r="C7" s="64"/>
      <c r="D7" s="65">
        <v>36</v>
      </c>
      <c r="E7" s="82">
        <f t="shared" si="0"/>
        <v>142</v>
      </c>
      <c r="F7" s="83">
        <v>20</v>
      </c>
      <c r="G7" s="66"/>
      <c r="H7" s="67"/>
      <c r="I7" s="67"/>
      <c r="J7" s="68"/>
      <c r="K7" s="69"/>
      <c r="L7" s="70" t="str">
        <f>IFERROR(TblReferentiescoreT1321516174184813151617[[#This Row],[Aantal
ritten]]*TblReferentiescoreT1321516174184813151617[[#This Row],[Afstand
per rit
'[km']]]*TblReferentiescoreT1321516174184813151617[[#This Row],[Gemiddeld
volume
per rit
'[ton']]]*VLOOKUP(TblReferentiescoreT1321516174184813151617[[#This Row],[Type transportmiddel]],TblType[],2,0),"")</f>
        <v/>
      </c>
      <c r="M7" s="70" t="str">
        <f>IFERROR(TblReferentiescoreT1321516174184813151617[[#This Row],[Energie-vraag (MJ)]]/stookwaarde_diesel/dichtheid_diesel*emissiefactor_diesel,"")</f>
        <v/>
      </c>
      <c r="N7" s="71" t="str">
        <f>IFERROR(
     TblReferentiescoreT1321516174184813151617[[#This Row],[Referentie-score]]*
          ((100%-TblReferentiescoreT1321516174184813151617[[#This Row],[Aandeel
2e energie
-bron]])*INDEX(TblBrandstof[CO2 uitstoot verg 1l diesel],MATCH(TblReferentiescoreT1321516174184813151617[[#This Row],[Energiebron]],TblBrandstof[Brandstof],0))+
          TblReferentiescoreT1321516174184813151617[[#This Row],[Aandeel
2e energie
-bron]]*INDEX(TblBrandstof[CO2 uitstoot verg 1l diesel],MATCH(IF(OR(TblReferentiescoreT1321516174184813151617[[#This Row],[2e energiebron]]="N.v.t.",TblReferentiescoreT1321516174184813151617[[#This Row],[2e energiebron]]=""),TblReferentiescoreT1321516174184813151617[[#This Row],[Energiebron]],TblReferentiescoreT1321516174184813151617[[#This Row],[2e energiebron]]),TblBrandstof[Brandstof],0)))*
      IF(OR(TblReferentiescoreT1321516174184813151617[[#This Row],[Motortype]]="Elektrisch",TblReferentiescoreT1321516174184813151617[[#This Row],[Hybride]]="Ja"),TblHybride[Waardering hybride],1),"")</f>
        <v/>
      </c>
      <c r="O7" s="71" t="str">
        <f>IFERROR(TblReferentiescoreT1321516174184813151617[[#This Row],[CO2-impact
'[kg CO2']]]*IF(INDEX(TblBrandstof[Waardering Euroniveau],MATCH(TblReferentiescoreT1321516174184813151617[[#This Row],[Energiebron]],TblBrandstof[Brandstof],0)),VLOOKUP(TblReferentiescoreT1321516174184813151617[[#This Row],[Motortype]],TblMotortypeT[],2,0),1),"")</f>
        <v/>
      </c>
      <c r="P7" s="73" t="str">
        <f>IF(TblReferentiescoreT1321516174184813151617[[#This Row],[Slibtransport
van rwzi naar rwzi]]&lt;&gt;"",
    IF(TblReferentiescoreT1321516174184813151617[[#This Row],[Gemiddeld
volume
per rit
'[ton']]]="","Gemiddelde vracht per volle rit niet gevuld",
    IF(TblReferentiescoreT1321516174184813151617[[#This Row],[Afstand
per rit
'[km']]]="","Afstand per rit niet gevuld",
    IF(TblReferentiescoreT1321516174184813151617[[#This Row],[Aantal
ritten]]="","Aantal ritten niet gevuld",""))),
  "")</f>
        <v/>
      </c>
    </row>
    <row r="8" spans="1:17" ht="15.75" customHeight="1" x14ac:dyDescent="0.2">
      <c r="A8" s="137" t="s">
        <v>200</v>
      </c>
      <c r="B8" s="136">
        <v>22364</v>
      </c>
      <c r="C8" s="64"/>
      <c r="D8" s="65">
        <v>36</v>
      </c>
      <c r="E8" s="82">
        <f t="shared" si="0"/>
        <v>622</v>
      </c>
      <c r="F8" s="83">
        <v>16.899999999999999</v>
      </c>
      <c r="G8" s="66"/>
      <c r="H8" s="67"/>
      <c r="I8" s="67"/>
      <c r="J8" s="68"/>
      <c r="K8" s="69"/>
      <c r="L8" s="70" t="str">
        <f>IFERROR(TblReferentiescoreT1321516174184813151617[[#This Row],[Aantal
ritten]]*TblReferentiescoreT1321516174184813151617[[#This Row],[Afstand
per rit
'[km']]]*TblReferentiescoreT1321516174184813151617[[#This Row],[Gemiddeld
volume
per rit
'[ton']]]*VLOOKUP(TblReferentiescoreT1321516174184813151617[[#This Row],[Type transportmiddel]],TblType[],2,0),"")</f>
        <v/>
      </c>
      <c r="M8" s="70" t="str">
        <f>IFERROR(TblReferentiescoreT1321516174184813151617[[#This Row],[Energie-vraag (MJ)]]/stookwaarde_diesel/dichtheid_diesel*emissiefactor_diesel,"")</f>
        <v/>
      </c>
      <c r="N8" s="71" t="str">
        <f>IFERROR(
     TblReferentiescoreT1321516174184813151617[[#This Row],[Referentie-score]]*
          ((100%-TblReferentiescoreT1321516174184813151617[[#This Row],[Aandeel
2e energie
-bron]])*INDEX(TblBrandstof[CO2 uitstoot verg 1l diesel],MATCH(TblReferentiescoreT1321516174184813151617[[#This Row],[Energiebron]],TblBrandstof[Brandstof],0))+
          TblReferentiescoreT1321516174184813151617[[#This Row],[Aandeel
2e energie
-bron]]*INDEX(TblBrandstof[CO2 uitstoot verg 1l diesel],MATCH(IF(OR(TblReferentiescoreT1321516174184813151617[[#This Row],[2e energiebron]]="N.v.t.",TblReferentiescoreT1321516174184813151617[[#This Row],[2e energiebron]]=""),TblReferentiescoreT1321516174184813151617[[#This Row],[Energiebron]],TblReferentiescoreT1321516174184813151617[[#This Row],[2e energiebron]]),TblBrandstof[Brandstof],0)))*
      IF(OR(TblReferentiescoreT1321516174184813151617[[#This Row],[Motortype]]="Elektrisch",TblReferentiescoreT1321516174184813151617[[#This Row],[Hybride]]="Ja"),TblHybride[Waardering hybride],1),"")</f>
        <v/>
      </c>
      <c r="O8" s="71" t="str">
        <f>IFERROR(TblReferentiescoreT1321516174184813151617[[#This Row],[CO2-impact
'[kg CO2']]]*IF(INDEX(TblBrandstof[Waardering Euroniveau],MATCH(TblReferentiescoreT1321516174184813151617[[#This Row],[Energiebron]],TblBrandstof[Brandstof],0)),VLOOKUP(TblReferentiescoreT1321516174184813151617[[#This Row],[Motortype]],TblMotortypeT[],2,0),1),"")</f>
        <v/>
      </c>
      <c r="P8" s="73" t="str">
        <f>IF(TblReferentiescoreT1321516174184813151617[[#This Row],[Slibtransport
van rwzi naar rwzi]]&lt;&gt;"",
    IF(TblReferentiescoreT1321516174184813151617[[#This Row],[Gemiddeld
volume
per rit
'[ton']]]="","Gemiddelde vracht per volle rit niet gevuld",
    IF(TblReferentiescoreT1321516174184813151617[[#This Row],[Afstand
per rit
'[km']]]="","Afstand per rit niet gevuld",
    IF(TblReferentiescoreT1321516174184813151617[[#This Row],[Aantal
ritten]]="","Aantal ritten niet gevuld",""))),
  "")</f>
        <v/>
      </c>
    </row>
    <row r="9" spans="1:17" ht="15.75" customHeight="1" x14ac:dyDescent="0.2">
      <c r="A9" s="137" t="s">
        <v>201</v>
      </c>
      <c r="B9" s="136">
        <v>8265</v>
      </c>
      <c r="C9" s="64"/>
      <c r="D9" s="65">
        <v>36</v>
      </c>
      <c r="E9" s="82">
        <f t="shared" si="0"/>
        <v>230</v>
      </c>
      <c r="F9" s="83">
        <v>28.4</v>
      </c>
      <c r="G9" s="66"/>
      <c r="H9" s="67"/>
      <c r="I9" s="67"/>
      <c r="J9" s="68"/>
      <c r="K9" s="69"/>
      <c r="L9" s="70" t="str">
        <f>IFERROR(TblReferentiescoreT1321516174184813151617[[#This Row],[Aantal
ritten]]*TblReferentiescoreT1321516174184813151617[[#This Row],[Afstand
per rit
'[km']]]*TblReferentiescoreT1321516174184813151617[[#This Row],[Gemiddeld
volume
per rit
'[ton']]]*VLOOKUP(TblReferentiescoreT1321516174184813151617[[#This Row],[Type transportmiddel]],TblType[],2,0),"")</f>
        <v/>
      </c>
      <c r="M9" s="70" t="str">
        <f>IFERROR(TblReferentiescoreT1321516174184813151617[[#This Row],[Energie-vraag (MJ)]]/stookwaarde_diesel/dichtheid_diesel*emissiefactor_diesel,"")</f>
        <v/>
      </c>
      <c r="N9" s="71" t="str">
        <f>IFERROR(
     TblReferentiescoreT1321516174184813151617[[#This Row],[Referentie-score]]*
          ((100%-TblReferentiescoreT1321516174184813151617[[#This Row],[Aandeel
2e energie
-bron]])*INDEX(TblBrandstof[CO2 uitstoot verg 1l diesel],MATCH(TblReferentiescoreT1321516174184813151617[[#This Row],[Energiebron]],TblBrandstof[Brandstof],0))+
          TblReferentiescoreT1321516174184813151617[[#This Row],[Aandeel
2e energie
-bron]]*INDEX(TblBrandstof[CO2 uitstoot verg 1l diesel],MATCH(IF(OR(TblReferentiescoreT1321516174184813151617[[#This Row],[2e energiebron]]="N.v.t.",TblReferentiescoreT1321516174184813151617[[#This Row],[2e energiebron]]=""),TblReferentiescoreT1321516174184813151617[[#This Row],[Energiebron]],TblReferentiescoreT1321516174184813151617[[#This Row],[2e energiebron]]),TblBrandstof[Brandstof],0)))*
      IF(OR(TblReferentiescoreT1321516174184813151617[[#This Row],[Motortype]]="Elektrisch",TblReferentiescoreT1321516174184813151617[[#This Row],[Hybride]]="Ja"),TblHybride[Waardering hybride],1),"")</f>
        <v/>
      </c>
      <c r="O9" s="71" t="str">
        <f>IFERROR(TblReferentiescoreT1321516174184813151617[[#This Row],[CO2-impact
'[kg CO2']]]*IF(INDEX(TblBrandstof[Waardering Euroniveau],MATCH(TblReferentiescoreT1321516174184813151617[[#This Row],[Energiebron]],TblBrandstof[Brandstof],0)),VLOOKUP(TblReferentiescoreT1321516174184813151617[[#This Row],[Motortype]],TblMotortypeT[],2,0),1),"")</f>
        <v/>
      </c>
      <c r="P9" s="73" t="str">
        <f>IF(TblReferentiescoreT1321516174184813151617[[#This Row],[Slibtransport
van rwzi naar rwzi]]&lt;&gt;"",
    IF(TblReferentiescoreT1321516174184813151617[[#This Row],[Gemiddeld
volume
per rit
'[ton']]]="","Gemiddelde vracht per volle rit niet gevuld",
    IF(TblReferentiescoreT1321516174184813151617[[#This Row],[Afstand
per rit
'[km']]]="","Afstand per rit niet gevuld",
    IF(TblReferentiescoreT1321516174184813151617[[#This Row],[Aantal
ritten]]="","Aantal ritten niet gevuld",""))),
  "")</f>
        <v/>
      </c>
    </row>
    <row r="10" spans="1:17" ht="15.75" customHeight="1" x14ac:dyDescent="0.2">
      <c r="A10" s="137" t="s">
        <v>202</v>
      </c>
      <c r="B10" s="136">
        <v>4548</v>
      </c>
      <c r="C10" s="64"/>
      <c r="D10" s="65">
        <v>36</v>
      </c>
      <c r="E10" s="82">
        <f t="shared" si="0"/>
        <v>127</v>
      </c>
      <c r="F10" s="83">
        <v>8.4</v>
      </c>
      <c r="G10" s="66"/>
      <c r="H10" s="67"/>
      <c r="I10" s="67"/>
      <c r="J10" s="68"/>
      <c r="K10" s="69"/>
      <c r="L10" s="70" t="str">
        <f>IFERROR(TblReferentiescoreT1321516174184813151617[[#This Row],[Aantal
ritten]]*TblReferentiescoreT1321516174184813151617[[#This Row],[Afstand
per rit
'[km']]]*TblReferentiescoreT1321516174184813151617[[#This Row],[Gemiddeld
volume
per rit
'[ton']]]*VLOOKUP(TblReferentiescoreT1321516174184813151617[[#This Row],[Type transportmiddel]],TblType[],2,0),"")</f>
        <v/>
      </c>
      <c r="M10" s="70" t="str">
        <f>IFERROR(TblReferentiescoreT1321516174184813151617[[#This Row],[Energie-vraag (MJ)]]/stookwaarde_diesel/dichtheid_diesel*emissiefactor_diesel,"")</f>
        <v/>
      </c>
      <c r="N10" s="71" t="str">
        <f>IFERROR(
     TblReferentiescoreT1321516174184813151617[[#This Row],[Referentie-score]]*
          ((100%-TblReferentiescoreT1321516174184813151617[[#This Row],[Aandeel
2e energie
-bron]])*INDEX(TblBrandstof[CO2 uitstoot verg 1l diesel],MATCH(TblReferentiescoreT1321516174184813151617[[#This Row],[Energiebron]],TblBrandstof[Brandstof],0))+
          TblReferentiescoreT1321516174184813151617[[#This Row],[Aandeel
2e energie
-bron]]*INDEX(TblBrandstof[CO2 uitstoot verg 1l diesel],MATCH(IF(OR(TblReferentiescoreT1321516174184813151617[[#This Row],[2e energiebron]]="N.v.t.",TblReferentiescoreT1321516174184813151617[[#This Row],[2e energiebron]]=""),TblReferentiescoreT1321516174184813151617[[#This Row],[Energiebron]],TblReferentiescoreT1321516174184813151617[[#This Row],[2e energiebron]]),TblBrandstof[Brandstof],0)))*
      IF(OR(TblReferentiescoreT1321516174184813151617[[#This Row],[Motortype]]="Elektrisch",TblReferentiescoreT1321516174184813151617[[#This Row],[Hybride]]="Ja"),TblHybride[Waardering hybride],1),"")</f>
        <v/>
      </c>
      <c r="O10" s="71" t="str">
        <f>IFERROR(TblReferentiescoreT1321516174184813151617[[#This Row],[CO2-impact
'[kg CO2']]]*IF(INDEX(TblBrandstof[Waardering Euroniveau],MATCH(TblReferentiescoreT1321516174184813151617[[#This Row],[Energiebron]],TblBrandstof[Brandstof],0)),VLOOKUP(TblReferentiescoreT1321516174184813151617[[#This Row],[Motortype]],TblMotortypeT[],2,0),1),"")</f>
        <v/>
      </c>
      <c r="P10" s="73" t="str">
        <f>IF(TblReferentiescoreT1321516174184813151617[[#This Row],[Slibtransport
van rwzi naar rwzi]]&lt;&gt;"",
    IF(TblReferentiescoreT1321516174184813151617[[#This Row],[Gemiddeld
volume
per rit
'[ton']]]="","Gemiddelde vracht per volle rit niet gevuld",
    IF(TblReferentiescoreT1321516174184813151617[[#This Row],[Afstand
per rit
'[km']]]="","Afstand per rit niet gevuld",
    IF(TblReferentiescoreT1321516174184813151617[[#This Row],[Aantal
ritten]]="","Aantal ritten niet gevuld",""))),
  "")</f>
        <v/>
      </c>
    </row>
    <row r="11" spans="1:17" ht="15.75" customHeight="1" x14ac:dyDescent="0.2">
      <c r="A11" s="137" t="s">
        <v>203</v>
      </c>
      <c r="B11" s="136">
        <v>18525</v>
      </c>
      <c r="C11" s="64"/>
      <c r="D11" s="65">
        <v>36</v>
      </c>
      <c r="E11" s="82">
        <f t="shared" si="0"/>
        <v>515</v>
      </c>
      <c r="F11" s="83">
        <v>18.399999999999999</v>
      </c>
      <c r="G11" s="66"/>
      <c r="H11" s="67"/>
      <c r="I11" s="67"/>
      <c r="J11" s="68"/>
      <c r="K11" s="69"/>
      <c r="L11" s="70" t="str">
        <f>IFERROR(TblReferentiescoreT1321516174184813151617[[#This Row],[Aantal
ritten]]*TblReferentiescoreT1321516174184813151617[[#This Row],[Afstand
per rit
'[km']]]*TblReferentiescoreT1321516174184813151617[[#This Row],[Gemiddeld
volume
per rit
'[ton']]]*VLOOKUP(TblReferentiescoreT1321516174184813151617[[#This Row],[Type transportmiddel]],TblType[],2,0),"")</f>
        <v/>
      </c>
      <c r="M11" s="70" t="str">
        <f>IFERROR(TblReferentiescoreT1321516174184813151617[[#This Row],[Energie-vraag (MJ)]]/stookwaarde_diesel/dichtheid_diesel*emissiefactor_diesel,"")</f>
        <v/>
      </c>
      <c r="N11" s="71" t="str">
        <f>IFERROR(
     TblReferentiescoreT1321516174184813151617[[#This Row],[Referentie-score]]*
          ((100%-TblReferentiescoreT1321516174184813151617[[#This Row],[Aandeel
2e energie
-bron]])*INDEX(TblBrandstof[CO2 uitstoot verg 1l diesel],MATCH(TblReferentiescoreT1321516174184813151617[[#This Row],[Energiebron]],TblBrandstof[Brandstof],0))+
          TblReferentiescoreT1321516174184813151617[[#This Row],[Aandeel
2e energie
-bron]]*INDEX(TblBrandstof[CO2 uitstoot verg 1l diesel],MATCH(IF(OR(TblReferentiescoreT1321516174184813151617[[#This Row],[2e energiebron]]="N.v.t.",TblReferentiescoreT1321516174184813151617[[#This Row],[2e energiebron]]=""),TblReferentiescoreT1321516174184813151617[[#This Row],[Energiebron]],TblReferentiescoreT1321516174184813151617[[#This Row],[2e energiebron]]),TblBrandstof[Brandstof],0)))*
      IF(OR(TblReferentiescoreT1321516174184813151617[[#This Row],[Motortype]]="Elektrisch",TblReferentiescoreT1321516174184813151617[[#This Row],[Hybride]]="Ja"),TblHybride[Waardering hybride],1),"")</f>
        <v/>
      </c>
      <c r="O11" s="71" t="str">
        <f>IFERROR(TblReferentiescoreT1321516174184813151617[[#This Row],[CO2-impact
'[kg CO2']]]*IF(INDEX(TblBrandstof[Waardering Euroniveau],MATCH(TblReferentiescoreT1321516174184813151617[[#This Row],[Energiebron]],TblBrandstof[Brandstof],0)),VLOOKUP(TblReferentiescoreT1321516174184813151617[[#This Row],[Motortype]],TblMotortypeT[],2,0),1),"")</f>
        <v/>
      </c>
      <c r="P11" s="73" t="str">
        <f>IF(TblReferentiescoreT1321516174184813151617[[#This Row],[Slibtransport
van rwzi naar rwzi]]&lt;&gt;"",
    IF(TblReferentiescoreT1321516174184813151617[[#This Row],[Gemiddeld
volume
per rit
'[ton']]]="","Gemiddelde vracht per volle rit niet gevuld",
    IF(TblReferentiescoreT1321516174184813151617[[#This Row],[Afstand
per rit
'[km']]]="","Afstand per rit niet gevuld",
    IF(TblReferentiescoreT1321516174184813151617[[#This Row],[Aantal
ritten]]="","Aantal ritten niet gevuld",""))),
  "")</f>
        <v/>
      </c>
    </row>
    <row r="12" spans="1:17" ht="15.75" customHeight="1" x14ac:dyDescent="0.2">
      <c r="A12" s="137" t="s">
        <v>204</v>
      </c>
      <c r="B12" s="136">
        <v>17352</v>
      </c>
      <c r="C12" s="64"/>
      <c r="D12" s="65">
        <v>36</v>
      </c>
      <c r="E12" s="82">
        <f t="shared" si="0"/>
        <v>482</v>
      </c>
      <c r="F12" s="83">
        <v>31</v>
      </c>
      <c r="G12" s="66"/>
      <c r="H12" s="67"/>
      <c r="I12" s="67"/>
      <c r="J12" s="68"/>
      <c r="K12" s="69"/>
      <c r="L12" s="70" t="str">
        <f>IFERROR(TblReferentiescoreT1321516174184813151617[[#This Row],[Aantal
ritten]]*TblReferentiescoreT1321516174184813151617[[#This Row],[Afstand
per rit
'[km']]]*TblReferentiescoreT1321516174184813151617[[#This Row],[Gemiddeld
volume
per rit
'[ton']]]*VLOOKUP(TblReferentiescoreT1321516174184813151617[[#This Row],[Type transportmiddel]],TblType[],2,0),"")</f>
        <v/>
      </c>
      <c r="M12" s="70" t="str">
        <f>IFERROR(TblReferentiescoreT1321516174184813151617[[#This Row],[Energie-vraag (MJ)]]/stookwaarde_diesel/dichtheid_diesel*emissiefactor_diesel,"")</f>
        <v/>
      </c>
      <c r="N12" s="71" t="str">
        <f>IFERROR(
     TblReferentiescoreT1321516174184813151617[[#This Row],[Referentie-score]]*
          ((100%-TblReferentiescoreT1321516174184813151617[[#This Row],[Aandeel
2e energie
-bron]])*INDEX(TblBrandstof[CO2 uitstoot verg 1l diesel],MATCH(TblReferentiescoreT1321516174184813151617[[#This Row],[Energiebron]],TblBrandstof[Brandstof],0))+
          TblReferentiescoreT1321516174184813151617[[#This Row],[Aandeel
2e energie
-bron]]*INDEX(TblBrandstof[CO2 uitstoot verg 1l diesel],MATCH(IF(OR(TblReferentiescoreT1321516174184813151617[[#This Row],[2e energiebron]]="N.v.t.",TblReferentiescoreT1321516174184813151617[[#This Row],[2e energiebron]]=""),TblReferentiescoreT1321516174184813151617[[#This Row],[Energiebron]],TblReferentiescoreT1321516174184813151617[[#This Row],[2e energiebron]]),TblBrandstof[Brandstof],0)))*
      IF(OR(TblReferentiescoreT1321516174184813151617[[#This Row],[Motortype]]="Elektrisch",TblReferentiescoreT1321516174184813151617[[#This Row],[Hybride]]="Ja"),TblHybride[Waardering hybride],1),"")</f>
        <v/>
      </c>
      <c r="O12" s="71" t="str">
        <f>IFERROR(TblReferentiescoreT1321516174184813151617[[#This Row],[CO2-impact
'[kg CO2']]]*IF(INDEX(TblBrandstof[Waardering Euroniveau],MATCH(TblReferentiescoreT1321516174184813151617[[#This Row],[Energiebron]],TblBrandstof[Brandstof],0)),VLOOKUP(TblReferentiescoreT1321516174184813151617[[#This Row],[Motortype]],TblMotortypeT[],2,0),1),"")</f>
        <v/>
      </c>
      <c r="P12" s="73" t="str">
        <f>IF(TblReferentiescoreT1321516174184813151617[[#This Row],[Slibtransport
van rwzi naar rwzi]]&lt;&gt;"",
    IF(TblReferentiescoreT1321516174184813151617[[#This Row],[Gemiddeld
volume
per rit
'[ton']]]="","Gemiddelde vracht per volle rit niet gevuld",
    IF(TblReferentiescoreT1321516174184813151617[[#This Row],[Afstand
per rit
'[km']]]="","Afstand per rit niet gevuld",
    IF(TblReferentiescoreT1321516174184813151617[[#This Row],[Aantal
ritten]]="","Aantal ritten niet gevuld",""))),
  "")</f>
        <v/>
      </c>
    </row>
    <row r="13" spans="1:17" ht="15.75" customHeight="1" x14ac:dyDescent="0.2">
      <c r="A13" s="137" t="s">
        <v>205</v>
      </c>
      <c r="B13" s="136">
        <v>4125</v>
      </c>
      <c r="C13" s="64"/>
      <c r="D13" s="65">
        <v>36</v>
      </c>
      <c r="E13" s="82">
        <f t="shared" si="0"/>
        <v>115</v>
      </c>
      <c r="F13" s="83">
        <v>17.2</v>
      </c>
      <c r="G13" s="66"/>
      <c r="H13" s="67"/>
      <c r="I13" s="67"/>
      <c r="J13" s="68"/>
      <c r="K13" s="69"/>
      <c r="L13" s="70" t="str">
        <f>IFERROR(TblReferentiescoreT1321516174184813151617[[#This Row],[Aantal
ritten]]*TblReferentiescoreT1321516174184813151617[[#This Row],[Afstand
per rit
'[km']]]*TblReferentiescoreT1321516174184813151617[[#This Row],[Gemiddeld
volume
per rit
'[ton']]]*VLOOKUP(TblReferentiescoreT1321516174184813151617[[#This Row],[Type transportmiddel]],TblType[],2,0),"")</f>
        <v/>
      </c>
      <c r="M13" s="70" t="str">
        <f>IFERROR(TblReferentiescoreT1321516174184813151617[[#This Row],[Energie-vraag (MJ)]]/stookwaarde_diesel/dichtheid_diesel*emissiefactor_diesel,"")</f>
        <v/>
      </c>
      <c r="N13" s="71" t="str">
        <f>IFERROR(
     TblReferentiescoreT1321516174184813151617[[#This Row],[Referentie-score]]*
          ((100%-TblReferentiescoreT1321516174184813151617[[#This Row],[Aandeel
2e energie
-bron]])*INDEX(TblBrandstof[CO2 uitstoot verg 1l diesel],MATCH(TblReferentiescoreT1321516174184813151617[[#This Row],[Energiebron]],TblBrandstof[Brandstof],0))+
          TblReferentiescoreT1321516174184813151617[[#This Row],[Aandeel
2e energie
-bron]]*INDEX(TblBrandstof[CO2 uitstoot verg 1l diesel],MATCH(IF(OR(TblReferentiescoreT1321516174184813151617[[#This Row],[2e energiebron]]="N.v.t.",TblReferentiescoreT1321516174184813151617[[#This Row],[2e energiebron]]=""),TblReferentiescoreT1321516174184813151617[[#This Row],[Energiebron]],TblReferentiescoreT1321516174184813151617[[#This Row],[2e energiebron]]),TblBrandstof[Brandstof],0)))*
      IF(OR(TblReferentiescoreT1321516174184813151617[[#This Row],[Motortype]]="Elektrisch",TblReferentiescoreT1321516174184813151617[[#This Row],[Hybride]]="Ja"),TblHybride[Waardering hybride],1),"")</f>
        <v/>
      </c>
      <c r="O13" s="71" t="str">
        <f>IFERROR(TblReferentiescoreT1321516174184813151617[[#This Row],[CO2-impact
'[kg CO2']]]*IF(INDEX(TblBrandstof[Waardering Euroniveau],MATCH(TblReferentiescoreT1321516174184813151617[[#This Row],[Energiebron]],TblBrandstof[Brandstof],0)),VLOOKUP(TblReferentiescoreT1321516174184813151617[[#This Row],[Motortype]],TblMotortypeT[],2,0),1),"")</f>
        <v/>
      </c>
      <c r="P13" s="73" t="str">
        <f>IF(TblReferentiescoreT1321516174184813151617[[#This Row],[Slibtransport
van rwzi naar rwzi]]&lt;&gt;"",
    IF(TblReferentiescoreT1321516174184813151617[[#This Row],[Gemiddeld
volume
per rit
'[ton']]]="","Gemiddelde vracht per volle rit niet gevuld",
    IF(TblReferentiescoreT1321516174184813151617[[#This Row],[Afstand
per rit
'[km']]]="","Afstand per rit niet gevuld",
    IF(TblReferentiescoreT1321516174184813151617[[#This Row],[Aantal
ritten]]="","Aantal ritten niet gevuld",""))),
  "")</f>
        <v/>
      </c>
    </row>
    <row r="14" spans="1:17" ht="15.75" customHeight="1" x14ac:dyDescent="0.2">
      <c r="A14" s="137" t="s">
        <v>206</v>
      </c>
      <c r="B14" s="136">
        <v>1548</v>
      </c>
      <c r="C14" s="64"/>
      <c r="D14" s="65">
        <v>36</v>
      </c>
      <c r="E14" s="82">
        <f t="shared" si="0"/>
        <v>43</v>
      </c>
      <c r="F14" s="83">
        <v>29.8</v>
      </c>
      <c r="G14" s="66"/>
      <c r="H14" s="67"/>
      <c r="I14" s="67"/>
      <c r="J14" s="68"/>
      <c r="K14" s="69"/>
      <c r="L14" s="70" t="str">
        <f>IFERROR(TblReferentiescoreT1321516174184813151617[[#This Row],[Aantal
ritten]]*TblReferentiescoreT1321516174184813151617[[#This Row],[Afstand
per rit
'[km']]]*TblReferentiescoreT1321516174184813151617[[#This Row],[Gemiddeld
volume
per rit
'[ton']]]*VLOOKUP(TblReferentiescoreT1321516174184813151617[[#This Row],[Type transportmiddel]],TblType[],2,0),"")</f>
        <v/>
      </c>
      <c r="M14" s="70" t="str">
        <f>IFERROR(TblReferentiescoreT1321516174184813151617[[#This Row],[Energie-vraag (MJ)]]/stookwaarde_diesel/dichtheid_diesel*emissiefactor_diesel,"")</f>
        <v/>
      </c>
      <c r="N14" s="71" t="str">
        <f>IFERROR(
     TblReferentiescoreT1321516174184813151617[[#This Row],[Referentie-score]]*
          ((100%-TblReferentiescoreT1321516174184813151617[[#This Row],[Aandeel
2e energie
-bron]])*INDEX(TblBrandstof[CO2 uitstoot verg 1l diesel],MATCH(TblReferentiescoreT1321516174184813151617[[#This Row],[Energiebron]],TblBrandstof[Brandstof],0))+
          TblReferentiescoreT1321516174184813151617[[#This Row],[Aandeel
2e energie
-bron]]*INDEX(TblBrandstof[CO2 uitstoot verg 1l diesel],MATCH(IF(OR(TblReferentiescoreT1321516174184813151617[[#This Row],[2e energiebron]]="N.v.t.",TblReferentiescoreT1321516174184813151617[[#This Row],[2e energiebron]]=""),TblReferentiescoreT1321516174184813151617[[#This Row],[Energiebron]],TblReferentiescoreT1321516174184813151617[[#This Row],[2e energiebron]]),TblBrandstof[Brandstof],0)))*
      IF(OR(TblReferentiescoreT1321516174184813151617[[#This Row],[Motortype]]="Elektrisch",TblReferentiescoreT1321516174184813151617[[#This Row],[Hybride]]="Ja"),TblHybride[Waardering hybride],1),"")</f>
        <v/>
      </c>
      <c r="O14" s="71" t="str">
        <f>IFERROR(TblReferentiescoreT1321516174184813151617[[#This Row],[CO2-impact
'[kg CO2']]]*IF(INDEX(TblBrandstof[Waardering Euroniveau],MATCH(TblReferentiescoreT1321516174184813151617[[#This Row],[Energiebron]],TblBrandstof[Brandstof],0)),VLOOKUP(TblReferentiescoreT1321516174184813151617[[#This Row],[Motortype]],TblMotortypeT[],2,0),1),"")</f>
        <v/>
      </c>
      <c r="P14" s="73" t="str">
        <f>IF(TblReferentiescoreT1321516174184813151617[[#This Row],[Slibtransport
van rwzi naar rwzi]]&lt;&gt;"",
    IF(TblReferentiescoreT1321516174184813151617[[#This Row],[Gemiddeld
volume
per rit
'[ton']]]="","Gemiddelde vracht per volle rit niet gevuld",
    IF(TblReferentiescoreT1321516174184813151617[[#This Row],[Afstand
per rit
'[km']]]="","Afstand per rit niet gevuld",
    IF(TblReferentiescoreT1321516174184813151617[[#This Row],[Aantal
ritten]]="","Aantal ritten niet gevuld",""))),
  "")</f>
        <v/>
      </c>
    </row>
    <row r="15" spans="1:17" ht="15.75" customHeight="1" x14ac:dyDescent="0.2">
      <c r="A15" s="137" t="s">
        <v>207</v>
      </c>
      <c r="B15" s="136">
        <v>2595</v>
      </c>
      <c r="C15" s="64"/>
      <c r="D15" s="65">
        <v>36</v>
      </c>
      <c r="E15" s="82">
        <f t="shared" si="0"/>
        <v>73</v>
      </c>
      <c r="F15" s="83">
        <v>17.2</v>
      </c>
      <c r="G15" s="66"/>
      <c r="H15" s="67"/>
      <c r="I15" s="67"/>
      <c r="J15" s="68"/>
      <c r="K15" s="69"/>
      <c r="L15" s="70" t="str">
        <f>IFERROR(TblReferentiescoreT1321516174184813151617[[#This Row],[Aantal
ritten]]*TblReferentiescoreT1321516174184813151617[[#This Row],[Afstand
per rit
'[km']]]*TblReferentiescoreT1321516174184813151617[[#This Row],[Gemiddeld
volume
per rit
'[ton']]]*VLOOKUP(TblReferentiescoreT1321516174184813151617[[#This Row],[Type transportmiddel]],TblType[],2,0),"")</f>
        <v/>
      </c>
      <c r="M15" s="70" t="str">
        <f>IFERROR(TblReferentiescoreT1321516174184813151617[[#This Row],[Energie-vraag (MJ)]]/stookwaarde_diesel/dichtheid_diesel*emissiefactor_diesel,"")</f>
        <v/>
      </c>
      <c r="N15" s="71" t="str">
        <f>IFERROR(
     TblReferentiescoreT1321516174184813151617[[#This Row],[Referentie-score]]*
          ((100%-TblReferentiescoreT1321516174184813151617[[#This Row],[Aandeel
2e energie
-bron]])*INDEX(TblBrandstof[CO2 uitstoot verg 1l diesel],MATCH(TblReferentiescoreT1321516174184813151617[[#This Row],[Energiebron]],TblBrandstof[Brandstof],0))+
          TblReferentiescoreT1321516174184813151617[[#This Row],[Aandeel
2e energie
-bron]]*INDEX(TblBrandstof[CO2 uitstoot verg 1l diesel],MATCH(IF(OR(TblReferentiescoreT1321516174184813151617[[#This Row],[2e energiebron]]="N.v.t.",TblReferentiescoreT1321516174184813151617[[#This Row],[2e energiebron]]=""),TblReferentiescoreT1321516174184813151617[[#This Row],[Energiebron]],TblReferentiescoreT1321516174184813151617[[#This Row],[2e energiebron]]),TblBrandstof[Brandstof],0)))*
      IF(OR(TblReferentiescoreT1321516174184813151617[[#This Row],[Motortype]]="Elektrisch",TblReferentiescoreT1321516174184813151617[[#This Row],[Hybride]]="Ja"),TblHybride[Waardering hybride],1),"")</f>
        <v/>
      </c>
      <c r="O15" s="71" t="str">
        <f>IFERROR(TblReferentiescoreT1321516174184813151617[[#This Row],[CO2-impact
'[kg CO2']]]*IF(INDEX(TblBrandstof[Waardering Euroniveau],MATCH(TblReferentiescoreT1321516174184813151617[[#This Row],[Energiebron]],TblBrandstof[Brandstof],0)),VLOOKUP(TblReferentiescoreT1321516174184813151617[[#This Row],[Motortype]],TblMotortypeT[],2,0),1),"")</f>
        <v/>
      </c>
      <c r="P15" s="73" t="str">
        <f>IF(TblReferentiescoreT1321516174184813151617[[#This Row],[Slibtransport
van rwzi naar rwzi]]&lt;&gt;"",
    IF(TblReferentiescoreT1321516174184813151617[[#This Row],[Gemiddeld
volume
per rit
'[ton']]]="","Gemiddelde vracht per volle rit niet gevuld",
    IF(TblReferentiescoreT1321516174184813151617[[#This Row],[Afstand
per rit
'[km']]]="","Afstand per rit niet gevuld",
    IF(TblReferentiescoreT1321516174184813151617[[#This Row],[Aantal
ritten]]="","Aantal ritten niet gevuld",""))),
  "")</f>
        <v/>
      </c>
    </row>
    <row r="16" spans="1:17" ht="15.75" customHeight="1" x14ac:dyDescent="0.2">
      <c r="A16" s="137" t="s">
        <v>208</v>
      </c>
      <c r="B16" s="136">
        <v>3770</v>
      </c>
      <c r="C16" s="64"/>
      <c r="D16" s="65">
        <v>36</v>
      </c>
      <c r="E16" s="82">
        <f t="shared" si="0"/>
        <v>105</v>
      </c>
      <c r="F16" s="83">
        <v>33</v>
      </c>
      <c r="G16" s="66"/>
      <c r="H16" s="67"/>
      <c r="I16" s="67"/>
      <c r="J16" s="68"/>
      <c r="K16" s="69"/>
      <c r="L16" s="70" t="str">
        <f>IFERROR(TblReferentiescoreT1321516174184813151617[[#This Row],[Aantal
ritten]]*TblReferentiescoreT1321516174184813151617[[#This Row],[Afstand
per rit
'[km']]]*TblReferentiescoreT1321516174184813151617[[#This Row],[Gemiddeld
volume
per rit
'[ton']]]*VLOOKUP(TblReferentiescoreT1321516174184813151617[[#This Row],[Type transportmiddel]],TblType[],2,0),"")</f>
        <v/>
      </c>
      <c r="M16" s="70" t="str">
        <f>IFERROR(TblReferentiescoreT1321516174184813151617[[#This Row],[Energie-vraag (MJ)]]/stookwaarde_diesel/dichtheid_diesel*emissiefactor_diesel,"")</f>
        <v/>
      </c>
      <c r="N16" s="71" t="str">
        <f>IFERROR(
     TblReferentiescoreT1321516174184813151617[[#This Row],[Referentie-score]]*
          ((100%-TblReferentiescoreT1321516174184813151617[[#This Row],[Aandeel
2e energie
-bron]])*INDEX(TblBrandstof[CO2 uitstoot verg 1l diesel],MATCH(TblReferentiescoreT1321516174184813151617[[#This Row],[Energiebron]],TblBrandstof[Brandstof],0))+
          TblReferentiescoreT1321516174184813151617[[#This Row],[Aandeel
2e energie
-bron]]*INDEX(TblBrandstof[CO2 uitstoot verg 1l diesel],MATCH(IF(OR(TblReferentiescoreT1321516174184813151617[[#This Row],[2e energiebron]]="N.v.t.",TblReferentiescoreT1321516174184813151617[[#This Row],[2e energiebron]]=""),TblReferentiescoreT1321516174184813151617[[#This Row],[Energiebron]],TblReferentiescoreT1321516174184813151617[[#This Row],[2e energiebron]]),TblBrandstof[Brandstof],0)))*
      IF(OR(TblReferentiescoreT1321516174184813151617[[#This Row],[Motortype]]="Elektrisch",TblReferentiescoreT1321516174184813151617[[#This Row],[Hybride]]="Ja"),TblHybride[Waardering hybride],1),"")</f>
        <v/>
      </c>
      <c r="O16" s="71" t="str">
        <f>IFERROR(TblReferentiescoreT1321516174184813151617[[#This Row],[CO2-impact
'[kg CO2']]]*IF(INDEX(TblBrandstof[Waardering Euroniveau],MATCH(TblReferentiescoreT1321516174184813151617[[#This Row],[Energiebron]],TblBrandstof[Brandstof],0)),VLOOKUP(TblReferentiescoreT1321516174184813151617[[#This Row],[Motortype]],TblMotortypeT[],2,0),1),"")</f>
        <v/>
      </c>
      <c r="P16" s="73" t="str">
        <f>IF(TblReferentiescoreT1321516174184813151617[[#This Row],[Slibtransport
van rwzi naar rwzi]]&lt;&gt;"",
    IF(TblReferentiescoreT1321516174184813151617[[#This Row],[Gemiddeld
volume
per rit
'[ton']]]="","Gemiddelde vracht per volle rit niet gevuld",
    IF(TblReferentiescoreT1321516174184813151617[[#This Row],[Afstand
per rit
'[km']]]="","Afstand per rit niet gevuld",
    IF(TblReferentiescoreT1321516174184813151617[[#This Row],[Aantal
ritten]]="","Aantal ritten niet gevuld",""))),
  "")</f>
        <v/>
      </c>
    </row>
    <row r="17" spans="1:17" ht="15.75" customHeight="1" x14ac:dyDescent="0.2">
      <c r="A17" s="137" t="s">
        <v>209</v>
      </c>
      <c r="B17" s="136">
        <v>210</v>
      </c>
      <c r="C17" s="64"/>
      <c r="D17" s="65">
        <v>36</v>
      </c>
      <c r="E17" s="82">
        <f t="shared" si="0"/>
        <v>6</v>
      </c>
      <c r="F17" s="83">
        <v>39</v>
      </c>
      <c r="G17" s="66"/>
      <c r="H17" s="67"/>
      <c r="I17" s="67"/>
      <c r="J17" s="68"/>
      <c r="K17" s="69"/>
      <c r="L17" s="70" t="str">
        <f>IFERROR(TblReferentiescoreT1321516174184813151617[[#This Row],[Aantal
ritten]]*TblReferentiescoreT1321516174184813151617[[#This Row],[Afstand
per rit
'[km']]]*TblReferentiescoreT1321516174184813151617[[#This Row],[Gemiddeld
volume
per rit
'[ton']]]*VLOOKUP(TblReferentiescoreT1321516174184813151617[[#This Row],[Type transportmiddel]],TblType[],2,0),"")</f>
        <v/>
      </c>
      <c r="M17" s="70" t="str">
        <f>IFERROR(TblReferentiescoreT1321516174184813151617[[#This Row],[Energie-vraag (MJ)]]/stookwaarde_diesel/dichtheid_diesel*emissiefactor_diesel,"")</f>
        <v/>
      </c>
      <c r="N17" s="71" t="str">
        <f>IFERROR(
     TblReferentiescoreT1321516174184813151617[[#This Row],[Referentie-score]]*
          ((100%-TblReferentiescoreT1321516174184813151617[[#This Row],[Aandeel
2e energie
-bron]])*INDEX(TblBrandstof[CO2 uitstoot verg 1l diesel],MATCH(TblReferentiescoreT1321516174184813151617[[#This Row],[Energiebron]],TblBrandstof[Brandstof],0))+
          TblReferentiescoreT1321516174184813151617[[#This Row],[Aandeel
2e energie
-bron]]*INDEX(TblBrandstof[CO2 uitstoot verg 1l diesel],MATCH(IF(OR(TblReferentiescoreT1321516174184813151617[[#This Row],[2e energiebron]]="N.v.t.",TblReferentiescoreT1321516174184813151617[[#This Row],[2e energiebron]]=""),TblReferentiescoreT1321516174184813151617[[#This Row],[Energiebron]],TblReferentiescoreT1321516174184813151617[[#This Row],[2e energiebron]]),TblBrandstof[Brandstof],0)))*
      IF(OR(TblReferentiescoreT1321516174184813151617[[#This Row],[Motortype]]="Elektrisch",TblReferentiescoreT1321516174184813151617[[#This Row],[Hybride]]="Ja"),TblHybride[Waardering hybride],1),"")</f>
        <v/>
      </c>
      <c r="O17" s="71" t="str">
        <f>IFERROR(TblReferentiescoreT1321516174184813151617[[#This Row],[CO2-impact
'[kg CO2']]]*IF(INDEX(TblBrandstof[Waardering Euroniveau],MATCH(TblReferentiescoreT1321516174184813151617[[#This Row],[Energiebron]],TblBrandstof[Brandstof],0)),VLOOKUP(TblReferentiescoreT1321516174184813151617[[#This Row],[Motortype]],TblMotortypeT[],2,0),1),"")</f>
        <v/>
      </c>
      <c r="P17" s="73" t="str">
        <f>IF(TblReferentiescoreT1321516174184813151617[[#This Row],[Slibtransport
van rwzi naar rwzi]]&lt;&gt;"",
    IF(TblReferentiescoreT1321516174184813151617[[#This Row],[Gemiddeld
volume
per rit
'[ton']]]="","Gemiddelde vracht per volle rit niet gevuld",
    IF(TblReferentiescoreT1321516174184813151617[[#This Row],[Afstand
per rit
'[km']]]="","Afstand per rit niet gevuld",
    IF(TblReferentiescoreT1321516174184813151617[[#This Row],[Aantal
ritten]]="","Aantal ritten niet gevuld",""))),
  "")</f>
        <v/>
      </c>
    </row>
    <row r="18" spans="1:17" ht="15.75" customHeight="1" x14ac:dyDescent="0.2">
      <c r="A18" s="137" t="s">
        <v>210</v>
      </c>
      <c r="B18" s="136">
        <v>3420</v>
      </c>
      <c r="C18" s="64"/>
      <c r="D18" s="65">
        <v>36</v>
      </c>
      <c r="E18" s="82">
        <f t="shared" si="0"/>
        <v>95</v>
      </c>
      <c r="F18" s="83">
        <v>46.3</v>
      </c>
      <c r="G18" s="66"/>
      <c r="H18" s="67"/>
      <c r="I18" s="67"/>
      <c r="J18" s="68"/>
      <c r="K18" s="69"/>
      <c r="L18" s="70" t="str">
        <f>IFERROR(TblReferentiescoreT1321516174184813151617[[#This Row],[Aantal
ritten]]*TblReferentiescoreT1321516174184813151617[[#This Row],[Afstand
per rit
'[km']]]*TblReferentiescoreT1321516174184813151617[[#This Row],[Gemiddeld
volume
per rit
'[ton']]]*VLOOKUP(TblReferentiescoreT1321516174184813151617[[#This Row],[Type transportmiddel]],TblType[],2,0),"")</f>
        <v/>
      </c>
      <c r="M18" s="70" t="str">
        <f>IFERROR(TblReferentiescoreT1321516174184813151617[[#This Row],[Energie-vraag (MJ)]]/stookwaarde_diesel/dichtheid_diesel*emissiefactor_diesel,"")</f>
        <v/>
      </c>
      <c r="N18" s="71" t="str">
        <f>IFERROR(
     TblReferentiescoreT1321516174184813151617[[#This Row],[Referentie-score]]*
          ((100%-TblReferentiescoreT1321516174184813151617[[#This Row],[Aandeel
2e energie
-bron]])*INDEX(TblBrandstof[CO2 uitstoot verg 1l diesel],MATCH(TblReferentiescoreT1321516174184813151617[[#This Row],[Energiebron]],TblBrandstof[Brandstof],0))+
          TblReferentiescoreT1321516174184813151617[[#This Row],[Aandeel
2e energie
-bron]]*INDEX(TblBrandstof[CO2 uitstoot verg 1l diesel],MATCH(IF(OR(TblReferentiescoreT1321516174184813151617[[#This Row],[2e energiebron]]="N.v.t.",TblReferentiescoreT1321516174184813151617[[#This Row],[2e energiebron]]=""),TblReferentiescoreT1321516174184813151617[[#This Row],[Energiebron]],TblReferentiescoreT1321516174184813151617[[#This Row],[2e energiebron]]),TblBrandstof[Brandstof],0)))*
      IF(OR(TblReferentiescoreT1321516174184813151617[[#This Row],[Motortype]]="Elektrisch",TblReferentiescoreT1321516174184813151617[[#This Row],[Hybride]]="Ja"),TblHybride[Waardering hybride],1),"")</f>
        <v/>
      </c>
      <c r="O18" s="71" t="str">
        <f>IFERROR(TblReferentiescoreT1321516174184813151617[[#This Row],[CO2-impact
'[kg CO2']]]*IF(INDEX(TblBrandstof[Waardering Euroniveau],MATCH(TblReferentiescoreT1321516174184813151617[[#This Row],[Energiebron]],TblBrandstof[Brandstof],0)),VLOOKUP(TblReferentiescoreT1321516174184813151617[[#This Row],[Motortype]],TblMotortypeT[],2,0),1),"")</f>
        <v/>
      </c>
      <c r="P18" s="73" t="str">
        <f>IF(TblReferentiescoreT1321516174184813151617[[#This Row],[Slibtransport
van rwzi naar rwzi]]&lt;&gt;"",
    IF(TblReferentiescoreT1321516174184813151617[[#This Row],[Gemiddeld
volume
per rit
'[ton']]]="","Gemiddelde vracht per volle rit niet gevuld",
    IF(TblReferentiescoreT1321516174184813151617[[#This Row],[Afstand
per rit
'[km']]]="","Afstand per rit niet gevuld",
    IF(TblReferentiescoreT1321516174184813151617[[#This Row],[Aantal
ritten]]="","Aantal ritten niet gevuld",""))),
  "")</f>
        <v/>
      </c>
    </row>
    <row r="19" spans="1:17" ht="15.75" customHeight="1" x14ac:dyDescent="0.2">
      <c r="A19" s="137" t="s">
        <v>211</v>
      </c>
      <c r="B19" s="136">
        <v>2106</v>
      </c>
      <c r="C19" s="64"/>
      <c r="D19" s="65">
        <v>36</v>
      </c>
      <c r="E19" s="82">
        <f t="shared" si="0"/>
        <v>59</v>
      </c>
      <c r="F19" s="83">
        <v>18.3</v>
      </c>
      <c r="G19" s="66"/>
      <c r="H19" s="67"/>
      <c r="I19" s="67"/>
      <c r="J19" s="68"/>
      <c r="K19" s="69"/>
      <c r="L19" s="70" t="str">
        <f>IFERROR(TblReferentiescoreT1321516174184813151617[[#This Row],[Aantal
ritten]]*TblReferentiescoreT1321516174184813151617[[#This Row],[Afstand
per rit
'[km']]]*TblReferentiescoreT1321516174184813151617[[#This Row],[Gemiddeld
volume
per rit
'[ton']]]*VLOOKUP(TblReferentiescoreT1321516174184813151617[[#This Row],[Type transportmiddel]],TblType[],2,0),"")</f>
        <v/>
      </c>
      <c r="M19" s="70" t="str">
        <f>IFERROR(TblReferentiescoreT1321516174184813151617[[#This Row],[Energie-vraag (MJ)]]/stookwaarde_diesel/dichtheid_diesel*emissiefactor_diesel,"")</f>
        <v/>
      </c>
      <c r="N19" s="71" t="str">
        <f>IFERROR(
     TblReferentiescoreT1321516174184813151617[[#This Row],[Referentie-score]]*
          ((100%-TblReferentiescoreT1321516174184813151617[[#This Row],[Aandeel
2e energie
-bron]])*INDEX(TblBrandstof[CO2 uitstoot verg 1l diesel],MATCH(TblReferentiescoreT1321516174184813151617[[#This Row],[Energiebron]],TblBrandstof[Brandstof],0))+
          TblReferentiescoreT1321516174184813151617[[#This Row],[Aandeel
2e energie
-bron]]*INDEX(TblBrandstof[CO2 uitstoot verg 1l diesel],MATCH(IF(OR(TblReferentiescoreT1321516174184813151617[[#This Row],[2e energiebron]]="N.v.t.",TblReferentiescoreT1321516174184813151617[[#This Row],[2e energiebron]]=""),TblReferentiescoreT1321516174184813151617[[#This Row],[Energiebron]],TblReferentiescoreT1321516174184813151617[[#This Row],[2e energiebron]]),TblBrandstof[Brandstof],0)))*
      IF(OR(TblReferentiescoreT1321516174184813151617[[#This Row],[Motortype]]="Elektrisch",TblReferentiescoreT1321516174184813151617[[#This Row],[Hybride]]="Ja"),TblHybride[Waardering hybride],1),"")</f>
        <v/>
      </c>
      <c r="O19" s="71" t="str">
        <f>IFERROR(TblReferentiescoreT1321516174184813151617[[#This Row],[CO2-impact
'[kg CO2']]]*IF(INDEX(TblBrandstof[Waardering Euroniveau],MATCH(TblReferentiescoreT1321516174184813151617[[#This Row],[Energiebron]],TblBrandstof[Brandstof],0)),VLOOKUP(TblReferentiescoreT1321516174184813151617[[#This Row],[Motortype]],TblMotortypeT[],2,0),1),"")</f>
        <v/>
      </c>
      <c r="P19" s="73" t="str">
        <f>IF(TblReferentiescoreT1321516174184813151617[[#This Row],[Slibtransport
van rwzi naar rwzi]]&lt;&gt;"",
    IF(TblReferentiescoreT1321516174184813151617[[#This Row],[Gemiddeld
volume
per rit
'[ton']]]="","Gemiddelde vracht per volle rit niet gevuld",
    IF(TblReferentiescoreT1321516174184813151617[[#This Row],[Afstand
per rit
'[km']]]="","Afstand per rit niet gevuld",
    IF(TblReferentiescoreT1321516174184813151617[[#This Row],[Aantal
ritten]]="","Aantal ritten niet gevuld",""))),
  "")</f>
        <v/>
      </c>
    </row>
    <row r="20" spans="1:17" ht="15.75" customHeight="1" x14ac:dyDescent="0.2">
      <c r="A20" s="137" t="s">
        <v>212</v>
      </c>
      <c r="B20" s="136">
        <v>5072</v>
      </c>
      <c r="C20" s="64"/>
      <c r="D20" s="65">
        <v>36</v>
      </c>
      <c r="E20" s="82">
        <f t="shared" si="0"/>
        <v>141</v>
      </c>
      <c r="F20" s="83">
        <v>27.5</v>
      </c>
      <c r="G20" s="66"/>
      <c r="H20" s="67"/>
      <c r="I20" s="67"/>
      <c r="J20" s="68"/>
      <c r="K20" s="69"/>
      <c r="L20" s="70" t="str">
        <f>IFERROR(TblReferentiescoreT1321516174184813151617[[#This Row],[Aantal
ritten]]*TblReferentiescoreT1321516174184813151617[[#This Row],[Afstand
per rit
'[km']]]*TblReferentiescoreT1321516174184813151617[[#This Row],[Gemiddeld
volume
per rit
'[ton']]]*VLOOKUP(TblReferentiescoreT1321516174184813151617[[#This Row],[Type transportmiddel]],TblType[],2,0),"")</f>
        <v/>
      </c>
      <c r="M20" s="70" t="str">
        <f>IFERROR(TblReferentiescoreT1321516174184813151617[[#This Row],[Energie-vraag (MJ)]]/stookwaarde_diesel/dichtheid_diesel*emissiefactor_diesel,"")</f>
        <v/>
      </c>
      <c r="N20" s="71" t="str">
        <f>IFERROR(
     TblReferentiescoreT1321516174184813151617[[#This Row],[Referentie-score]]*
          ((100%-TblReferentiescoreT1321516174184813151617[[#This Row],[Aandeel
2e energie
-bron]])*INDEX(TblBrandstof[CO2 uitstoot verg 1l diesel],MATCH(TblReferentiescoreT1321516174184813151617[[#This Row],[Energiebron]],TblBrandstof[Brandstof],0))+
          TblReferentiescoreT1321516174184813151617[[#This Row],[Aandeel
2e energie
-bron]]*INDEX(TblBrandstof[CO2 uitstoot verg 1l diesel],MATCH(IF(OR(TblReferentiescoreT1321516174184813151617[[#This Row],[2e energiebron]]="N.v.t.",TblReferentiescoreT1321516174184813151617[[#This Row],[2e energiebron]]=""),TblReferentiescoreT1321516174184813151617[[#This Row],[Energiebron]],TblReferentiescoreT1321516174184813151617[[#This Row],[2e energiebron]]),TblBrandstof[Brandstof],0)))*
      IF(OR(TblReferentiescoreT1321516174184813151617[[#This Row],[Motortype]]="Elektrisch",TblReferentiescoreT1321516174184813151617[[#This Row],[Hybride]]="Ja"),TblHybride[Waardering hybride],1),"")</f>
        <v/>
      </c>
      <c r="O20" s="71" t="str">
        <f>IFERROR(TblReferentiescoreT1321516174184813151617[[#This Row],[CO2-impact
'[kg CO2']]]*IF(INDEX(TblBrandstof[Waardering Euroniveau],MATCH(TblReferentiescoreT1321516174184813151617[[#This Row],[Energiebron]],TblBrandstof[Brandstof],0)),VLOOKUP(TblReferentiescoreT1321516174184813151617[[#This Row],[Motortype]],TblMotortypeT[],2,0),1),"")</f>
        <v/>
      </c>
      <c r="P20" s="73" t="str">
        <f>IF(TblReferentiescoreT1321516174184813151617[[#This Row],[Slibtransport
van rwzi naar rwzi]]&lt;&gt;"",
    IF(TblReferentiescoreT1321516174184813151617[[#This Row],[Gemiddeld
volume
per rit
'[ton']]]="","Gemiddelde vracht per volle rit niet gevuld",
    IF(TblReferentiescoreT1321516174184813151617[[#This Row],[Afstand
per rit
'[km']]]="","Afstand per rit niet gevuld",
    IF(TblReferentiescoreT1321516174184813151617[[#This Row],[Aantal
ritten]]="","Aantal ritten niet gevuld",""))),
  "")</f>
        <v/>
      </c>
    </row>
    <row r="21" spans="1:17" ht="15.75" customHeight="1" x14ac:dyDescent="0.2">
      <c r="A21" s="137" t="s">
        <v>213</v>
      </c>
      <c r="B21" s="136">
        <v>1689</v>
      </c>
      <c r="C21" s="64"/>
      <c r="D21" s="65">
        <v>36</v>
      </c>
      <c r="E21" s="82">
        <f t="shared" si="0"/>
        <v>47</v>
      </c>
      <c r="F21" s="83">
        <v>36.299999999999997</v>
      </c>
      <c r="G21" s="66"/>
      <c r="H21" s="67"/>
      <c r="I21" s="67"/>
      <c r="J21" s="68"/>
      <c r="K21" s="69"/>
      <c r="L21" s="70" t="str">
        <f>IFERROR(TblReferentiescoreT1321516174184813151617[[#This Row],[Aantal
ritten]]*TblReferentiescoreT1321516174184813151617[[#This Row],[Afstand
per rit
'[km']]]*TblReferentiescoreT1321516174184813151617[[#This Row],[Gemiddeld
volume
per rit
'[ton']]]*VLOOKUP(TblReferentiescoreT1321516174184813151617[[#This Row],[Type transportmiddel]],TblType[],2,0),"")</f>
        <v/>
      </c>
      <c r="M21" s="70" t="str">
        <f>IFERROR(TblReferentiescoreT1321516174184813151617[[#This Row],[Energie-vraag (MJ)]]/stookwaarde_diesel/dichtheid_diesel*emissiefactor_diesel,"")</f>
        <v/>
      </c>
      <c r="N21" s="71" t="str">
        <f>IFERROR(
     TblReferentiescoreT1321516174184813151617[[#This Row],[Referentie-score]]*
          ((100%-TblReferentiescoreT1321516174184813151617[[#This Row],[Aandeel
2e energie
-bron]])*INDEX(TblBrandstof[CO2 uitstoot verg 1l diesel],MATCH(TblReferentiescoreT1321516174184813151617[[#This Row],[Energiebron]],TblBrandstof[Brandstof],0))+
          TblReferentiescoreT1321516174184813151617[[#This Row],[Aandeel
2e energie
-bron]]*INDEX(TblBrandstof[CO2 uitstoot verg 1l diesel],MATCH(IF(OR(TblReferentiescoreT1321516174184813151617[[#This Row],[2e energiebron]]="N.v.t.",TblReferentiescoreT1321516174184813151617[[#This Row],[2e energiebron]]=""),TblReferentiescoreT1321516174184813151617[[#This Row],[Energiebron]],TblReferentiescoreT1321516174184813151617[[#This Row],[2e energiebron]]),TblBrandstof[Brandstof],0)))*
      IF(OR(TblReferentiescoreT1321516174184813151617[[#This Row],[Motortype]]="Elektrisch",TblReferentiescoreT1321516174184813151617[[#This Row],[Hybride]]="Ja"),TblHybride[Waardering hybride],1),"")</f>
        <v/>
      </c>
      <c r="O21" s="71" t="str">
        <f>IFERROR(TblReferentiescoreT1321516174184813151617[[#This Row],[CO2-impact
'[kg CO2']]]*IF(INDEX(TblBrandstof[Waardering Euroniveau],MATCH(TblReferentiescoreT1321516174184813151617[[#This Row],[Energiebron]],TblBrandstof[Brandstof],0)),VLOOKUP(TblReferentiescoreT1321516174184813151617[[#This Row],[Motortype]],TblMotortypeT[],2,0),1),"")</f>
        <v/>
      </c>
      <c r="P21" s="73" t="str">
        <f>IF(TblReferentiescoreT1321516174184813151617[[#This Row],[Slibtransport
van rwzi naar rwzi]]&lt;&gt;"",
    IF(TblReferentiescoreT1321516174184813151617[[#This Row],[Gemiddeld
volume
per rit
'[ton']]]="","Gemiddelde vracht per volle rit niet gevuld",
    IF(TblReferentiescoreT1321516174184813151617[[#This Row],[Afstand
per rit
'[km']]]="","Afstand per rit niet gevuld",
    IF(TblReferentiescoreT1321516174184813151617[[#This Row],[Aantal
ritten]]="","Aantal ritten niet gevuld",""))),
  "")</f>
        <v/>
      </c>
    </row>
    <row r="22" spans="1:17" ht="15.75" customHeight="1" x14ac:dyDescent="0.2">
      <c r="A22" s="137" t="s">
        <v>214</v>
      </c>
      <c r="B22" s="136">
        <v>4509</v>
      </c>
      <c r="C22" s="64"/>
      <c r="D22" s="65">
        <v>36</v>
      </c>
      <c r="E22" s="82">
        <f t="shared" si="0"/>
        <v>126</v>
      </c>
      <c r="F22" s="83">
        <v>25.3</v>
      </c>
      <c r="G22" s="66"/>
      <c r="H22" s="67"/>
      <c r="I22" s="67"/>
      <c r="J22" s="68"/>
      <c r="K22" s="69"/>
      <c r="L22" s="70" t="str">
        <f>IFERROR(TblReferentiescoreT1321516174184813151617[[#This Row],[Aantal
ritten]]*TblReferentiescoreT1321516174184813151617[[#This Row],[Afstand
per rit
'[km']]]*TblReferentiescoreT1321516174184813151617[[#This Row],[Gemiddeld
volume
per rit
'[ton']]]*VLOOKUP(TblReferentiescoreT1321516174184813151617[[#This Row],[Type transportmiddel]],TblType[],2,0),"")</f>
        <v/>
      </c>
      <c r="M22" s="70" t="str">
        <f>IFERROR(TblReferentiescoreT1321516174184813151617[[#This Row],[Energie-vraag (MJ)]]/stookwaarde_diesel/dichtheid_diesel*emissiefactor_diesel,"")</f>
        <v/>
      </c>
      <c r="N22" s="71" t="str">
        <f>IFERROR(
     TblReferentiescoreT1321516174184813151617[[#This Row],[Referentie-score]]*
          ((100%-TblReferentiescoreT1321516174184813151617[[#This Row],[Aandeel
2e energie
-bron]])*INDEX(TblBrandstof[CO2 uitstoot verg 1l diesel],MATCH(TblReferentiescoreT1321516174184813151617[[#This Row],[Energiebron]],TblBrandstof[Brandstof],0))+
          TblReferentiescoreT1321516174184813151617[[#This Row],[Aandeel
2e energie
-bron]]*INDEX(TblBrandstof[CO2 uitstoot verg 1l diesel],MATCH(IF(OR(TblReferentiescoreT1321516174184813151617[[#This Row],[2e energiebron]]="N.v.t.",TblReferentiescoreT1321516174184813151617[[#This Row],[2e energiebron]]=""),TblReferentiescoreT1321516174184813151617[[#This Row],[Energiebron]],TblReferentiescoreT1321516174184813151617[[#This Row],[2e energiebron]]),TblBrandstof[Brandstof],0)))*
      IF(OR(TblReferentiescoreT1321516174184813151617[[#This Row],[Motortype]]="Elektrisch",TblReferentiescoreT1321516174184813151617[[#This Row],[Hybride]]="Ja"),TblHybride[Waardering hybride],1),"")</f>
        <v/>
      </c>
      <c r="O22" s="71" t="str">
        <f>IFERROR(TblReferentiescoreT1321516174184813151617[[#This Row],[CO2-impact
'[kg CO2']]]*IF(INDEX(TblBrandstof[Waardering Euroniveau],MATCH(TblReferentiescoreT1321516174184813151617[[#This Row],[Energiebron]],TblBrandstof[Brandstof],0)),VLOOKUP(TblReferentiescoreT1321516174184813151617[[#This Row],[Motortype]],TblMotortypeT[],2,0),1),"")</f>
        <v/>
      </c>
      <c r="P22" s="73" t="str">
        <f>IF(TblReferentiescoreT1321516174184813151617[[#This Row],[Slibtransport
van rwzi naar rwzi]]&lt;&gt;"",
    IF(TblReferentiescoreT1321516174184813151617[[#This Row],[Gemiddeld
volume
per rit
'[ton']]]="","Gemiddelde vracht per volle rit niet gevuld",
    IF(TblReferentiescoreT1321516174184813151617[[#This Row],[Afstand
per rit
'[km']]]="","Afstand per rit niet gevuld",
    IF(TblReferentiescoreT1321516174184813151617[[#This Row],[Aantal
ritten]]="","Aantal ritten niet gevuld",""))),
  "")</f>
        <v/>
      </c>
    </row>
    <row r="23" spans="1:17" ht="15.75" customHeight="1" x14ac:dyDescent="0.2">
      <c r="A23" s="137" t="s">
        <v>215</v>
      </c>
      <c r="B23" s="136">
        <v>144</v>
      </c>
      <c r="C23" s="64"/>
      <c r="D23" s="65">
        <v>36</v>
      </c>
      <c r="E23" s="82">
        <f t="shared" si="0"/>
        <v>4</v>
      </c>
      <c r="F23" s="83">
        <v>13.7</v>
      </c>
      <c r="G23" s="66"/>
      <c r="H23" s="67"/>
      <c r="I23" s="67"/>
      <c r="J23" s="68"/>
      <c r="K23" s="69"/>
      <c r="L23" s="70" t="str">
        <f>IFERROR(TblReferentiescoreT1321516174184813151617[[#This Row],[Aantal
ritten]]*TblReferentiescoreT1321516174184813151617[[#This Row],[Afstand
per rit
'[km']]]*TblReferentiescoreT1321516174184813151617[[#This Row],[Gemiddeld
volume
per rit
'[ton']]]*VLOOKUP(TblReferentiescoreT1321516174184813151617[[#This Row],[Type transportmiddel]],TblType[],2,0),"")</f>
        <v/>
      </c>
      <c r="M23" s="70" t="str">
        <f>IFERROR(TblReferentiescoreT1321516174184813151617[[#This Row],[Energie-vraag (MJ)]]/stookwaarde_diesel/dichtheid_diesel*emissiefactor_diesel,"")</f>
        <v/>
      </c>
      <c r="N23" s="71" t="str">
        <f>IFERROR(
     TblReferentiescoreT1321516174184813151617[[#This Row],[Referentie-score]]*
          ((100%-TblReferentiescoreT1321516174184813151617[[#This Row],[Aandeel
2e energie
-bron]])*INDEX(TblBrandstof[CO2 uitstoot verg 1l diesel],MATCH(TblReferentiescoreT1321516174184813151617[[#This Row],[Energiebron]],TblBrandstof[Brandstof],0))+
          TblReferentiescoreT1321516174184813151617[[#This Row],[Aandeel
2e energie
-bron]]*INDEX(TblBrandstof[CO2 uitstoot verg 1l diesel],MATCH(IF(OR(TblReferentiescoreT1321516174184813151617[[#This Row],[2e energiebron]]="N.v.t.",TblReferentiescoreT1321516174184813151617[[#This Row],[2e energiebron]]=""),TblReferentiescoreT1321516174184813151617[[#This Row],[Energiebron]],TblReferentiescoreT1321516174184813151617[[#This Row],[2e energiebron]]),TblBrandstof[Brandstof],0)))*
      IF(OR(TblReferentiescoreT1321516174184813151617[[#This Row],[Motortype]]="Elektrisch",TblReferentiescoreT1321516174184813151617[[#This Row],[Hybride]]="Ja"),TblHybride[Waardering hybride],1),"")</f>
        <v/>
      </c>
      <c r="O23" s="71" t="str">
        <f>IFERROR(TblReferentiescoreT1321516174184813151617[[#This Row],[CO2-impact
'[kg CO2']]]*IF(INDEX(TblBrandstof[Waardering Euroniveau],MATCH(TblReferentiescoreT1321516174184813151617[[#This Row],[Energiebron]],TblBrandstof[Brandstof],0)),VLOOKUP(TblReferentiescoreT1321516174184813151617[[#This Row],[Motortype]],TblMotortypeT[],2,0),1),"")</f>
        <v/>
      </c>
      <c r="P23" s="73" t="str">
        <f>IF(TblReferentiescoreT1321516174184813151617[[#This Row],[Slibtransport
van rwzi naar rwzi]]&lt;&gt;"",
    IF(TblReferentiescoreT1321516174184813151617[[#This Row],[Gemiddeld
volume
per rit
'[ton']]]="","Gemiddelde vracht per volle rit niet gevuld",
    IF(TblReferentiescoreT1321516174184813151617[[#This Row],[Afstand
per rit
'[km']]]="","Afstand per rit niet gevuld",
    IF(TblReferentiescoreT1321516174184813151617[[#This Row],[Aantal
ritten]]="","Aantal ritten niet gevuld",""))),
  "")</f>
        <v/>
      </c>
    </row>
    <row r="24" spans="1:17" ht="15.75" customHeight="1" x14ac:dyDescent="0.2">
      <c r="A24" s="137" t="s">
        <v>217</v>
      </c>
      <c r="B24" s="136">
        <v>3765</v>
      </c>
      <c r="C24" s="64"/>
      <c r="D24" s="65">
        <v>36</v>
      </c>
      <c r="E24" s="82">
        <f t="shared" si="0"/>
        <v>105</v>
      </c>
      <c r="F24" s="83">
        <v>24.8</v>
      </c>
      <c r="G24" s="66"/>
      <c r="H24" s="67"/>
      <c r="I24" s="67"/>
      <c r="J24" s="68"/>
      <c r="K24" s="69"/>
      <c r="L24" s="70" t="str">
        <f>IFERROR(TblReferentiescoreT1321516174184813151617[[#This Row],[Aantal
ritten]]*TblReferentiescoreT1321516174184813151617[[#This Row],[Afstand
per rit
'[km']]]*TblReferentiescoreT1321516174184813151617[[#This Row],[Gemiddeld
volume
per rit
'[ton']]]*VLOOKUP(TblReferentiescoreT1321516174184813151617[[#This Row],[Type transportmiddel]],TblType[],2,0),"")</f>
        <v/>
      </c>
      <c r="M24" s="70" t="str">
        <f>IFERROR(TblReferentiescoreT1321516174184813151617[[#This Row],[Energie-vraag (MJ)]]/stookwaarde_diesel/dichtheid_diesel*emissiefactor_diesel,"")</f>
        <v/>
      </c>
      <c r="N24" s="71" t="str">
        <f>IFERROR(
     TblReferentiescoreT1321516174184813151617[[#This Row],[Referentie-score]]*
          ((100%-TblReferentiescoreT1321516174184813151617[[#This Row],[Aandeel
2e energie
-bron]])*INDEX(TblBrandstof[CO2 uitstoot verg 1l diesel],MATCH(TblReferentiescoreT1321516174184813151617[[#This Row],[Energiebron]],TblBrandstof[Brandstof],0))+
          TblReferentiescoreT1321516174184813151617[[#This Row],[Aandeel
2e energie
-bron]]*INDEX(TblBrandstof[CO2 uitstoot verg 1l diesel],MATCH(IF(OR(TblReferentiescoreT1321516174184813151617[[#This Row],[2e energiebron]]="N.v.t.",TblReferentiescoreT1321516174184813151617[[#This Row],[2e energiebron]]=""),TblReferentiescoreT1321516174184813151617[[#This Row],[Energiebron]],TblReferentiescoreT1321516174184813151617[[#This Row],[2e energiebron]]),TblBrandstof[Brandstof],0)))*
      IF(OR(TblReferentiescoreT1321516174184813151617[[#This Row],[Motortype]]="Elektrisch",TblReferentiescoreT1321516174184813151617[[#This Row],[Hybride]]="Ja"),TblHybride[Waardering hybride],1),"")</f>
        <v/>
      </c>
      <c r="O24" s="71" t="str">
        <f>IFERROR(TblReferentiescoreT1321516174184813151617[[#This Row],[CO2-impact
'[kg CO2']]]*IF(INDEX(TblBrandstof[Waardering Euroniveau],MATCH(TblReferentiescoreT1321516174184813151617[[#This Row],[Energiebron]],TblBrandstof[Brandstof],0)),VLOOKUP(TblReferentiescoreT1321516174184813151617[[#This Row],[Motortype]],TblMotortypeT[],2,0),1),"")</f>
        <v/>
      </c>
      <c r="P24" s="73" t="str">
        <f>IF(TblReferentiescoreT1321516174184813151617[[#This Row],[Slibtransport
van rwzi naar rwzi]]&lt;&gt;"",
    IF(TblReferentiescoreT1321516174184813151617[[#This Row],[Gemiddeld
volume
per rit
'[ton']]]="","Gemiddelde vracht per volle rit niet gevuld",
    IF(TblReferentiescoreT1321516174184813151617[[#This Row],[Afstand
per rit
'[km']]]="","Afstand per rit niet gevuld",
    IF(TblReferentiescoreT1321516174184813151617[[#This Row],[Aantal
ritten]]="","Aantal ritten niet gevuld",""))),
  "")</f>
        <v/>
      </c>
    </row>
    <row r="25" spans="1:17" ht="15.75" customHeight="1" thickBot="1" x14ac:dyDescent="0.25">
      <c r="A25" s="137" t="s">
        <v>216</v>
      </c>
      <c r="B25" s="136">
        <v>72</v>
      </c>
      <c r="C25" s="64"/>
      <c r="D25" s="65">
        <v>36</v>
      </c>
      <c r="E25" s="82">
        <f t="shared" si="0"/>
        <v>2</v>
      </c>
      <c r="F25" s="83">
        <v>35.9</v>
      </c>
      <c r="G25" s="66"/>
      <c r="H25" s="67"/>
      <c r="I25" s="67"/>
      <c r="J25" s="68"/>
      <c r="K25" s="69"/>
      <c r="L25" s="70" t="str">
        <f>IFERROR(TblReferentiescoreT1321516174184813151617[[#This Row],[Aantal
ritten]]*TblReferentiescoreT1321516174184813151617[[#This Row],[Afstand
per rit
'[km']]]*TblReferentiescoreT1321516174184813151617[[#This Row],[Gemiddeld
volume
per rit
'[ton']]]*VLOOKUP(TblReferentiescoreT1321516174184813151617[[#This Row],[Type transportmiddel]],TblType[],2,0),"")</f>
        <v/>
      </c>
      <c r="M25" s="70" t="str">
        <f>IFERROR(TblReferentiescoreT1321516174184813151617[[#This Row],[Energie-vraag (MJ)]]/stookwaarde_diesel/dichtheid_diesel*emissiefactor_diesel,"")</f>
        <v/>
      </c>
      <c r="N25" s="71" t="str">
        <f>IFERROR(
     TblReferentiescoreT1321516174184813151617[[#This Row],[Referentie-score]]*
          ((100%-TblReferentiescoreT1321516174184813151617[[#This Row],[Aandeel
2e energie
-bron]])*INDEX(TblBrandstof[CO2 uitstoot verg 1l diesel],MATCH(TblReferentiescoreT1321516174184813151617[[#This Row],[Energiebron]],TblBrandstof[Brandstof],0))+
          TblReferentiescoreT1321516174184813151617[[#This Row],[Aandeel
2e energie
-bron]]*INDEX(TblBrandstof[CO2 uitstoot verg 1l diesel],MATCH(IF(OR(TblReferentiescoreT1321516174184813151617[[#This Row],[2e energiebron]]="N.v.t.",TblReferentiescoreT1321516174184813151617[[#This Row],[2e energiebron]]=""),TblReferentiescoreT1321516174184813151617[[#This Row],[Energiebron]],TblReferentiescoreT1321516174184813151617[[#This Row],[2e energiebron]]),TblBrandstof[Brandstof],0)))*
      IF(OR(TblReferentiescoreT1321516174184813151617[[#This Row],[Motortype]]="Elektrisch",TblReferentiescoreT1321516174184813151617[[#This Row],[Hybride]]="Ja"),TblHybride[Waardering hybride],1),"")</f>
        <v/>
      </c>
      <c r="O25" s="71" t="str">
        <f>IFERROR(TblReferentiescoreT1321516174184813151617[[#This Row],[CO2-impact
'[kg CO2']]]*IF(INDEX(TblBrandstof[Waardering Euroniveau],MATCH(TblReferentiescoreT1321516174184813151617[[#This Row],[Energiebron]],TblBrandstof[Brandstof],0)),VLOOKUP(TblReferentiescoreT1321516174184813151617[[#This Row],[Motortype]],TblMotortypeT[],2,0),1),"")</f>
        <v/>
      </c>
      <c r="P25" s="73" t="str">
        <f>IF(TblReferentiescoreT1321516174184813151617[[#This Row],[Slibtransport
van rwzi naar rwzi]]&lt;&gt;"",
    IF(TblReferentiescoreT1321516174184813151617[[#This Row],[Gemiddeld
volume
per rit
'[ton']]]="","Gemiddelde vracht per volle rit niet gevuld",
    IF(TblReferentiescoreT1321516174184813151617[[#This Row],[Afstand
per rit
'[km']]]="","Afstand per rit niet gevuld",
    IF(TblReferentiescoreT1321516174184813151617[[#This Row],[Aantal
ritten]]="","Aantal ritten niet gevuld",""))),
  "")</f>
        <v/>
      </c>
    </row>
    <row r="26" spans="1:17" s="45" customFormat="1" ht="15.75" thickBot="1" x14ac:dyDescent="0.25">
      <c r="A26" s="46" t="s">
        <v>159</v>
      </c>
      <c r="B26" s="48">
        <f>SUBTOTAL(109,TblReferentiescoreT1321516174184813151617[Gemiddeld
volume 
per jaar
'[ton']])</f>
        <v>114305</v>
      </c>
      <c r="C26" s="48"/>
      <c r="D26" s="48"/>
      <c r="E26" s="48"/>
      <c r="F26" s="48"/>
      <c r="G26" s="48"/>
      <c r="H26" s="48"/>
      <c r="I26" s="48"/>
      <c r="J26" s="48"/>
      <c r="K26" s="48"/>
      <c r="L26" s="47"/>
      <c r="M26" s="48">
        <f>SUBTOTAL(109,TblReferentiescoreT1321516174184813151617[Referentie-score])</f>
        <v>0</v>
      </c>
      <c r="N26" s="79">
        <f>SUBTOTAL(109,TblReferentiescoreT1321516174184813151617[CO2-impact
'[kg CO2']])</f>
        <v>0</v>
      </c>
      <c r="O26" s="79">
        <f>SUBTOTAL(109,TblReferentiescoreT1321516174184813151617[Transport
score])</f>
        <v>0</v>
      </c>
      <c r="P26" s="48"/>
    </row>
    <row r="27" spans="1:17" x14ac:dyDescent="0.2">
      <c r="C27" s="74"/>
      <c r="D27" s="74"/>
      <c r="E27" s="75"/>
      <c r="F27" s="74"/>
      <c r="N27" s="54"/>
      <c r="O27" s="54" t="s">
        <v>197</v>
      </c>
    </row>
    <row r="28" spans="1:17" x14ac:dyDescent="0.2">
      <c r="Q28" s="49"/>
    </row>
    <row r="29" spans="1:17" x14ac:dyDescent="0.2">
      <c r="A29" s="50"/>
      <c r="B29" s="50"/>
      <c r="C29" s="85"/>
      <c r="D29" s="49"/>
      <c r="E29" s="85"/>
      <c r="F29" s="85"/>
      <c r="Q29" s="49"/>
    </row>
    <row r="30" spans="1:17" x14ac:dyDescent="0.2">
      <c r="A30" s="50"/>
      <c r="B30" s="50"/>
      <c r="C30" s="85"/>
      <c r="D30" s="49"/>
      <c r="E30" s="86"/>
      <c r="F30" s="85"/>
      <c r="Q30" s="51"/>
    </row>
    <row r="31" spans="1:17" x14ac:dyDescent="0.2">
      <c r="A31" s="50"/>
      <c r="B31" s="50"/>
      <c r="C31" s="154"/>
      <c r="D31" s="49"/>
      <c r="E31" s="85"/>
      <c r="F31" s="85"/>
    </row>
  </sheetData>
  <sheetProtection algorithmName="SHA-512" hashValue="Cr0lpd3BIlI+p5rjzy0KjgzCCJ5MYPU6Dg9tIa921psQkcWTyAw++Pod0kKu7jo5nMjZ0G/WDHeelcjE5VIaqA==" saltValue="W5daxbBZWoMJwjU3AtG3Fw==" spinCount="100000" sheet="1" selectLockedCells="1"/>
  <mergeCells count="2">
    <mergeCell ref="B2:C2"/>
    <mergeCell ref="B3:C3"/>
  </mergeCells>
  <dataValidations count="7">
    <dataValidation type="list" allowBlank="1" showInputMessage="1" showErrorMessage="1" sqref="H6:H25" xr:uid="{6790D6A2-B175-4B16-BD5C-A2A0A36C4E8C}">
      <formula1>INDIRECT(LEFT(G6,5))</formula1>
    </dataValidation>
    <dataValidation type="list" allowBlank="1" showInputMessage="1" showErrorMessage="1" sqref="I6:I25" xr:uid="{63D78225-0DA2-4B0E-A697-3712157AD99A}">
      <formula1>INDIRECT(LEFT(SUBSTITUTE(SUBSTITUTE(H6," ","_"),"(","_"),10))</formula1>
    </dataValidation>
    <dataValidation type="list" allowBlank="1" showInputMessage="1" showErrorMessage="1" sqref="C6:C25" xr:uid="{3FB7D615-7D4E-4E7A-8F20-85D850CF9413}">
      <formula1>types</formula1>
    </dataValidation>
    <dataValidation type="list" allowBlank="1" showInputMessage="1" showErrorMessage="1" sqref="G6:G25" xr:uid="{C2F7AF78-79BE-44D3-9EAB-7151075BAABD}">
      <formula1>motortypest</formula1>
    </dataValidation>
    <dataValidation type="decimal" allowBlank="1" showInputMessage="1" showErrorMessage="1" sqref="J6:J25" xr:uid="{81DA680E-F880-4A4B-9E5F-2C07121A2488}">
      <formula1>0</formula1>
      <formula2>1</formula2>
    </dataValidation>
    <dataValidation type="list" allowBlank="1" showInputMessage="1" showErrorMessage="1" sqref="K6:K25" xr:uid="{74E7BB9F-57B1-4166-9013-6D4DF132500B}">
      <formula1>"Ja,Nee"</formula1>
    </dataValidation>
    <dataValidation type="whole" allowBlank="1" showInputMessage="1" showErrorMessage="1" prompt="Numerieke waarde" sqref="D6:F25" xr:uid="{8F8B6445-0C6D-4269-8B8E-34D55B762C87}">
      <formula1>1</formula1>
      <formula2>999999</formula2>
    </dataValidation>
  </dataValidations>
  <pageMargins left="0.25" right="0.25" top="0.75" bottom="0.75" header="0.3" footer="0.3"/>
  <pageSetup paperSize="9" scale="7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Button 1">
              <controlPr defaultSize="0" print="0" autoFill="0" autoPict="0" macro="[0]!export.export">
                <anchor moveWithCells="1" sizeWithCells="1">
                  <from>
                    <xdr:col>3</xdr:col>
                    <xdr:colOff>76200</xdr:colOff>
                    <xdr:row>1</xdr:row>
                    <xdr:rowOff>190500</xdr:rowOff>
                  </from>
                  <to>
                    <xdr:col>5</xdr:col>
                    <xdr:colOff>9525</xdr:colOff>
                    <xdr:row>3</xdr:row>
                    <xdr:rowOff>0</xdr:rowOff>
                  </to>
                </anchor>
              </controlPr>
            </control>
          </mc:Choice>
        </mc:AlternateContent>
      </controls>
    </mc:Choice>
  </mc:AlternateContent>
  <tableParts count="1">
    <tablePart r:id="rId5"/>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2670F-FB46-48A7-B76A-20A93507F251}">
  <sheetPr codeName="Blad16">
    <tabColor theme="8" tint="-0.249977111117893"/>
    <pageSetUpPr fitToPage="1"/>
  </sheetPr>
  <dimension ref="A1:Q31"/>
  <sheetViews>
    <sheetView showGridLines="0" zoomScale="85" zoomScaleNormal="85" workbookViewId="0">
      <selection sqref="A1:XFD1048576"/>
    </sheetView>
  </sheetViews>
  <sheetFormatPr defaultColWidth="11" defaultRowHeight="12.75" x14ac:dyDescent="0.2"/>
  <cols>
    <col min="1" max="1" width="28.625" style="52" customWidth="1"/>
    <col min="2" max="2" width="12.625" style="52" customWidth="1"/>
    <col min="3" max="3" width="32.625" style="52" customWidth="1"/>
    <col min="4" max="4" width="12.625" style="54" customWidth="1"/>
    <col min="5" max="6" width="12.625" style="52" customWidth="1"/>
    <col min="7" max="7" width="12.625" style="55" customWidth="1"/>
    <col min="8" max="9" width="20.625" style="52" customWidth="1"/>
    <col min="10" max="10" width="12.125" style="52" customWidth="1"/>
    <col min="11" max="11" width="9.125" style="55" customWidth="1"/>
    <col min="12" max="12" width="8.625" style="52" hidden="1" customWidth="1"/>
    <col min="13" max="13" width="10.875" style="52" hidden="1" customWidth="1"/>
    <col min="14" max="14" width="12.625" style="52" customWidth="1"/>
    <col min="15" max="15" width="12.625" style="52" hidden="1" customWidth="1"/>
    <col min="16" max="16" width="12.625" style="52" customWidth="1"/>
    <col min="17" max="17" width="36.375" style="52" customWidth="1"/>
    <col min="18" max="18" width="17.125" style="52" customWidth="1"/>
    <col min="19" max="16384" width="11" style="52"/>
  </cols>
  <sheetData>
    <row r="1" spans="1:17" ht="15.75" customHeight="1" x14ac:dyDescent="0.2">
      <c r="A1" s="53" t="s">
        <v>281</v>
      </c>
      <c r="B1" s="53"/>
    </row>
    <row r="2" spans="1:17" ht="15.75" customHeight="1" x14ac:dyDescent="0.2"/>
    <row r="3" spans="1:17" ht="15.75" customHeight="1" x14ac:dyDescent="0.2"/>
    <row r="4" spans="1:17" ht="15.75" customHeight="1" x14ac:dyDescent="0.2">
      <c r="G4" s="58"/>
    </row>
    <row r="5" spans="1:17" ht="60" customHeight="1" x14ac:dyDescent="0.2">
      <c r="A5" s="59" t="s">
        <v>221</v>
      </c>
      <c r="B5" s="60" t="s">
        <v>225</v>
      </c>
      <c r="C5" s="159" t="s">
        <v>227</v>
      </c>
      <c r="D5" s="84" t="s">
        <v>224</v>
      </c>
      <c r="E5" s="84" t="s">
        <v>218</v>
      </c>
      <c r="F5" s="84" t="s">
        <v>219</v>
      </c>
      <c r="G5" s="160" t="s">
        <v>36</v>
      </c>
      <c r="H5" s="159" t="s">
        <v>173</v>
      </c>
      <c r="I5" s="159" t="s">
        <v>191</v>
      </c>
      <c r="J5" s="84" t="s">
        <v>226</v>
      </c>
      <c r="K5" s="160" t="s">
        <v>39</v>
      </c>
      <c r="L5" s="59" t="s">
        <v>184</v>
      </c>
      <c r="M5" s="59" t="s">
        <v>183</v>
      </c>
      <c r="N5" s="62" t="s">
        <v>222</v>
      </c>
      <c r="O5" s="60" t="s">
        <v>220</v>
      </c>
      <c r="P5" s="80" t="s">
        <v>223</v>
      </c>
      <c r="Q5" s="63"/>
    </row>
    <row r="6" spans="1:17" ht="15.75" customHeight="1" x14ac:dyDescent="0.2">
      <c r="A6" s="137" t="s">
        <v>198</v>
      </c>
      <c r="B6" s="136">
        <v>5122</v>
      </c>
      <c r="C6" s="161" t="s">
        <v>158</v>
      </c>
      <c r="D6" s="162">
        <v>36</v>
      </c>
      <c r="E6" s="82">
        <f t="shared" ref="E6:E25" si="0">CEILING(B6/D6,1)</f>
        <v>143</v>
      </c>
      <c r="F6" s="83">
        <v>25.8</v>
      </c>
      <c r="G6" s="163" t="s">
        <v>149</v>
      </c>
      <c r="H6" s="164" t="s">
        <v>53</v>
      </c>
      <c r="I6" s="164" t="s">
        <v>196</v>
      </c>
      <c r="J6" s="165">
        <v>0.5</v>
      </c>
      <c r="K6" s="166" t="s">
        <v>161</v>
      </c>
      <c r="L6" s="70">
        <f>IFERROR(TblReferentiescoreT132151617418[[#This Row],[Aantal
ritten]]*TblReferentiescoreT132151617418[[#This Row],[Afstand
per rit
'[km']]]*TblReferentiescoreT132151617418[[#This Row],[Gemiddeld
volume
per rit
'[ton']]]*VLOOKUP(TblReferentiescoreT132151617418[[#This Row],[Type transportmiddel]],TblType[],2,0),"")</f>
        <v>132818.4</v>
      </c>
      <c r="M6" s="70">
        <f>IFERROR(TblReferentiescoreT132151617418[[#This Row],[Energie-vraag (MJ)]]/stookwaarde_diesel/dichtheid_diesel*emissiefactor_diesel,"")</f>
        <v>12050.890654205607</v>
      </c>
      <c r="N6" s="71">
        <f>IFERROR(
     TblReferentiescoreT132151617418[[#This Row],[Referentie-score]]*
          ((100%-TblReferentiescoreT132151617418[[#This Row],[Aandeel
2e energie
-bron]])*INDEX(TblBrandstof[CO2 uitstoot verg 1l diesel],MATCH(TblReferentiescoreT132151617418[[#This Row],[Energiebron]],TblBrandstof[Brandstof],0))+
          TblReferentiescoreT132151617418[[#This Row],[Aandeel
2e energie
-bron]]*INDEX(TblBrandstof[CO2 uitstoot verg 1l diesel],MATCH(IF(OR(TblReferentiescoreT132151617418[[#This Row],[2e energiebron]]="N.v.t.",TblReferentiescoreT132151617418[[#This Row],[2e energiebron]]=""),TblReferentiescoreT132151617418[[#This Row],[Energiebron]],TblReferentiescoreT132151617418[[#This Row],[2e energiebron]]),TblBrandstof[Brandstof],0)))*
      IF(OR(TblReferentiescoreT132151617418[[#This Row],[Motortype]]="Elektrisch",TblReferentiescoreT132151617418[[#This Row],[Hybride]]="Ja"),TblHybride[Waardering hybride],1),"")</f>
        <v>6629.1653271028035</v>
      </c>
      <c r="O6" s="71">
        <f>IFERROR(TblReferentiescoreT132151617418[[#This Row],[CO2-impact
'[kg CO2']]]*IF(INDEX(TblBrandstof[Waardering Euroniveau],MATCH(TblReferentiescoreT132151617418[[#This Row],[Energiebron]],TblBrandstof[Brandstof],0)),VLOOKUP(TblReferentiescoreT132151617418[[#This Row],[Motortype]],TblMotortypeT[],2,0),1),"")</f>
        <v>6629.1653271028035</v>
      </c>
      <c r="P6" s="72" t="str">
        <f>IF(TblReferentiescoreT132151617418[[#This Row],[Slibtransport
van rwzi naar rwzi]]&lt;&gt;"",
    IF(TblReferentiescoreT132151617418[[#This Row],[Gemiddeld
volume
per rit
'[ton']]]="","Gemiddelde vracht per volle rit niet gevuld",
    IF(TblReferentiescoreT132151617418[[#This Row],[Afstand
per rit
'[km']]]="","Afstand per rit niet gevuld",
    IF(TblReferentiescoreT132151617418[[#This Row],[Aantal
ritten]]="","Aantal ritten niet gevuld",""))),
  "")</f>
        <v/>
      </c>
    </row>
    <row r="7" spans="1:17" ht="15.75" customHeight="1" x14ac:dyDescent="0.2">
      <c r="A7" s="137" t="s">
        <v>199</v>
      </c>
      <c r="B7" s="136">
        <v>5104</v>
      </c>
      <c r="C7" s="161" t="s">
        <v>158</v>
      </c>
      <c r="D7" s="162">
        <v>36</v>
      </c>
      <c r="E7" s="82">
        <f t="shared" si="0"/>
        <v>142</v>
      </c>
      <c r="F7" s="83">
        <v>20</v>
      </c>
      <c r="G7" s="163" t="s">
        <v>149</v>
      </c>
      <c r="H7" s="164" t="s">
        <v>53</v>
      </c>
      <c r="I7" s="164" t="s">
        <v>196</v>
      </c>
      <c r="J7" s="165">
        <v>0.5</v>
      </c>
      <c r="K7" s="166" t="s">
        <v>161</v>
      </c>
      <c r="L7" s="70">
        <f>IFERROR(TblReferentiescoreT132151617418[[#This Row],[Aantal
ritten]]*TblReferentiescoreT132151617418[[#This Row],[Afstand
per rit
'[km']]]*TblReferentiescoreT132151617418[[#This Row],[Gemiddeld
volume
per rit
'[ton']]]*VLOOKUP(TblReferentiescoreT132151617418[[#This Row],[Type transportmiddel]],TblType[],2,0),"")</f>
        <v>102240</v>
      </c>
      <c r="M7" s="70">
        <f>IFERROR(TblReferentiescoreT132151617418[[#This Row],[Energie-vraag (MJ)]]/stookwaarde_diesel/dichtheid_diesel*emissiefactor_diesel,"")</f>
        <v>9276.4485981308426</v>
      </c>
      <c r="N7" s="71">
        <f>IFERROR(
     TblReferentiescoreT132151617418[[#This Row],[Referentie-score]]*
          ((100%-TblReferentiescoreT132151617418[[#This Row],[Aandeel
2e energie
-bron]])*INDEX(TblBrandstof[CO2 uitstoot verg 1l diesel],MATCH(TblReferentiescoreT132151617418[[#This Row],[Energiebron]],TblBrandstof[Brandstof],0))+
          TblReferentiescoreT132151617418[[#This Row],[Aandeel
2e energie
-bron]]*INDEX(TblBrandstof[CO2 uitstoot verg 1l diesel],MATCH(IF(OR(TblReferentiescoreT132151617418[[#This Row],[2e energiebron]]="N.v.t.",TblReferentiescoreT132151617418[[#This Row],[2e energiebron]]=""),TblReferentiescoreT132151617418[[#This Row],[Energiebron]],TblReferentiescoreT132151617418[[#This Row],[2e energiebron]]),TblBrandstof[Brandstof],0)))*
      IF(OR(TblReferentiescoreT132151617418[[#This Row],[Motortype]]="Elektrisch",TblReferentiescoreT132151617418[[#This Row],[Hybride]]="Ja"),TblHybride[Waardering hybride],1),"")</f>
        <v>5102.9515717926943</v>
      </c>
      <c r="O7" s="71">
        <f>IFERROR(TblReferentiescoreT132151617418[[#This Row],[CO2-impact
'[kg CO2']]]*IF(INDEX(TblBrandstof[Waardering Euroniveau],MATCH(TblReferentiescoreT132151617418[[#This Row],[Energiebron]],TblBrandstof[Brandstof],0)),VLOOKUP(TblReferentiescoreT132151617418[[#This Row],[Motortype]],TblMotortypeT[],2,0),1),"")</f>
        <v>5102.9515717926943</v>
      </c>
      <c r="P7" s="73" t="str">
        <f>IF(TblReferentiescoreT132151617418[[#This Row],[Slibtransport
van rwzi naar rwzi]]&lt;&gt;"",
    IF(TblReferentiescoreT132151617418[[#This Row],[Gemiddeld
volume
per rit
'[ton']]]="","Gemiddelde vracht per volle rit niet gevuld",
    IF(TblReferentiescoreT132151617418[[#This Row],[Afstand
per rit
'[km']]]="","Afstand per rit niet gevuld",
    IF(TblReferentiescoreT132151617418[[#This Row],[Aantal
ritten]]="","Aantal ritten niet gevuld",""))),
  "")</f>
        <v/>
      </c>
    </row>
    <row r="8" spans="1:17" ht="15.75" customHeight="1" x14ac:dyDescent="0.2">
      <c r="A8" s="137" t="s">
        <v>200</v>
      </c>
      <c r="B8" s="136">
        <v>22364</v>
      </c>
      <c r="C8" s="161" t="s">
        <v>158</v>
      </c>
      <c r="D8" s="162">
        <v>36</v>
      </c>
      <c r="E8" s="82">
        <f t="shared" si="0"/>
        <v>622</v>
      </c>
      <c r="F8" s="83">
        <v>16.899999999999999</v>
      </c>
      <c r="G8" s="163" t="s">
        <v>149</v>
      </c>
      <c r="H8" s="164" t="s">
        <v>53</v>
      </c>
      <c r="I8" s="164" t="s">
        <v>196</v>
      </c>
      <c r="J8" s="165">
        <v>0.5</v>
      </c>
      <c r="K8" s="166" t="s">
        <v>161</v>
      </c>
      <c r="L8" s="70">
        <f>IFERROR(TblReferentiescoreT132151617418[[#This Row],[Aantal
ritten]]*TblReferentiescoreT132151617418[[#This Row],[Afstand
per rit
'[km']]]*TblReferentiescoreT132151617418[[#This Row],[Gemiddeld
volume
per rit
'[ton']]]*VLOOKUP(TblReferentiescoreT132151617418[[#This Row],[Type transportmiddel]],TblType[],2,0),"")</f>
        <v>378424.8</v>
      </c>
      <c r="M8" s="70">
        <f>IFERROR(TblReferentiescoreT132151617418[[#This Row],[Energie-vraag (MJ)]]/stookwaarde_diesel/dichtheid_diesel*emissiefactor_diesel,"")</f>
        <v>34335.271962616825</v>
      </c>
      <c r="N8" s="71">
        <f>IFERROR(
     TblReferentiescoreT132151617418[[#This Row],[Referentie-score]]*
          ((100%-TblReferentiescoreT132151617418[[#This Row],[Aandeel
2e energie
-bron]])*INDEX(TblBrandstof[CO2 uitstoot verg 1l diesel],MATCH(TblReferentiescoreT132151617418[[#This Row],[Energiebron]],TblBrandstof[Brandstof],0))+
          TblReferentiescoreT132151617418[[#This Row],[Aandeel
2e energie
-bron]]*INDEX(TblBrandstof[CO2 uitstoot verg 1l diesel],MATCH(IF(OR(TblReferentiescoreT132151617418[[#This Row],[2e energiebron]]="N.v.t.",TblReferentiescoreT132151617418[[#This Row],[2e energiebron]]=""),TblReferentiescoreT132151617418[[#This Row],[Energiebron]],TblReferentiescoreT132151617418[[#This Row],[2e energiebron]]),TblBrandstof[Brandstof],0)))*
      IF(OR(TblReferentiescoreT132151617418[[#This Row],[Motortype]]="Elektrisch",TblReferentiescoreT132151617418[[#This Row],[Hybride]]="Ja"),TblHybride[Waardering hybride],1),"")</f>
        <v>18887.748708581141</v>
      </c>
      <c r="O8" s="71">
        <f>IFERROR(TblReferentiescoreT132151617418[[#This Row],[CO2-impact
'[kg CO2']]]*IF(INDEX(TblBrandstof[Waardering Euroniveau],MATCH(TblReferentiescoreT132151617418[[#This Row],[Energiebron]],TblBrandstof[Brandstof],0)),VLOOKUP(TblReferentiescoreT132151617418[[#This Row],[Motortype]],TblMotortypeT[],2,0),1),"")</f>
        <v>18887.748708581141</v>
      </c>
      <c r="P8" s="73" t="str">
        <f>IF(TblReferentiescoreT132151617418[[#This Row],[Slibtransport
van rwzi naar rwzi]]&lt;&gt;"",
    IF(TblReferentiescoreT132151617418[[#This Row],[Gemiddeld
volume
per rit
'[ton']]]="","Gemiddelde vracht per volle rit niet gevuld",
    IF(TblReferentiescoreT132151617418[[#This Row],[Afstand
per rit
'[km']]]="","Afstand per rit niet gevuld",
    IF(TblReferentiescoreT132151617418[[#This Row],[Aantal
ritten]]="","Aantal ritten niet gevuld",""))),
  "")</f>
        <v/>
      </c>
    </row>
    <row r="9" spans="1:17" ht="15.75" customHeight="1" x14ac:dyDescent="0.2">
      <c r="A9" s="137" t="s">
        <v>201</v>
      </c>
      <c r="B9" s="136">
        <v>8265</v>
      </c>
      <c r="C9" s="161" t="s">
        <v>158</v>
      </c>
      <c r="D9" s="162">
        <v>36</v>
      </c>
      <c r="E9" s="82">
        <f t="shared" si="0"/>
        <v>230</v>
      </c>
      <c r="F9" s="83">
        <v>28.4</v>
      </c>
      <c r="G9" s="163" t="s">
        <v>149</v>
      </c>
      <c r="H9" s="164" t="s">
        <v>53</v>
      </c>
      <c r="I9" s="164" t="s">
        <v>196</v>
      </c>
      <c r="J9" s="165">
        <v>0.5</v>
      </c>
      <c r="K9" s="166" t="s">
        <v>161</v>
      </c>
      <c r="L9" s="70">
        <f>IFERROR(TblReferentiescoreT132151617418[[#This Row],[Aantal
ritten]]*TblReferentiescoreT132151617418[[#This Row],[Afstand
per rit
'[km']]]*TblReferentiescoreT132151617418[[#This Row],[Gemiddeld
volume
per rit
'[ton']]]*VLOOKUP(TblReferentiescoreT132151617418[[#This Row],[Type transportmiddel]],TblType[],2,0),"")</f>
        <v>235152</v>
      </c>
      <c r="M9" s="70">
        <f>IFERROR(TblReferentiescoreT132151617418[[#This Row],[Energie-vraag (MJ)]]/stookwaarde_diesel/dichtheid_diesel*emissiefactor_diesel,"")</f>
        <v>21335.831775700935</v>
      </c>
      <c r="N9" s="71">
        <f>IFERROR(
     TblReferentiescoreT132151617418[[#This Row],[Referentie-score]]*
          ((100%-TblReferentiescoreT132151617418[[#This Row],[Aandeel
2e energie
-bron]])*INDEX(TblBrandstof[CO2 uitstoot verg 1l diesel],MATCH(TblReferentiescoreT132151617418[[#This Row],[Energiebron]],TblBrandstof[Brandstof],0))+
          TblReferentiescoreT132151617418[[#This Row],[Aandeel
2e energie
-bron]]*INDEX(TblBrandstof[CO2 uitstoot verg 1l diesel],MATCH(IF(OR(TblReferentiescoreT132151617418[[#This Row],[2e energiebron]]="N.v.t.",TblReferentiescoreT132151617418[[#This Row],[2e energiebron]]=""),TblReferentiescoreT132151617418[[#This Row],[Energiebron]],TblReferentiescoreT132151617418[[#This Row],[2e energiebron]]),TblBrandstof[Brandstof],0)))*
      IF(OR(TblReferentiescoreT132151617418[[#This Row],[Motortype]]="Elektrisch",TblReferentiescoreT132151617418[[#This Row],[Hybride]]="Ja"),TblHybride[Waardering hybride],1),"")</f>
        <v>11736.788615123194</v>
      </c>
      <c r="O9" s="71">
        <f>IFERROR(TblReferentiescoreT132151617418[[#This Row],[CO2-impact
'[kg CO2']]]*IF(INDEX(TblBrandstof[Waardering Euroniveau],MATCH(TblReferentiescoreT132151617418[[#This Row],[Energiebron]],TblBrandstof[Brandstof],0)),VLOOKUP(TblReferentiescoreT132151617418[[#This Row],[Motortype]],TblMotortypeT[],2,0),1),"")</f>
        <v>11736.788615123194</v>
      </c>
      <c r="P9" s="73" t="str">
        <f>IF(TblReferentiescoreT132151617418[[#This Row],[Slibtransport
van rwzi naar rwzi]]&lt;&gt;"",
    IF(TblReferentiescoreT132151617418[[#This Row],[Gemiddeld
volume
per rit
'[ton']]]="","Gemiddelde vracht per volle rit niet gevuld",
    IF(TblReferentiescoreT132151617418[[#This Row],[Afstand
per rit
'[km']]]="","Afstand per rit niet gevuld",
    IF(TblReferentiescoreT132151617418[[#This Row],[Aantal
ritten]]="","Aantal ritten niet gevuld",""))),
  "")</f>
        <v/>
      </c>
    </row>
    <row r="10" spans="1:17" ht="15.75" customHeight="1" x14ac:dyDescent="0.2">
      <c r="A10" s="137" t="s">
        <v>202</v>
      </c>
      <c r="B10" s="136">
        <v>4548</v>
      </c>
      <c r="C10" s="161" t="s">
        <v>158</v>
      </c>
      <c r="D10" s="162">
        <v>36</v>
      </c>
      <c r="E10" s="82">
        <f t="shared" si="0"/>
        <v>127</v>
      </c>
      <c r="F10" s="83">
        <v>8.4</v>
      </c>
      <c r="G10" s="163" t="s">
        <v>149</v>
      </c>
      <c r="H10" s="164" t="s">
        <v>53</v>
      </c>
      <c r="I10" s="164" t="s">
        <v>196</v>
      </c>
      <c r="J10" s="165">
        <v>0.5</v>
      </c>
      <c r="K10" s="166" t="s">
        <v>161</v>
      </c>
      <c r="L10" s="70">
        <f>IFERROR(TblReferentiescoreT132151617418[[#This Row],[Aantal
ritten]]*TblReferentiescoreT132151617418[[#This Row],[Afstand
per rit
'[km']]]*TblReferentiescoreT132151617418[[#This Row],[Gemiddeld
volume
per rit
'[ton']]]*VLOOKUP(TblReferentiescoreT132151617418[[#This Row],[Type transportmiddel]],TblType[],2,0),"")</f>
        <v>38404.799999999996</v>
      </c>
      <c r="M10" s="70">
        <f>IFERROR(TblReferentiescoreT132151617418[[#This Row],[Energie-vraag (MJ)]]/stookwaarde_diesel/dichtheid_diesel*emissiefactor_diesel,"")</f>
        <v>3484.5476635514019</v>
      </c>
      <c r="N10" s="71">
        <f>IFERROR(
     TblReferentiescoreT132151617418[[#This Row],[Referentie-score]]*
          ((100%-TblReferentiescoreT132151617418[[#This Row],[Aandeel
2e energie
-bron]])*INDEX(TblBrandstof[CO2 uitstoot verg 1l diesel],MATCH(TblReferentiescoreT132151617418[[#This Row],[Energiebron]],TblBrandstof[Brandstof],0))+
          TblReferentiescoreT132151617418[[#This Row],[Aandeel
2e energie
-bron]]*INDEX(TblBrandstof[CO2 uitstoot verg 1l diesel],MATCH(IF(OR(TblReferentiescoreT132151617418[[#This Row],[2e energiebron]]="N.v.t.",TblReferentiescoreT132151617418[[#This Row],[2e energiebron]]=""),TblReferentiescoreT132151617418[[#This Row],[Energiebron]],TblReferentiescoreT132151617418[[#This Row],[2e energiebron]]),TblBrandstof[Brandstof],0)))*
      IF(OR(TblReferentiescoreT132151617418[[#This Row],[Motortype]]="Elektrisch",TblReferentiescoreT132151617418[[#This Row],[Hybride]]="Ja"),TblHybride[Waardering hybride],1),"")</f>
        <v>1916.8411045029736</v>
      </c>
      <c r="O10" s="71">
        <f>IFERROR(TblReferentiescoreT132151617418[[#This Row],[CO2-impact
'[kg CO2']]]*IF(INDEX(TblBrandstof[Waardering Euroniveau],MATCH(TblReferentiescoreT132151617418[[#This Row],[Energiebron]],TblBrandstof[Brandstof],0)),VLOOKUP(TblReferentiescoreT132151617418[[#This Row],[Motortype]],TblMotortypeT[],2,0),1),"")</f>
        <v>1916.8411045029736</v>
      </c>
      <c r="P10" s="73" t="str">
        <f>IF(TblReferentiescoreT132151617418[[#This Row],[Slibtransport
van rwzi naar rwzi]]&lt;&gt;"",
    IF(TblReferentiescoreT132151617418[[#This Row],[Gemiddeld
volume
per rit
'[ton']]]="","Gemiddelde vracht per volle rit niet gevuld",
    IF(TblReferentiescoreT132151617418[[#This Row],[Afstand
per rit
'[km']]]="","Afstand per rit niet gevuld",
    IF(TblReferentiescoreT132151617418[[#This Row],[Aantal
ritten]]="","Aantal ritten niet gevuld",""))),
  "")</f>
        <v/>
      </c>
    </row>
    <row r="11" spans="1:17" ht="15.75" customHeight="1" x14ac:dyDescent="0.2">
      <c r="A11" s="137" t="s">
        <v>203</v>
      </c>
      <c r="B11" s="136">
        <v>18525</v>
      </c>
      <c r="C11" s="161" t="s">
        <v>158</v>
      </c>
      <c r="D11" s="162">
        <v>36</v>
      </c>
      <c r="E11" s="82">
        <f t="shared" si="0"/>
        <v>515</v>
      </c>
      <c r="F11" s="83">
        <v>18.399999999999999</v>
      </c>
      <c r="G11" s="163" t="s">
        <v>149</v>
      </c>
      <c r="H11" s="164" t="s">
        <v>53</v>
      </c>
      <c r="I11" s="164" t="s">
        <v>196</v>
      </c>
      <c r="J11" s="165">
        <v>0.5</v>
      </c>
      <c r="K11" s="166" t="s">
        <v>161</v>
      </c>
      <c r="L11" s="70">
        <f>IFERROR(TblReferentiescoreT132151617418[[#This Row],[Aantal
ritten]]*TblReferentiescoreT132151617418[[#This Row],[Afstand
per rit
'[km']]]*TblReferentiescoreT132151617418[[#This Row],[Gemiddeld
volume
per rit
'[ton']]]*VLOOKUP(TblReferentiescoreT132151617418[[#This Row],[Type transportmiddel]],TblType[],2,0),"")</f>
        <v>341136</v>
      </c>
      <c r="M11" s="70">
        <f>IFERROR(TblReferentiescoreT132151617418[[#This Row],[Energie-vraag (MJ)]]/stookwaarde_diesel/dichtheid_diesel*emissiefactor_diesel,"")</f>
        <v>30951.981308411217</v>
      </c>
      <c r="N11" s="71">
        <f>IFERROR(
     TblReferentiescoreT132151617418[[#This Row],[Referentie-score]]*
          ((100%-TblReferentiescoreT132151617418[[#This Row],[Aandeel
2e energie
-bron]])*INDEX(TblBrandstof[CO2 uitstoot verg 1l diesel],MATCH(TblReferentiescoreT132151617418[[#This Row],[Energiebron]],TblBrandstof[Brandstof],0))+
          TblReferentiescoreT132151617418[[#This Row],[Aandeel
2e energie
-bron]]*INDEX(TblBrandstof[CO2 uitstoot verg 1l diesel],MATCH(IF(OR(TblReferentiescoreT132151617418[[#This Row],[2e energiebron]]="N.v.t.",TblReferentiescoreT132151617418[[#This Row],[2e energiebron]]=""),TblReferentiescoreT132151617418[[#This Row],[Energiebron]],TblReferentiescoreT132151617418[[#This Row],[2e energiebron]]),TblBrandstof[Brandstof],0)))*
      IF(OR(TblReferentiescoreT132151617418[[#This Row],[Motortype]]="Elektrisch",TblReferentiescoreT132151617418[[#This Row],[Hybride]]="Ja"),TblHybride[Waardering hybride],1),"")</f>
        <v>17026.608836023792</v>
      </c>
      <c r="O11" s="71">
        <f>IFERROR(TblReferentiescoreT132151617418[[#This Row],[CO2-impact
'[kg CO2']]]*IF(INDEX(TblBrandstof[Waardering Euroniveau],MATCH(TblReferentiescoreT132151617418[[#This Row],[Energiebron]],TblBrandstof[Brandstof],0)),VLOOKUP(TblReferentiescoreT132151617418[[#This Row],[Motortype]],TblMotortypeT[],2,0),1),"")</f>
        <v>17026.608836023792</v>
      </c>
      <c r="P11" s="73" t="str">
        <f>IF(TblReferentiescoreT132151617418[[#This Row],[Slibtransport
van rwzi naar rwzi]]&lt;&gt;"",
    IF(TblReferentiescoreT132151617418[[#This Row],[Gemiddeld
volume
per rit
'[ton']]]="","Gemiddelde vracht per volle rit niet gevuld",
    IF(TblReferentiescoreT132151617418[[#This Row],[Afstand
per rit
'[km']]]="","Afstand per rit niet gevuld",
    IF(TblReferentiescoreT132151617418[[#This Row],[Aantal
ritten]]="","Aantal ritten niet gevuld",""))),
  "")</f>
        <v/>
      </c>
    </row>
    <row r="12" spans="1:17" ht="15.75" customHeight="1" x14ac:dyDescent="0.2">
      <c r="A12" s="137" t="s">
        <v>204</v>
      </c>
      <c r="B12" s="136">
        <v>17352</v>
      </c>
      <c r="C12" s="161" t="s">
        <v>158</v>
      </c>
      <c r="D12" s="162">
        <v>36</v>
      </c>
      <c r="E12" s="82">
        <f t="shared" si="0"/>
        <v>482</v>
      </c>
      <c r="F12" s="83">
        <v>31</v>
      </c>
      <c r="G12" s="163" t="s">
        <v>149</v>
      </c>
      <c r="H12" s="164" t="s">
        <v>53</v>
      </c>
      <c r="I12" s="164" t="s">
        <v>196</v>
      </c>
      <c r="J12" s="165">
        <v>0.5</v>
      </c>
      <c r="K12" s="166" t="s">
        <v>161</v>
      </c>
      <c r="L12" s="70">
        <f>IFERROR(TblReferentiescoreT132151617418[[#This Row],[Aantal
ritten]]*TblReferentiescoreT132151617418[[#This Row],[Afstand
per rit
'[km']]]*TblReferentiescoreT132151617418[[#This Row],[Gemiddeld
volume
per rit
'[ton']]]*VLOOKUP(TblReferentiescoreT132151617418[[#This Row],[Type transportmiddel]],TblType[],2,0),"")</f>
        <v>537912</v>
      </c>
      <c r="M12" s="70">
        <f>IFERROR(TblReferentiescoreT132151617418[[#This Row],[Energie-vraag (MJ)]]/stookwaarde_diesel/dichtheid_diesel*emissiefactor_diesel,"")</f>
        <v>48805.878504672903</v>
      </c>
      <c r="N12" s="71">
        <f>IFERROR(
     TblReferentiescoreT132151617418[[#This Row],[Referentie-score]]*
          ((100%-TblReferentiescoreT132151617418[[#This Row],[Aandeel
2e energie
-bron]])*INDEX(TblBrandstof[CO2 uitstoot verg 1l diesel],MATCH(TblReferentiescoreT132151617418[[#This Row],[Energiebron]],TblBrandstof[Brandstof],0))+
          TblReferentiescoreT132151617418[[#This Row],[Aandeel
2e energie
-bron]]*INDEX(TblBrandstof[CO2 uitstoot verg 1l diesel],MATCH(IF(OR(TblReferentiescoreT132151617418[[#This Row],[2e energiebron]]="N.v.t.",TblReferentiescoreT132151617418[[#This Row],[2e energiebron]]=""),TblReferentiescoreT132151617418[[#This Row],[Energiebron]],TblReferentiescoreT132151617418[[#This Row],[2e energiebron]]),TblBrandstof[Brandstof],0)))*
      IF(OR(TblReferentiescoreT132151617418[[#This Row],[Motortype]]="Elektrisch",TblReferentiescoreT132151617418[[#This Row],[Hybride]]="Ja"),TblHybride[Waardering hybride],1),"")</f>
        <v>26847.993797790998</v>
      </c>
      <c r="O12" s="71">
        <f>IFERROR(TblReferentiescoreT132151617418[[#This Row],[CO2-impact
'[kg CO2']]]*IF(INDEX(TblBrandstof[Waardering Euroniveau],MATCH(TblReferentiescoreT132151617418[[#This Row],[Energiebron]],TblBrandstof[Brandstof],0)),VLOOKUP(TblReferentiescoreT132151617418[[#This Row],[Motortype]],TblMotortypeT[],2,0),1),"")</f>
        <v>26847.993797790998</v>
      </c>
      <c r="P12" s="73" t="str">
        <f>IF(TblReferentiescoreT132151617418[[#This Row],[Slibtransport
van rwzi naar rwzi]]&lt;&gt;"",
    IF(TblReferentiescoreT132151617418[[#This Row],[Gemiddeld
volume
per rit
'[ton']]]="","Gemiddelde vracht per volle rit niet gevuld",
    IF(TblReferentiescoreT132151617418[[#This Row],[Afstand
per rit
'[km']]]="","Afstand per rit niet gevuld",
    IF(TblReferentiescoreT132151617418[[#This Row],[Aantal
ritten]]="","Aantal ritten niet gevuld",""))),
  "")</f>
        <v/>
      </c>
    </row>
    <row r="13" spans="1:17" ht="15.75" customHeight="1" x14ac:dyDescent="0.2">
      <c r="A13" s="137" t="s">
        <v>205</v>
      </c>
      <c r="B13" s="136">
        <v>4125</v>
      </c>
      <c r="C13" s="161" t="s">
        <v>158</v>
      </c>
      <c r="D13" s="162">
        <v>36</v>
      </c>
      <c r="E13" s="82">
        <f t="shared" si="0"/>
        <v>115</v>
      </c>
      <c r="F13" s="83">
        <v>17.2</v>
      </c>
      <c r="G13" s="163" t="s">
        <v>149</v>
      </c>
      <c r="H13" s="164" t="s">
        <v>53</v>
      </c>
      <c r="I13" s="164" t="s">
        <v>196</v>
      </c>
      <c r="J13" s="165">
        <v>0.5</v>
      </c>
      <c r="K13" s="166" t="s">
        <v>161</v>
      </c>
      <c r="L13" s="70">
        <f>IFERROR(TblReferentiescoreT132151617418[[#This Row],[Aantal
ritten]]*TblReferentiescoreT132151617418[[#This Row],[Afstand
per rit
'[km']]]*TblReferentiescoreT132151617418[[#This Row],[Gemiddeld
volume
per rit
'[ton']]]*VLOOKUP(TblReferentiescoreT132151617418[[#This Row],[Type transportmiddel]],TblType[],2,0),"")</f>
        <v>71208</v>
      </c>
      <c r="M13" s="70">
        <f>IFERROR(TblReferentiescoreT132151617418[[#This Row],[Energie-vraag (MJ)]]/stookwaarde_diesel/dichtheid_diesel*emissiefactor_diesel,"")</f>
        <v>6460.8504672897207</v>
      </c>
      <c r="N13" s="71">
        <f>IFERROR(
     TblReferentiescoreT132151617418[[#This Row],[Referentie-score]]*
          ((100%-TblReferentiescoreT132151617418[[#This Row],[Aandeel
2e energie
-bron]])*INDEX(TblBrandstof[CO2 uitstoot verg 1l diesel],MATCH(TblReferentiescoreT132151617418[[#This Row],[Energiebron]],TblBrandstof[Brandstof],0))+
          TblReferentiescoreT132151617418[[#This Row],[Aandeel
2e energie
-bron]]*INDEX(TblBrandstof[CO2 uitstoot verg 1l diesel],MATCH(IF(OR(TblReferentiescoreT132151617418[[#This Row],[2e energiebron]]="N.v.t.",TblReferentiescoreT132151617418[[#This Row],[2e energiebron]]=""),TblReferentiescoreT132151617418[[#This Row],[Energiebron]],TblReferentiescoreT132151617418[[#This Row],[2e energiebron]]),TblBrandstof[Brandstof],0)))*
      IF(OR(TblReferentiescoreT132151617418[[#This Row],[Motortype]]="Elektrisch",TblReferentiescoreT132151617418[[#This Row],[Hybride]]="Ja"),TblHybride[Waardering hybride],1),"")</f>
        <v>3554.0979609175874</v>
      </c>
      <c r="O13" s="71">
        <f>IFERROR(TblReferentiescoreT132151617418[[#This Row],[CO2-impact
'[kg CO2']]]*IF(INDEX(TblBrandstof[Waardering Euroniveau],MATCH(TblReferentiescoreT132151617418[[#This Row],[Energiebron]],TblBrandstof[Brandstof],0)),VLOOKUP(TblReferentiescoreT132151617418[[#This Row],[Motortype]],TblMotortypeT[],2,0),1),"")</f>
        <v>3554.0979609175874</v>
      </c>
      <c r="P13" s="73" t="str">
        <f>IF(TblReferentiescoreT132151617418[[#This Row],[Slibtransport
van rwzi naar rwzi]]&lt;&gt;"",
    IF(TblReferentiescoreT132151617418[[#This Row],[Gemiddeld
volume
per rit
'[ton']]]="","Gemiddelde vracht per volle rit niet gevuld",
    IF(TblReferentiescoreT132151617418[[#This Row],[Afstand
per rit
'[km']]]="","Afstand per rit niet gevuld",
    IF(TblReferentiescoreT132151617418[[#This Row],[Aantal
ritten]]="","Aantal ritten niet gevuld",""))),
  "")</f>
        <v/>
      </c>
    </row>
    <row r="14" spans="1:17" ht="15.75" customHeight="1" x14ac:dyDescent="0.2">
      <c r="A14" s="137" t="s">
        <v>206</v>
      </c>
      <c r="B14" s="136">
        <v>1548</v>
      </c>
      <c r="C14" s="161" t="s">
        <v>158</v>
      </c>
      <c r="D14" s="162">
        <v>36</v>
      </c>
      <c r="E14" s="82">
        <f t="shared" si="0"/>
        <v>43</v>
      </c>
      <c r="F14" s="83">
        <v>29.8</v>
      </c>
      <c r="G14" s="163" t="s">
        <v>149</v>
      </c>
      <c r="H14" s="164" t="s">
        <v>53</v>
      </c>
      <c r="I14" s="164" t="s">
        <v>196</v>
      </c>
      <c r="J14" s="165">
        <v>0.5</v>
      </c>
      <c r="K14" s="166" t="s">
        <v>161</v>
      </c>
      <c r="L14" s="70">
        <f>IFERROR(TblReferentiescoreT132151617418[[#This Row],[Aantal
ritten]]*TblReferentiescoreT132151617418[[#This Row],[Afstand
per rit
'[km']]]*TblReferentiescoreT132151617418[[#This Row],[Gemiddeld
volume
per rit
'[ton']]]*VLOOKUP(TblReferentiescoreT132151617418[[#This Row],[Type transportmiddel]],TblType[],2,0),"")</f>
        <v>46130.400000000001</v>
      </c>
      <c r="M14" s="70">
        <f>IFERROR(TblReferentiescoreT132151617418[[#This Row],[Energie-vraag (MJ)]]/stookwaarde_diesel/dichtheid_diesel*emissiefactor_diesel,"")</f>
        <v>4185.5074766355146</v>
      </c>
      <c r="N14" s="71">
        <f>IFERROR(
     TblReferentiescoreT132151617418[[#This Row],[Referentie-score]]*
          ((100%-TblReferentiescoreT132151617418[[#This Row],[Aandeel
2e energie
-bron]])*INDEX(TblBrandstof[CO2 uitstoot verg 1l diesel],MATCH(TblReferentiescoreT132151617418[[#This Row],[Energiebron]],TblBrandstof[Brandstof],0))+
          TblReferentiescoreT132151617418[[#This Row],[Aandeel
2e energie
-bron]]*INDEX(TblBrandstof[CO2 uitstoot verg 1l diesel],MATCH(IF(OR(TblReferentiescoreT132151617418[[#This Row],[2e energiebron]]="N.v.t.",TblReferentiescoreT132151617418[[#This Row],[2e energiebron]]=""),TblReferentiescoreT132151617418[[#This Row],[Energiebron]],TblReferentiescoreT132151617418[[#This Row],[2e energiebron]]),TblBrandstof[Brandstof],0)))*
      IF(OR(TblReferentiescoreT132151617418[[#This Row],[Motortype]]="Elektrisch",TblReferentiescoreT132151617418[[#This Row],[Hybride]]="Ja"),TblHybride[Waardering hybride],1),"")</f>
        <v>2302.4373746813935</v>
      </c>
      <c r="O14" s="71">
        <f>IFERROR(TblReferentiescoreT132151617418[[#This Row],[CO2-impact
'[kg CO2']]]*IF(INDEX(TblBrandstof[Waardering Euroniveau],MATCH(TblReferentiescoreT132151617418[[#This Row],[Energiebron]],TblBrandstof[Brandstof],0)),VLOOKUP(TblReferentiescoreT132151617418[[#This Row],[Motortype]],TblMotortypeT[],2,0),1),"")</f>
        <v>2302.4373746813935</v>
      </c>
      <c r="P14" s="73" t="str">
        <f>IF(TblReferentiescoreT132151617418[[#This Row],[Slibtransport
van rwzi naar rwzi]]&lt;&gt;"",
    IF(TblReferentiescoreT132151617418[[#This Row],[Gemiddeld
volume
per rit
'[ton']]]="","Gemiddelde vracht per volle rit niet gevuld",
    IF(TblReferentiescoreT132151617418[[#This Row],[Afstand
per rit
'[km']]]="","Afstand per rit niet gevuld",
    IF(TblReferentiescoreT132151617418[[#This Row],[Aantal
ritten]]="","Aantal ritten niet gevuld",""))),
  "")</f>
        <v/>
      </c>
    </row>
    <row r="15" spans="1:17" ht="15.75" customHeight="1" x14ac:dyDescent="0.2">
      <c r="A15" s="137" t="s">
        <v>207</v>
      </c>
      <c r="B15" s="136">
        <v>2595</v>
      </c>
      <c r="C15" s="161" t="s">
        <v>158</v>
      </c>
      <c r="D15" s="162">
        <v>36</v>
      </c>
      <c r="E15" s="82">
        <f t="shared" si="0"/>
        <v>73</v>
      </c>
      <c r="F15" s="83">
        <v>17.2</v>
      </c>
      <c r="G15" s="163" t="s">
        <v>149</v>
      </c>
      <c r="H15" s="164" t="s">
        <v>53</v>
      </c>
      <c r="I15" s="164" t="s">
        <v>196</v>
      </c>
      <c r="J15" s="165">
        <v>0.5</v>
      </c>
      <c r="K15" s="166" t="s">
        <v>161</v>
      </c>
      <c r="L15" s="70">
        <f>IFERROR(TblReferentiescoreT132151617418[[#This Row],[Aantal
ritten]]*TblReferentiescoreT132151617418[[#This Row],[Afstand
per rit
'[km']]]*TblReferentiescoreT132151617418[[#This Row],[Gemiddeld
volume
per rit
'[ton']]]*VLOOKUP(TblReferentiescoreT132151617418[[#This Row],[Type transportmiddel]],TblType[],2,0),"")</f>
        <v>45201.599999999999</v>
      </c>
      <c r="M15" s="70">
        <f>IFERROR(TblReferentiescoreT132151617418[[#This Row],[Energie-vraag (MJ)]]/stookwaarde_diesel/dichtheid_diesel*emissiefactor_diesel,"")</f>
        <v>4101.2355140186928</v>
      </c>
      <c r="N15" s="71">
        <f>IFERROR(
     TblReferentiescoreT132151617418[[#This Row],[Referentie-score]]*
          ((100%-TblReferentiescoreT132151617418[[#This Row],[Aandeel
2e energie
-bron]])*INDEX(TblBrandstof[CO2 uitstoot verg 1l diesel],MATCH(TblReferentiescoreT132151617418[[#This Row],[Energiebron]],TblBrandstof[Brandstof],0))+
          TblReferentiescoreT132151617418[[#This Row],[Aandeel
2e energie
-bron]]*INDEX(TblBrandstof[CO2 uitstoot verg 1l diesel],MATCH(IF(OR(TblReferentiescoreT132151617418[[#This Row],[2e energiebron]]="N.v.t.",TblReferentiescoreT132151617418[[#This Row],[2e energiebron]]=""),TblReferentiescoreT132151617418[[#This Row],[Energiebron]],TblReferentiescoreT132151617418[[#This Row],[2e energiebron]]),TblBrandstof[Brandstof],0)))*
      IF(OR(TblReferentiescoreT132151617418[[#This Row],[Motortype]]="Elektrisch",TblReferentiescoreT132151617418[[#This Row],[Hybride]]="Ja"),TblHybride[Waardering hybride],1),"")</f>
        <v>2256.0795751911646</v>
      </c>
      <c r="O15" s="71">
        <f>IFERROR(TblReferentiescoreT132151617418[[#This Row],[CO2-impact
'[kg CO2']]]*IF(INDEX(TblBrandstof[Waardering Euroniveau],MATCH(TblReferentiescoreT132151617418[[#This Row],[Energiebron]],TblBrandstof[Brandstof],0)),VLOOKUP(TblReferentiescoreT132151617418[[#This Row],[Motortype]],TblMotortypeT[],2,0),1),"")</f>
        <v>2256.0795751911646</v>
      </c>
      <c r="P15" s="73" t="str">
        <f>IF(TblReferentiescoreT132151617418[[#This Row],[Slibtransport
van rwzi naar rwzi]]&lt;&gt;"",
    IF(TblReferentiescoreT132151617418[[#This Row],[Gemiddeld
volume
per rit
'[ton']]]="","Gemiddelde vracht per volle rit niet gevuld",
    IF(TblReferentiescoreT132151617418[[#This Row],[Afstand
per rit
'[km']]]="","Afstand per rit niet gevuld",
    IF(TblReferentiescoreT132151617418[[#This Row],[Aantal
ritten]]="","Aantal ritten niet gevuld",""))),
  "")</f>
        <v/>
      </c>
    </row>
    <row r="16" spans="1:17" ht="15.75" customHeight="1" x14ac:dyDescent="0.2">
      <c r="A16" s="137" t="s">
        <v>208</v>
      </c>
      <c r="B16" s="136">
        <v>3770</v>
      </c>
      <c r="C16" s="161" t="s">
        <v>158</v>
      </c>
      <c r="D16" s="162">
        <v>36</v>
      </c>
      <c r="E16" s="82">
        <f t="shared" si="0"/>
        <v>105</v>
      </c>
      <c r="F16" s="83">
        <v>33</v>
      </c>
      <c r="G16" s="163" t="s">
        <v>149</v>
      </c>
      <c r="H16" s="164" t="s">
        <v>53</v>
      </c>
      <c r="I16" s="164" t="s">
        <v>196</v>
      </c>
      <c r="J16" s="165">
        <v>0.5</v>
      </c>
      <c r="K16" s="166" t="s">
        <v>161</v>
      </c>
      <c r="L16" s="70">
        <f>IFERROR(TblReferentiescoreT132151617418[[#This Row],[Aantal
ritten]]*TblReferentiescoreT132151617418[[#This Row],[Afstand
per rit
'[km']]]*TblReferentiescoreT132151617418[[#This Row],[Gemiddeld
volume
per rit
'[ton']]]*VLOOKUP(TblReferentiescoreT132151617418[[#This Row],[Type transportmiddel]],TblType[],2,0),"")</f>
        <v>124740</v>
      </c>
      <c r="M16" s="70">
        <f>IFERROR(TblReferentiescoreT132151617418[[#This Row],[Energie-vraag (MJ)]]/stookwaarde_diesel/dichtheid_diesel*emissiefactor_diesel,"")</f>
        <v>11317.920560747665</v>
      </c>
      <c r="N16" s="71">
        <f>IFERROR(
     TblReferentiescoreT132151617418[[#This Row],[Referentie-score]]*
          ((100%-TblReferentiescoreT132151617418[[#This Row],[Aandeel
2e energie
-bron]])*INDEX(TblBrandstof[CO2 uitstoot verg 1l diesel],MATCH(TblReferentiescoreT132151617418[[#This Row],[Energiebron]],TblBrandstof[Brandstof],0))+
          TblReferentiescoreT132151617418[[#This Row],[Aandeel
2e energie
-bron]]*INDEX(TblBrandstof[CO2 uitstoot verg 1l diesel],MATCH(IF(OR(TblReferentiescoreT132151617418[[#This Row],[2e energiebron]]="N.v.t.",TblReferentiescoreT132151617418[[#This Row],[2e energiebron]]=""),TblReferentiescoreT132151617418[[#This Row],[Energiebron]],TblReferentiescoreT132151617418[[#This Row],[2e energiebron]]),TblBrandstof[Brandstof],0)))*
      IF(OR(TblReferentiescoreT132151617418[[#This Row],[Motortype]]="Elektrisch",TblReferentiescoreT132151617418[[#This Row],[Hybride]]="Ja"),TblHybride[Waardering hybride],1),"")</f>
        <v>6225.9602803738326</v>
      </c>
      <c r="O16" s="71">
        <f>IFERROR(TblReferentiescoreT132151617418[[#This Row],[CO2-impact
'[kg CO2']]]*IF(INDEX(TblBrandstof[Waardering Euroniveau],MATCH(TblReferentiescoreT132151617418[[#This Row],[Energiebron]],TblBrandstof[Brandstof],0)),VLOOKUP(TblReferentiescoreT132151617418[[#This Row],[Motortype]],TblMotortypeT[],2,0),1),"")</f>
        <v>6225.9602803738326</v>
      </c>
      <c r="P16" s="73" t="str">
        <f>IF(TblReferentiescoreT132151617418[[#This Row],[Slibtransport
van rwzi naar rwzi]]&lt;&gt;"",
    IF(TblReferentiescoreT132151617418[[#This Row],[Gemiddeld
volume
per rit
'[ton']]]="","Gemiddelde vracht per volle rit niet gevuld",
    IF(TblReferentiescoreT132151617418[[#This Row],[Afstand
per rit
'[km']]]="","Afstand per rit niet gevuld",
    IF(TblReferentiescoreT132151617418[[#This Row],[Aantal
ritten]]="","Aantal ritten niet gevuld",""))),
  "")</f>
        <v/>
      </c>
    </row>
    <row r="17" spans="1:17" ht="15.75" customHeight="1" x14ac:dyDescent="0.2">
      <c r="A17" s="137" t="s">
        <v>209</v>
      </c>
      <c r="B17" s="136">
        <v>210</v>
      </c>
      <c r="C17" s="161" t="s">
        <v>158</v>
      </c>
      <c r="D17" s="162">
        <v>36</v>
      </c>
      <c r="E17" s="82">
        <f t="shared" si="0"/>
        <v>6</v>
      </c>
      <c r="F17" s="83">
        <v>39</v>
      </c>
      <c r="G17" s="163" t="s">
        <v>149</v>
      </c>
      <c r="H17" s="164" t="s">
        <v>53</v>
      </c>
      <c r="I17" s="164" t="s">
        <v>196</v>
      </c>
      <c r="J17" s="165">
        <v>0.5</v>
      </c>
      <c r="K17" s="166" t="s">
        <v>161</v>
      </c>
      <c r="L17" s="70">
        <f>IFERROR(TblReferentiescoreT132151617418[[#This Row],[Aantal
ritten]]*TblReferentiescoreT132151617418[[#This Row],[Afstand
per rit
'[km']]]*TblReferentiescoreT132151617418[[#This Row],[Gemiddeld
volume
per rit
'[ton']]]*VLOOKUP(TblReferentiescoreT132151617418[[#This Row],[Type transportmiddel]],TblType[],2,0),"")</f>
        <v>8424</v>
      </c>
      <c r="M17" s="70">
        <f>IFERROR(TblReferentiescoreT132151617418[[#This Row],[Energie-vraag (MJ)]]/stookwaarde_diesel/dichtheid_diesel*emissiefactor_diesel,"")</f>
        <v>764.3271028037384</v>
      </c>
      <c r="N17" s="71">
        <f>IFERROR(
     TblReferentiescoreT132151617418[[#This Row],[Referentie-score]]*
          ((100%-TblReferentiescoreT132151617418[[#This Row],[Aandeel
2e energie
-bron]])*INDEX(TblBrandstof[CO2 uitstoot verg 1l diesel],MATCH(TblReferentiescoreT132151617418[[#This Row],[Energiebron]],TblBrandstof[Brandstof],0))+
          TblReferentiescoreT132151617418[[#This Row],[Aandeel
2e energie
-bron]]*INDEX(TblBrandstof[CO2 uitstoot verg 1l diesel],MATCH(IF(OR(TblReferentiescoreT132151617418[[#This Row],[2e energiebron]]="N.v.t.",TblReferentiescoreT132151617418[[#This Row],[2e energiebron]]=""),TblReferentiescoreT132151617418[[#This Row],[Energiebron]],TblReferentiescoreT132151617418[[#This Row],[2e energiebron]]),TblBrandstof[Brandstof],0)))*
      IF(OR(TblReferentiescoreT132151617418[[#This Row],[Motortype]]="Elektrisch",TblReferentiescoreT132151617418[[#This Row],[Hybride]]="Ja"),TblHybride[Waardering hybride],1),"")</f>
        <v>420.45446049277831</v>
      </c>
      <c r="O17" s="71">
        <f>IFERROR(TblReferentiescoreT132151617418[[#This Row],[CO2-impact
'[kg CO2']]]*IF(INDEX(TblBrandstof[Waardering Euroniveau],MATCH(TblReferentiescoreT132151617418[[#This Row],[Energiebron]],TblBrandstof[Brandstof],0)),VLOOKUP(TblReferentiescoreT132151617418[[#This Row],[Motortype]],TblMotortypeT[],2,0),1),"")</f>
        <v>420.45446049277831</v>
      </c>
      <c r="P17" s="73" t="str">
        <f>IF(TblReferentiescoreT132151617418[[#This Row],[Slibtransport
van rwzi naar rwzi]]&lt;&gt;"",
    IF(TblReferentiescoreT132151617418[[#This Row],[Gemiddeld
volume
per rit
'[ton']]]="","Gemiddelde vracht per volle rit niet gevuld",
    IF(TblReferentiescoreT132151617418[[#This Row],[Afstand
per rit
'[km']]]="","Afstand per rit niet gevuld",
    IF(TblReferentiescoreT132151617418[[#This Row],[Aantal
ritten]]="","Aantal ritten niet gevuld",""))),
  "")</f>
        <v/>
      </c>
    </row>
    <row r="18" spans="1:17" ht="15.75" customHeight="1" x14ac:dyDescent="0.2">
      <c r="A18" s="137" t="s">
        <v>210</v>
      </c>
      <c r="B18" s="136">
        <v>3420</v>
      </c>
      <c r="C18" s="161" t="s">
        <v>158</v>
      </c>
      <c r="D18" s="162">
        <v>36</v>
      </c>
      <c r="E18" s="82">
        <f t="shared" si="0"/>
        <v>95</v>
      </c>
      <c r="F18" s="83">
        <v>46.3</v>
      </c>
      <c r="G18" s="163" t="s">
        <v>149</v>
      </c>
      <c r="H18" s="164" t="s">
        <v>53</v>
      </c>
      <c r="I18" s="164" t="s">
        <v>196</v>
      </c>
      <c r="J18" s="165">
        <v>0.5</v>
      </c>
      <c r="K18" s="166" t="s">
        <v>161</v>
      </c>
      <c r="L18" s="70">
        <f>IFERROR(TblReferentiescoreT132151617418[[#This Row],[Aantal
ritten]]*TblReferentiescoreT132151617418[[#This Row],[Afstand
per rit
'[km']]]*TblReferentiescoreT132151617418[[#This Row],[Gemiddeld
volume
per rit
'[ton']]]*VLOOKUP(TblReferentiescoreT132151617418[[#This Row],[Type transportmiddel]],TblType[],2,0),"")</f>
        <v>158346</v>
      </c>
      <c r="M18" s="70">
        <f>IFERROR(TblReferentiescoreT132151617418[[#This Row],[Energie-vraag (MJ)]]/stookwaarde_diesel/dichtheid_diesel*emissiefactor_diesel,"")</f>
        <v>14367.063084112151</v>
      </c>
      <c r="N18" s="71">
        <f>IFERROR(
     TblReferentiescoreT132151617418[[#This Row],[Referentie-score]]*
          ((100%-TblReferentiescoreT132151617418[[#This Row],[Aandeel
2e energie
-bron]])*INDEX(TblBrandstof[CO2 uitstoot verg 1l diesel],MATCH(TblReferentiescoreT132151617418[[#This Row],[Energiebron]],TblBrandstof[Brandstof],0))+
          TblReferentiescoreT132151617418[[#This Row],[Aandeel
2e energie
-bron]]*INDEX(TblBrandstof[CO2 uitstoot verg 1l diesel],MATCH(IF(OR(TblReferentiescoreT132151617418[[#This Row],[2e energiebron]]="N.v.t.",TblReferentiescoreT132151617418[[#This Row],[2e energiebron]]=""),TblReferentiescoreT132151617418[[#This Row],[Energiebron]],TblReferentiescoreT132151617418[[#This Row],[2e energiebron]]),TblBrandstof[Brandstof],0)))*
      IF(OR(TblReferentiescoreT132151617418[[#This Row],[Motortype]]="Elektrisch",TblReferentiescoreT132151617418[[#This Row],[Hybride]]="Ja"),TblHybride[Waardering hybride],1),"")</f>
        <v>7903.2860875106207</v>
      </c>
      <c r="O18" s="71">
        <f>IFERROR(TblReferentiescoreT132151617418[[#This Row],[CO2-impact
'[kg CO2']]]*IF(INDEX(TblBrandstof[Waardering Euroniveau],MATCH(TblReferentiescoreT132151617418[[#This Row],[Energiebron]],TblBrandstof[Brandstof],0)),VLOOKUP(TblReferentiescoreT132151617418[[#This Row],[Motortype]],TblMotortypeT[],2,0),1),"")</f>
        <v>7903.2860875106207</v>
      </c>
      <c r="P18" s="73" t="str">
        <f>IF(TblReferentiescoreT132151617418[[#This Row],[Slibtransport
van rwzi naar rwzi]]&lt;&gt;"",
    IF(TblReferentiescoreT132151617418[[#This Row],[Gemiddeld
volume
per rit
'[ton']]]="","Gemiddelde vracht per volle rit niet gevuld",
    IF(TblReferentiescoreT132151617418[[#This Row],[Afstand
per rit
'[km']]]="","Afstand per rit niet gevuld",
    IF(TblReferentiescoreT132151617418[[#This Row],[Aantal
ritten]]="","Aantal ritten niet gevuld",""))),
  "")</f>
        <v/>
      </c>
    </row>
    <row r="19" spans="1:17" ht="15.75" customHeight="1" x14ac:dyDescent="0.2">
      <c r="A19" s="137" t="s">
        <v>211</v>
      </c>
      <c r="B19" s="136">
        <v>2106</v>
      </c>
      <c r="C19" s="161" t="s">
        <v>158</v>
      </c>
      <c r="D19" s="162">
        <v>36</v>
      </c>
      <c r="E19" s="82">
        <f t="shared" si="0"/>
        <v>59</v>
      </c>
      <c r="F19" s="83">
        <v>18.3</v>
      </c>
      <c r="G19" s="163" t="s">
        <v>149</v>
      </c>
      <c r="H19" s="164" t="s">
        <v>53</v>
      </c>
      <c r="I19" s="164" t="s">
        <v>196</v>
      </c>
      <c r="J19" s="165">
        <v>0.5</v>
      </c>
      <c r="K19" s="166" t="s">
        <v>161</v>
      </c>
      <c r="L19" s="70">
        <f>IFERROR(TblReferentiescoreT132151617418[[#This Row],[Aantal
ritten]]*TblReferentiescoreT132151617418[[#This Row],[Afstand
per rit
'[km']]]*TblReferentiescoreT132151617418[[#This Row],[Gemiddeld
volume
per rit
'[ton']]]*VLOOKUP(TblReferentiescoreT132151617418[[#This Row],[Type transportmiddel]],TblType[],2,0),"")</f>
        <v>38869.200000000004</v>
      </c>
      <c r="M19" s="70">
        <f>IFERROR(TblReferentiescoreT132151617418[[#This Row],[Energie-vraag (MJ)]]/stookwaarde_diesel/dichtheid_diesel*emissiefactor_diesel,"")</f>
        <v>3526.6836448598137</v>
      </c>
      <c r="N19" s="71">
        <f>IFERROR(
     TblReferentiescoreT132151617418[[#This Row],[Referentie-score]]*
          ((100%-TblReferentiescoreT132151617418[[#This Row],[Aandeel
2e energie
-bron]])*INDEX(TblBrandstof[CO2 uitstoot verg 1l diesel],MATCH(TblReferentiescoreT132151617418[[#This Row],[Energiebron]],TblBrandstof[Brandstof],0))+
          TblReferentiescoreT132151617418[[#This Row],[Aandeel
2e energie
-bron]]*INDEX(TblBrandstof[CO2 uitstoot verg 1l diesel],MATCH(IF(OR(TblReferentiescoreT132151617418[[#This Row],[2e energiebron]]="N.v.t.",TblReferentiescoreT132151617418[[#This Row],[2e energiebron]]=""),TblReferentiescoreT132151617418[[#This Row],[Energiebron]],TblReferentiescoreT132151617418[[#This Row],[2e energiebron]]),TblBrandstof[Brandstof],0)))*
      IF(OR(TblReferentiescoreT132151617418[[#This Row],[Motortype]]="Elektrisch",TblReferentiescoreT132151617418[[#This Row],[Hybride]]="Ja"),TblHybride[Waardering hybride],1),"")</f>
        <v>1940.0200042480888</v>
      </c>
      <c r="O19" s="71">
        <f>IFERROR(TblReferentiescoreT132151617418[[#This Row],[CO2-impact
'[kg CO2']]]*IF(INDEX(TblBrandstof[Waardering Euroniveau],MATCH(TblReferentiescoreT132151617418[[#This Row],[Energiebron]],TblBrandstof[Brandstof],0)),VLOOKUP(TblReferentiescoreT132151617418[[#This Row],[Motortype]],TblMotortypeT[],2,0),1),"")</f>
        <v>1940.0200042480888</v>
      </c>
      <c r="P19" s="73" t="str">
        <f>IF(TblReferentiescoreT132151617418[[#This Row],[Slibtransport
van rwzi naar rwzi]]&lt;&gt;"",
    IF(TblReferentiescoreT132151617418[[#This Row],[Gemiddeld
volume
per rit
'[ton']]]="","Gemiddelde vracht per volle rit niet gevuld",
    IF(TblReferentiescoreT132151617418[[#This Row],[Afstand
per rit
'[km']]]="","Afstand per rit niet gevuld",
    IF(TblReferentiescoreT132151617418[[#This Row],[Aantal
ritten]]="","Aantal ritten niet gevuld",""))),
  "")</f>
        <v/>
      </c>
    </row>
    <row r="20" spans="1:17" ht="15.75" customHeight="1" x14ac:dyDescent="0.2">
      <c r="A20" s="137" t="s">
        <v>212</v>
      </c>
      <c r="B20" s="136">
        <v>5072</v>
      </c>
      <c r="C20" s="161" t="s">
        <v>158</v>
      </c>
      <c r="D20" s="162">
        <v>36</v>
      </c>
      <c r="E20" s="82">
        <f t="shared" si="0"/>
        <v>141</v>
      </c>
      <c r="F20" s="83">
        <v>27.5</v>
      </c>
      <c r="G20" s="163" t="s">
        <v>149</v>
      </c>
      <c r="H20" s="164" t="s">
        <v>53</v>
      </c>
      <c r="I20" s="164" t="s">
        <v>196</v>
      </c>
      <c r="J20" s="165">
        <v>0.5</v>
      </c>
      <c r="K20" s="166" t="s">
        <v>161</v>
      </c>
      <c r="L20" s="70">
        <f>IFERROR(TblReferentiescoreT132151617418[[#This Row],[Aantal
ritten]]*TblReferentiescoreT132151617418[[#This Row],[Afstand
per rit
'[km']]]*TblReferentiescoreT132151617418[[#This Row],[Gemiddeld
volume
per rit
'[ton']]]*VLOOKUP(TblReferentiescoreT132151617418[[#This Row],[Type transportmiddel]],TblType[],2,0),"")</f>
        <v>139590</v>
      </c>
      <c r="M20" s="70">
        <f>IFERROR(TblReferentiescoreT132151617418[[#This Row],[Energie-vraag (MJ)]]/stookwaarde_diesel/dichtheid_diesel*emissiefactor_diesel,"")</f>
        <v>12665.292056074766</v>
      </c>
      <c r="N20" s="71">
        <f>IFERROR(
     TblReferentiescoreT132151617418[[#This Row],[Referentie-score]]*
          ((100%-TblReferentiescoreT132151617418[[#This Row],[Aandeel
2e energie
-bron]])*INDEX(TblBrandstof[CO2 uitstoot verg 1l diesel],MATCH(TblReferentiescoreT132151617418[[#This Row],[Energiebron]],TblBrandstof[Brandstof],0))+
          TblReferentiescoreT132151617418[[#This Row],[Aandeel
2e energie
-bron]]*INDEX(TblBrandstof[CO2 uitstoot verg 1l diesel],MATCH(IF(OR(TblReferentiescoreT132151617418[[#This Row],[2e energiebron]]="N.v.t.",TblReferentiescoreT132151617418[[#This Row],[2e energiebron]]=""),TblReferentiescoreT132151617418[[#This Row],[Energiebron]],TblReferentiescoreT132151617418[[#This Row],[2e energiebron]]),TblBrandstof[Brandstof],0)))*
      IF(OR(TblReferentiescoreT132151617418[[#This Row],[Motortype]]="Elektrisch",TblReferentiescoreT132151617418[[#This Row],[Hybride]]="Ja"),TblHybride[Waardering hybride],1),"")</f>
        <v>6967.1460280373831</v>
      </c>
      <c r="O20" s="71">
        <f>IFERROR(TblReferentiescoreT132151617418[[#This Row],[CO2-impact
'[kg CO2']]]*IF(INDEX(TblBrandstof[Waardering Euroniveau],MATCH(TblReferentiescoreT132151617418[[#This Row],[Energiebron]],TblBrandstof[Brandstof],0)),VLOOKUP(TblReferentiescoreT132151617418[[#This Row],[Motortype]],TblMotortypeT[],2,0),1),"")</f>
        <v>6967.1460280373831</v>
      </c>
      <c r="P20" s="73" t="str">
        <f>IF(TblReferentiescoreT132151617418[[#This Row],[Slibtransport
van rwzi naar rwzi]]&lt;&gt;"",
    IF(TblReferentiescoreT132151617418[[#This Row],[Gemiddeld
volume
per rit
'[ton']]]="","Gemiddelde vracht per volle rit niet gevuld",
    IF(TblReferentiescoreT132151617418[[#This Row],[Afstand
per rit
'[km']]]="","Afstand per rit niet gevuld",
    IF(TblReferentiescoreT132151617418[[#This Row],[Aantal
ritten]]="","Aantal ritten niet gevuld",""))),
  "")</f>
        <v/>
      </c>
    </row>
    <row r="21" spans="1:17" ht="15.75" customHeight="1" x14ac:dyDescent="0.2">
      <c r="A21" s="137" t="s">
        <v>213</v>
      </c>
      <c r="B21" s="136">
        <v>1689</v>
      </c>
      <c r="C21" s="161" t="s">
        <v>158</v>
      </c>
      <c r="D21" s="162">
        <v>36</v>
      </c>
      <c r="E21" s="82">
        <f t="shared" si="0"/>
        <v>47</v>
      </c>
      <c r="F21" s="83">
        <v>36.299999999999997</v>
      </c>
      <c r="G21" s="163" t="s">
        <v>149</v>
      </c>
      <c r="H21" s="164" t="s">
        <v>53</v>
      </c>
      <c r="I21" s="164" t="s">
        <v>196</v>
      </c>
      <c r="J21" s="165">
        <v>0.5</v>
      </c>
      <c r="K21" s="166" t="s">
        <v>161</v>
      </c>
      <c r="L21" s="70">
        <f>IFERROR(TblReferentiescoreT132151617418[[#This Row],[Aantal
ritten]]*TblReferentiescoreT132151617418[[#This Row],[Afstand
per rit
'[km']]]*TblReferentiescoreT132151617418[[#This Row],[Gemiddeld
volume
per rit
'[ton']]]*VLOOKUP(TblReferentiescoreT132151617418[[#This Row],[Type transportmiddel]],TblType[],2,0),"")</f>
        <v>61419.6</v>
      </c>
      <c r="M21" s="70">
        <f>IFERROR(TblReferentiescoreT132151617418[[#This Row],[Energie-vraag (MJ)]]/stookwaarde_diesel/dichtheid_diesel*emissiefactor_diesel,"")</f>
        <v>5572.7285046728975</v>
      </c>
      <c r="N21" s="71">
        <f>IFERROR(
     TblReferentiescoreT132151617418[[#This Row],[Referentie-score]]*
          ((100%-TblReferentiescoreT132151617418[[#This Row],[Aandeel
2e energie
-bron]])*INDEX(TblBrandstof[CO2 uitstoot verg 1l diesel],MATCH(TblReferentiescoreT132151617418[[#This Row],[Energiebron]],TblBrandstof[Brandstof],0))+
          TblReferentiescoreT132151617418[[#This Row],[Aandeel
2e energie
-bron]]*INDEX(TblBrandstof[CO2 uitstoot verg 1l diesel],MATCH(IF(OR(TblReferentiescoreT132151617418[[#This Row],[2e energiebron]]="N.v.t.",TblReferentiescoreT132151617418[[#This Row],[2e energiebron]]=""),TblReferentiescoreT132151617418[[#This Row],[Energiebron]],TblReferentiescoreT132151617418[[#This Row],[2e energiebron]]),TblBrandstof[Brandstof],0)))*
      IF(OR(TblReferentiescoreT132151617418[[#This Row],[Motortype]]="Elektrisch",TblReferentiescoreT132151617418[[#This Row],[Hybride]]="Ja"),TblHybride[Waardering hybride],1),"")</f>
        <v>3065.5442523364486</v>
      </c>
      <c r="O21" s="71">
        <f>IFERROR(TblReferentiescoreT132151617418[[#This Row],[CO2-impact
'[kg CO2']]]*IF(INDEX(TblBrandstof[Waardering Euroniveau],MATCH(TblReferentiescoreT132151617418[[#This Row],[Energiebron]],TblBrandstof[Brandstof],0)),VLOOKUP(TblReferentiescoreT132151617418[[#This Row],[Motortype]],TblMotortypeT[],2,0),1),"")</f>
        <v>3065.5442523364486</v>
      </c>
      <c r="P21" s="73" t="str">
        <f>IF(TblReferentiescoreT132151617418[[#This Row],[Slibtransport
van rwzi naar rwzi]]&lt;&gt;"",
    IF(TblReferentiescoreT132151617418[[#This Row],[Gemiddeld
volume
per rit
'[ton']]]="","Gemiddelde vracht per volle rit niet gevuld",
    IF(TblReferentiescoreT132151617418[[#This Row],[Afstand
per rit
'[km']]]="","Afstand per rit niet gevuld",
    IF(TblReferentiescoreT132151617418[[#This Row],[Aantal
ritten]]="","Aantal ritten niet gevuld",""))),
  "")</f>
        <v/>
      </c>
    </row>
    <row r="22" spans="1:17" ht="15.75" customHeight="1" x14ac:dyDescent="0.2">
      <c r="A22" s="137" t="s">
        <v>214</v>
      </c>
      <c r="B22" s="136">
        <v>4509</v>
      </c>
      <c r="C22" s="161" t="s">
        <v>158</v>
      </c>
      <c r="D22" s="162">
        <v>36</v>
      </c>
      <c r="E22" s="82">
        <f t="shared" si="0"/>
        <v>126</v>
      </c>
      <c r="F22" s="83">
        <v>25.3</v>
      </c>
      <c r="G22" s="163" t="s">
        <v>149</v>
      </c>
      <c r="H22" s="164" t="s">
        <v>53</v>
      </c>
      <c r="I22" s="164" t="s">
        <v>196</v>
      </c>
      <c r="J22" s="165">
        <v>0.5</v>
      </c>
      <c r="K22" s="166" t="s">
        <v>161</v>
      </c>
      <c r="L22" s="70">
        <f>IFERROR(TblReferentiescoreT132151617418[[#This Row],[Aantal
ritten]]*TblReferentiescoreT132151617418[[#This Row],[Afstand
per rit
'[km']]]*TblReferentiescoreT132151617418[[#This Row],[Gemiddeld
volume
per rit
'[ton']]]*VLOOKUP(TblReferentiescoreT132151617418[[#This Row],[Type transportmiddel]],TblType[],2,0),"")</f>
        <v>114760.8</v>
      </c>
      <c r="M22" s="70">
        <f>IFERROR(TblReferentiescoreT132151617418[[#This Row],[Energie-vraag (MJ)]]/stookwaarde_diesel/dichtheid_diesel*emissiefactor_diesel,"")</f>
        <v>10412.486915887852</v>
      </c>
      <c r="N22" s="71">
        <f>IFERROR(
     TblReferentiescoreT132151617418[[#This Row],[Referentie-score]]*
          ((100%-TblReferentiescoreT132151617418[[#This Row],[Aandeel
2e energie
-bron]])*INDEX(TblBrandstof[CO2 uitstoot verg 1l diesel],MATCH(TblReferentiescoreT132151617418[[#This Row],[Energiebron]],TblBrandstof[Brandstof],0))+
          TblReferentiescoreT132151617418[[#This Row],[Aandeel
2e energie
-bron]]*INDEX(TblBrandstof[CO2 uitstoot verg 1l diesel],MATCH(IF(OR(TblReferentiescoreT132151617418[[#This Row],[2e energiebron]]="N.v.t.",TblReferentiescoreT132151617418[[#This Row],[2e energiebron]]=""),TblReferentiescoreT132151617418[[#This Row],[Energiebron]],TblReferentiescoreT132151617418[[#This Row],[2e energiebron]]),TblBrandstof[Brandstof],0)))*
      IF(OR(TblReferentiescoreT132151617418[[#This Row],[Motortype]]="Elektrisch",TblReferentiescoreT132151617418[[#This Row],[Hybride]]="Ja"),TblHybride[Waardering hybride],1),"")</f>
        <v>5727.8834579439263</v>
      </c>
      <c r="O22" s="71">
        <f>IFERROR(TblReferentiescoreT132151617418[[#This Row],[CO2-impact
'[kg CO2']]]*IF(INDEX(TblBrandstof[Waardering Euroniveau],MATCH(TblReferentiescoreT132151617418[[#This Row],[Energiebron]],TblBrandstof[Brandstof],0)),VLOOKUP(TblReferentiescoreT132151617418[[#This Row],[Motortype]],TblMotortypeT[],2,0),1),"")</f>
        <v>5727.8834579439263</v>
      </c>
      <c r="P22" s="73" t="str">
        <f>IF(TblReferentiescoreT132151617418[[#This Row],[Slibtransport
van rwzi naar rwzi]]&lt;&gt;"",
    IF(TblReferentiescoreT132151617418[[#This Row],[Gemiddeld
volume
per rit
'[ton']]]="","Gemiddelde vracht per volle rit niet gevuld",
    IF(TblReferentiescoreT132151617418[[#This Row],[Afstand
per rit
'[km']]]="","Afstand per rit niet gevuld",
    IF(TblReferentiescoreT132151617418[[#This Row],[Aantal
ritten]]="","Aantal ritten niet gevuld",""))),
  "")</f>
        <v/>
      </c>
    </row>
    <row r="23" spans="1:17" ht="15.75" customHeight="1" x14ac:dyDescent="0.2">
      <c r="A23" s="137" t="s">
        <v>215</v>
      </c>
      <c r="B23" s="136">
        <v>144</v>
      </c>
      <c r="C23" s="161" t="s">
        <v>158</v>
      </c>
      <c r="D23" s="162">
        <v>36</v>
      </c>
      <c r="E23" s="82">
        <f t="shared" si="0"/>
        <v>4</v>
      </c>
      <c r="F23" s="83">
        <v>13.7</v>
      </c>
      <c r="G23" s="163" t="s">
        <v>149</v>
      </c>
      <c r="H23" s="164" t="s">
        <v>53</v>
      </c>
      <c r="I23" s="164" t="s">
        <v>196</v>
      </c>
      <c r="J23" s="165">
        <v>0.5</v>
      </c>
      <c r="K23" s="166" t="s">
        <v>161</v>
      </c>
      <c r="L23" s="70">
        <f>IFERROR(TblReferentiescoreT132151617418[[#This Row],[Aantal
ritten]]*TblReferentiescoreT132151617418[[#This Row],[Afstand
per rit
'[km']]]*TblReferentiescoreT132151617418[[#This Row],[Gemiddeld
volume
per rit
'[ton']]]*VLOOKUP(TblReferentiescoreT132151617418[[#This Row],[Type transportmiddel]],TblType[],2,0),"")</f>
        <v>1972.8</v>
      </c>
      <c r="M23" s="70">
        <f>IFERROR(TblReferentiescoreT132151617418[[#This Row],[Energie-vraag (MJ)]]/stookwaarde_diesel/dichtheid_diesel*emissiefactor_diesel,"")</f>
        <v>178.99626168224302</v>
      </c>
      <c r="N23" s="71">
        <f>IFERROR(
     TblReferentiescoreT132151617418[[#This Row],[Referentie-score]]*
          ((100%-TblReferentiescoreT132151617418[[#This Row],[Aandeel
2e energie
-bron]])*INDEX(TblBrandstof[CO2 uitstoot verg 1l diesel],MATCH(TblReferentiescoreT132151617418[[#This Row],[Energiebron]],TblBrandstof[Brandstof],0))+
          TblReferentiescoreT132151617418[[#This Row],[Aandeel
2e energie
-bron]]*INDEX(TblBrandstof[CO2 uitstoot verg 1l diesel],MATCH(IF(OR(TblReferentiescoreT132151617418[[#This Row],[2e energiebron]]="N.v.t.",TblReferentiescoreT132151617418[[#This Row],[2e energiebron]]=""),TblReferentiescoreT132151617418[[#This Row],[Energiebron]],TblReferentiescoreT132151617418[[#This Row],[2e energiebron]]),TblBrandstof[Brandstof],0)))*
      IF(OR(TblReferentiescoreT132151617418[[#This Row],[Motortype]]="Elektrisch",TblReferentiescoreT132151617418[[#This Row],[Hybride]]="Ja"),TblHybride[Waardering hybride],1),"")</f>
        <v>98.465403568394237</v>
      </c>
      <c r="O23" s="71">
        <f>IFERROR(TblReferentiescoreT132151617418[[#This Row],[CO2-impact
'[kg CO2']]]*IF(INDEX(TblBrandstof[Waardering Euroniveau],MATCH(TblReferentiescoreT132151617418[[#This Row],[Energiebron]],TblBrandstof[Brandstof],0)),VLOOKUP(TblReferentiescoreT132151617418[[#This Row],[Motortype]],TblMotortypeT[],2,0),1),"")</f>
        <v>98.465403568394237</v>
      </c>
      <c r="P23" s="73" t="str">
        <f>IF(TblReferentiescoreT132151617418[[#This Row],[Slibtransport
van rwzi naar rwzi]]&lt;&gt;"",
    IF(TblReferentiescoreT132151617418[[#This Row],[Gemiddeld
volume
per rit
'[ton']]]="","Gemiddelde vracht per volle rit niet gevuld",
    IF(TblReferentiescoreT132151617418[[#This Row],[Afstand
per rit
'[km']]]="","Afstand per rit niet gevuld",
    IF(TblReferentiescoreT132151617418[[#This Row],[Aantal
ritten]]="","Aantal ritten niet gevuld",""))),
  "")</f>
        <v/>
      </c>
    </row>
    <row r="24" spans="1:17" ht="15.75" customHeight="1" x14ac:dyDescent="0.2">
      <c r="A24" s="137" t="s">
        <v>217</v>
      </c>
      <c r="B24" s="136">
        <v>3765</v>
      </c>
      <c r="C24" s="161" t="s">
        <v>158</v>
      </c>
      <c r="D24" s="162">
        <v>36</v>
      </c>
      <c r="E24" s="82">
        <f t="shared" si="0"/>
        <v>105</v>
      </c>
      <c r="F24" s="83">
        <v>24.8</v>
      </c>
      <c r="G24" s="163" t="s">
        <v>149</v>
      </c>
      <c r="H24" s="164" t="s">
        <v>53</v>
      </c>
      <c r="I24" s="164" t="s">
        <v>196</v>
      </c>
      <c r="J24" s="165">
        <v>0.5</v>
      </c>
      <c r="K24" s="166" t="s">
        <v>161</v>
      </c>
      <c r="L24" s="70">
        <f>IFERROR(TblReferentiescoreT132151617418[[#This Row],[Aantal
ritten]]*TblReferentiescoreT132151617418[[#This Row],[Afstand
per rit
'[km']]]*TblReferentiescoreT132151617418[[#This Row],[Gemiddeld
volume
per rit
'[ton']]]*VLOOKUP(TblReferentiescoreT132151617418[[#This Row],[Type transportmiddel]],TblType[],2,0),"")</f>
        <v>93744</v>
      </c>
      <c r="M24" s="70">
        <f>IFERROR(TblReferentiescoreT132151617418[[#This Row],[Energie-vraag (MJ)]]/stookwaarde_diesel/dichtheid_diesel*emissiefactor_diesel,"")</f>
        <v>8505.5887850467298</v>
      </c>
      <c r="N24" s="71">
        <f>IFERROR(
     TblReferentiescoreT132151617418[[#This Row],[Referentie-score]]*
          ((100%-TblReferentiescoreT132151617418[[#This Row],[Aandeel
2e energie
-bron]])*INDEX(TblBrandstof[CO2 uitstoot verg 1l diesel],MATCH(TblReferentiescoreT132151617418[[#This Row],[Energiebron]],TblBrandstof[Brandstof],0))+
          TblReferentiescoreT132151617418[[#This Row],[Aandeel
2e energie
-bron]]*INDEX(TblBrandstof[CO2 uitstoot verg 1l diesel],MATCH(IF(OR(TblReferentiescoreT132151617418[[#This Row],[2e energiebron]]="N.v.t.",TblReferentiescoreT132151617418[[#This Row],[2e energiebron]]=""),TblReferentiescoreT132151617418[[#This Row],[Energiebron]],TblReferentiescoreT132151617418[[#This Row],[2e energiebron]]),TblBrandstof[Brandstof],0)))*
      IF(OR(TblReferentiescoreT132151617418[[#This Row],[Motortype]]="Elektrisch",TblReferentiescoreT132151617418[[#This Row],[Hybride]]="Ja"),TblHybride[Waardering hybride],1),"")</f>
        <v>4678.9034834324557</v>
      </c>
      <c r="O24" s="71">
        <f>IFERROR(TblReferentiescoreT132151617418[[#This Row],[CO2-impact
'[kg CO2']]]*IF(INDEX(TblBrandstof[Waardering Euroniveau],MATCH(TblReferentiescoreT132151617418[[#This Row],[Energiebron]],TblBrandstof[Brandstof],0)),VLOOKUP(TblReferentiescoreT132151617418[[#This Row],[Motortype]],TblMotortypeT[],2,0),1),"")</f>
        <v>4678.9034834324557</v>
      </c>
      <c r="P24" s="73" t="str">
        <f>IF(TblReferentiescoreT132151617418[[#This Row],[Slibtransport
van rwzi naar rwzi]]&lt;&gt;"",
    IF(TblReferentiescoreT132151617418[[#This Row],[Gemiddeld
volume
per rit
'[ton']]]="","Gemiddelde vracht per volle rit niet gevuld",
    IF(TblReferentiescoreT132151617418[[#This Row],[Afstand
per rit
'[km']]]="","Afstand per rit niet gevuld",
    IF(TblReferentiescoreT132151617418[[#This Row],[Aantal
ritten]]="","Aantal ritten niet gevuld",""))),
  "")</f>
        <v/>
      </c>
    </row>
    <row r="25" spans="1:17" ht="15.75" customHeight="1" thickBot="1" x14ac:dyDescent="0.25">
      <c r="A25" s="137" t="s">
        <v>216</v>
      </c>
      <c r="B25" s="136">
        <v>72</v>
      </c>
      <c r="C25" s="161" t="s">
        <v>158</v>
      </c>
      <c r="D25" s="162">
        <v>36</v>
      </c>
      <c r="E25" s="82">
        <f t="shared" si="0"/>
        <v>2</v>
      </c>
      <c r="F25" s="83">
        <v>35.9</v>
      </c>
      <c r="G25" s="163" t="s">
        <v>149</v>
      </c>
      <c r="H25" s="164" t="s">
        <v>53</v>
      </c>
      <c r="I25" s="164" t="s">
        <v>196</v>
      </c>
      <c r="J25" s="165">
        <v>0.5</v>
      </c>
      <c r="K25" s="166" t="s">
        <v>161</v>
      </c>
      <c r="L25" s="70">
        <f>IFERROR(TblReferentiescoreT132151617418[[#This Row],[Aantal
ritten]]*TblReferentiescoreT132151617418[[#This Row],[Afstand
per rit
'[km']]]*TblReferentiescoreT132151617418[[#This Row],[Gemiddeld
volume
per rit
'[ton']]]*VLOOKUP(TblReferentiescoreT132151617418[[#This Row],[Type transportmiddel]],TblType[],2,0),"")</f>
        <v>2584.7999999999997</v>
      </c>
      <c r="M25" s="70">
        <f>IFERROR(TblReferentiescoreT132151617418[[#This Row],[Energie-vraag (MJ)]]/stookwaarde_diesel/dichtheid_diesel*emissiefactor_diesel,"")</f>
        <v>234.52429906542056</v>
      </c>
      <c r="N25" s="71">
        <f>IFERROR(
     TblReferentiescoreT132151617418[[#This Row],[Referentie-score]]*
          ((100%-TblReferentiescoreT132151617418[[#This Row],[Aandeel
2e energie
-bron]])*INDEX(TblBrandstof[CO2 uitstoot verg 1l diesel],MATCH(TblReferentiescoreT132151617418[[#This Row],[Energiebron]],TblBrandstof[Brandstof],0))+
          TblReferentiescoreT132151617418[[#This Row],[Aandeel
2e energie
-bron]]*INDEX(TblBrandstof[CO2 uitstoot verg 1l diesel],MATCH(IF(OR(TblReferentiescoreT132151617418[[#This Row],[2e energiebron]]="N.v.t.",TblReferentiescoreT132151617418[[#This Row],[2e energiebron]]=""),TblReferentiescoreT132151617418[[#This Row],[Energiebron]],TblReferentiescoreT132151617418[[#This Row],[2e energiebron]]),TblBrandstof[Brandstof],0)))*
      IF(OR(TblReferentiescoreT132151617418[[#This Row],[Motortype]]="Elektrisch",TblReferentiescoreT132151617418[[#This Row],[Hybride]]="Ja"),TblHybride[Waardering hybride],1),"")</f>
        <v>129.01124044180119</v>
      </c>
      <c r="O25" s="71">
        <f>IFERROR(TblReferentiescoreT132151617418[[#This Row],[CO2-impact
'[kg CO2']]]*IF(INDEX(TblBrandstof[Waardering Euroniveau],MATCH(TblReferentiescoreT132151617418[[#This Row],[Energiebron]],TblBrandstof[Brandstof],0)),VLOOKUP(TblReferentiescoreT132151617418[[#This Row],[Motortype]],TblMotortypeT[],2,0),1),"")</f>
        <v>129.01124044180119</v>
      </c>
      <c r="P25" s="73" t="str">
        <f>IF(TblReferentiescoreT132151617418[[#This Row],[Slibtransport
van rwzi naar rwzi]]&lt;&gt;"",
    IF(TblReferentiescoreT132151617418[[#This Row],[Gemiddeld
volume
per rit
'[ton']]]="","Gemiddelde vracht per volle rit niet gevuld",
    IF(TblReferentiescoreT132151617418[[#This Row],[Afstand
per rit
'[km']]]="","Afstand per rit niet gevuld",
    IF(TblReferentiescoreT132151617418[[#This Row],[Aantal
ritten]]="","Aantal ritten niet gevuld",""))),
  "")</f>
        <v/>
      </c>
    </row>
    <row r="26" spans="1:17" s="45" customFormat="1" ht="15.75" thickBot="1" x14ac:dyDescent="0.25">
      <c r="A26" s="46" t="s">
        <v>159</v>
      </c>
      <c r="B26" s="48">
        <f>SUBTOTAL(109,TblReferentiescoreT132151617418[Gemiddeld
volume 
per jaar
'[ton']])</f>
        <v>114305</v>
      </c>
      <c r="C26" s="48"/>
      <c r="D26" s="48"/>
      <c r="E26" s="48"/>
      <c r="F26" s="48"/>
      <c r="G26" s="48"/>
      <c r="H26" s="48"/>
      <c r="I26" s="48"/>
      <c r="J26" s="48"/>
      <c r="K26" s="48"/>
      <c r="L26" s="47"/>
      <c r="M26" s="48">
        <f>SUBTOTAL(109,TblReferentiescoreT132151617418[Referentie-score])</f>
        <v>242534.05514018697</v>
      </c>
      <c r="N26" s="79">
        <f>SUBTOTAL(109,TblReferentiescoreT132151617418[CO2-impact
'[kg CO2']])</f>
        <v>133417.38757009347</v>
      </c>
      <c r="O26" s="79">
        <f>SUBTOTAL(109,TblReferentiescoreT132151617418[Transport
score])</f>
        <v>133417.38757009347</v>
      </c>
      <c r="P26" s="48"/>
    </row>
    <row r="27" spans="1:17" x14ac:dyDescent="0.2">
      <c r="C27" s="74"/>
      <c r="D27" s="74"/>
      <c r="E27" s="75"/>
      <c r="F27" s="74"/>
      <c r="N27" s="54"/>
      <c r="O27" s="54" t="s">
        <v>197</v>
      </c>
    </row>
    <row r="28" spans="1:17" x14ac:dyDescent="0.2">
      <c r="Q28" s="49"/>
    </row>
    <row r="29" spans="1:17" x14ac:dyDescent="0.2">
      <c r="A29" s="50"/>
      <c r="B29" s="50"/>
      <c r="C29" s="85"/>
      <c r="D29" s="49"/>
      <c r="E29" s="85"/>
      <c r="F29" s="85"/>
      <c r="Q29" s="49"/>
    </row>
    <row r="30" spans="1:17" x14ac:dyDescent="0.2">
      <c r="A30" s="50"/>
      <c r="B30" s="50"/>
      <c r="C30" s="85"/>
      <c r="D30" s="49"/>
      <c r="E30" s="86"/>
      <c r="F30" s="85"/>
      <c r="Q30" s="51"/>
    </row>
    <row r="31" spans="1:17" x14ac:dyDescent="0.2">
      <c r="A31" s="50"/>
      <c r="B31" s="50"/>
      <c r="C31" s="154"/>
      <c r="D31" s="49"/>
      <c r="E31" s="85"/>
      <c r="F31" s="85"/>
    </row>
  </sheetData>
  <sheetProtection algorithmName="SHA-512" hashValue="o/3a6mRN7Kgob7I7JPa/GkqgExz27FQB9w4Z7/btugf8h3tmKc6dnAst6kO461grsj32h2Ex2R2HAMl6U8UJTw==" saltValue="I1wz2kNJAnD+uZiGVM88rg==" spinCount="100000" sheet="1" selectLockedCells="1"/>
  <dataValidations count="7">
    <dataValidation type="list" allowBlank="1" showInputMessage="1" showErrorMessage="1" sqref="H6:H25" xr:uid="{23231237-8ABA-420B-870B-5D54A7E371F2}">
      <formula1>INDIRECT(LEFT(G6,5))</formula1>
    </dataValidation>
    <dataValidation type="list" allowBlank="1" showInputMessage="1" showErrorMessage="1" sqref="I6:I25" xr:uid="{9418EF44-EBFA-4CCE-B421-1A943E5610AD}">
      <formula1>INDIRECT(LEFT(SUBSTITUTE(SUBSTITUTE(H6," ","_"),"(","_"),10))</formula1>
    </dataValidation>
    <dataValidation type="list" allowBlank="1" showInputMessage="1" showErrorMessage="1" sqref="C6:C25" xr:uid="{38166758-8A8F-4EC4-AEF0-9282D13933B4}">
      <formula1>types</formula1>
    </dataValidation>
    <dataValidation type="list" allowBlank="1" showInputMessage="1" showErrorMessage="1" sqref="G6:G25" xr:uid="{66A78BE1-3DD5-4A11-B92D-C180EC22E526}">
      <formula1>motortypest</formula1>
    </dataValidation>
    <dataValidation type="decimal" allowBlank="1" showInputMessage="1" showErrorMessage="1" sqref="J6:J25" xr:uid="{05742CDF-2724-4FE9-91A8-59BA1237269C}">
      <formula1>0</formula1>
      <formula2>1</formula2>
    </dataValidation>
    <dataValidation type="list" allowBlank="1" showInputMessage="1" showErrorMessage="1" sqref="K6:K25" xr:uid="{C055E9F8-4153-45F0-8186-24ACB4359731}">
      <formula1>"Ja,Nee"</formula1>
    </dataValidation>
    <dataValidation type="whole" allowBlank="1" showInputMessage="1" showErrorMessage="1" prompt="Numerieke waarde" sqref="D6:F25" xr:uid="{0B69D8ED-80FB-44AC-BA03-E8AE07C36552}">
      <formula1>1</formula1>
      <formula2>999999</formula2>
    </dataValidation>
  </dataValidations>
  <pageMargins left="0.25" right="0.25" top="0.75" bottom="0.75" header="0.3" footer="0.3"/>
  <pageSetup paperSize="9" scale="7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export.export">
                <anchor moveWithCells="1" sizeWithCells="1">
                  <from>
                    <xdr:col>3</xdr:col>
                    <xdr:colOff>76200</xdr:colOff>
                    <xdr:row>1</xdr:row>
                    <xdr:rowOff>190500</xdr:rowOff>
                  </from>
                  <to>
                    <xdr:col>5</xdr:col>
                    <xdr:colOff>9525</xdr:colOff>
                    <xdr:row>3</xdr:row>
                    <xdr:rowOff>0</xdr:rowOff>
                  </to>
                </anchor>
              </controlPr>
            </control>
          </mc:Choice>
        </mc:AlternateContent>
      </controls>
    </mc:Choice>
  </mc:AlternateContent>
  <tableParts count="1">
    <tablePart r:id="rId5"/>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CE007-22FE-403B-BD6B-A4765808BAFF}">
  <sheetPr>
    <tabColor theme="9" tint="0.59999389629810485"/>
  </sheetPr>
  <dimension ref="A1:F18"/>
  <sheetViews>
    <sheetView showGridLines="0" workbookViewId="0">
      <selection activeCell="B4" sqref="B4"/>
    </sheetView>
  </sheetViews>
  <sheetFormatPr defaultRowHeight="12.75" x14ac:dyDescent="0.2"/>
  <cols>
    <col min="1" max="1" width="36.75" style="41" bestFit="1" customWidth="1"/>
    <col min="2" max="2" width="15.625" style="42" customWidth="1"/>
    <col min="3" max="16384" width="9" style="41"/>
  </cols>
  <sheetData>
    <row r="1" spans="1:6" x14ac:dyDescent="0.2">
      <c r="A1" s="90" t="s">
        <v>259</v>
      </c>
      <c r="B1" s="99"/>
    </row>
    <row r="2" spans="1:6" x14ac:dyDescent="0.2">
      <c r="A2" s="100" t="s">
        <v>258</v>
      </c>
      <c r="B2" s="101">
        <f>TblReferentiescoreT132151617418419[[#Totals],[Transportkosten
totaal
'[€']]]</f>
        <v>0</v>
      </c>
    </row>
    <row r="3" spans="1:6" ht="13.5" thickBot="1" x14ac:dyDescent="0.25">
      <c r="A3" s="100" t="s">
        <v>163</v>
      </c>
      <c r="B3" s="101">
        <f>'Overige kosten'!F7*6</f>
        <v>0</v>
      </c>
    </row>
    <row r="4" spans="1:6" ht="13.5" thickTop="1" x14ac:dyDescent="0.2">
      <c r="A4" s="102" t="s">
        <v>260</v>
      </c>
      <c r="B4" s="103">
        <f>SUM(B2:B3)</f>
        <v>0</v>
      </c>
    </row>
    <row r="6" spans="1:6" x14ac:dyDescent="0.2">
      <c r="A6" s="88" t="s">
        <v>261</v>
      </c>
      <c r="B6" s="89" t="s">
        <v>262</v>
      </c>
    </row>
    <row r="7" spans="1:6" x14ac:dyDescent="0.2">
      <c r="A7" s="104">
        <v>1</v>
      </c>
      <c r="B7" s="105">
        <f>TblReferentiescoreT1321516174184[[#Totals],[CO2-impact
'[kg CO2']]]</f>
        <v>0</v>
      </c>
    </row>
    <row r="8" spans="1:6" x14ac:dyDescent="0.2">
      <c r="A8" s="104">
        <v>2</v>
      </c>
      <c r="B8" s="105">
        <f>TblReferentiescoreT13215161741848[[#Totals],[CO2-impact
'[kg CO2']]]</f>
        <v>0</v>
      </c>
    </row>
    <row r="9" spans="1:6" x14ac:dyDescent="0.2">
      <c r="A9" s="104">
        <v>3</v>
      </c>
      <c r="B9" s="105">
        <f>TblReferentiescoreT1321516174184813[[#Totals],[CO2-impact
'[kg CO2']]]</f>
        <v>0</v>
      </c>
    </row>
    <row r="10" spans="1:6" x14ac:dyDescent="0.2">
      <c r="A10" s="104">
        <v>4</v>
      </c>
      <c r="B10" s="105">
        <f>TblReferentiescoreT132151617418481315[[#Totals],[CO2-impact
'[kg CO2']]]</f>
        <v>0</v>
      </c>
    </row>
    <row r="11" spans="1:6" x14ac:dyDescent="0.2">
      <c r="A11" s="104">
        <v>5</v>
      </c>
      <c r="B11" s="105">
        <f>TblReferentiescoreT13215161741848131516[[#Totals],[CO2-impact
'[kg CO2']]]</f>
        <v>0</v>
      </c>
    </row>
    <row r="12" spans="1:6" ht="13.5" thickBot="1" x14ac:dyDescent="0.25">
      <c r="A12" s="104">
        <v>6</v>
      </c>
      <c r="B12" s="105">
        <f>TblReferentiescoreT1321516174184813151617[[#Totals],[CO2-impact
'[kg CO2']]]</f>
        <v>0</v>
      </c>
    </row>
    <row r="13" spans="1:6" ht="13.5" thickTop="1" x14ac:dyDescent="0.2">
      <c r="A13" s="106" t="s">
        <v>235</v>
      </c>
      <c r="B13" s="107">
        <f>SUM(B7:B12)</f>
        <v>0</v>
      </c>
    </row>
    <row r="14" spans="1:6" ht="13.5" thickBot="1" x14ac:dyDescent="0.25">
      <c r="A14" s="108" t="s">
        <v>269</v>
      </c>
      <c r="B14" s="109">
        <f>TblReferentiescoreT132151617418[[#Totals],[CO2-impact
'[kg CO2']]]*6</f>
        <v>800504.32542056078</v>
      </c>
    </row>
    <row r="15" spans="1:6" ht="13.5" thickTop="1" x14ac:dyDescent="0.2">
      <c r="A15" s="110" t="s">
        <v>236</v>
      </c>
      <c r="B15" s="111">
        <f>B14-B13</f>
        <v>800504.32542056078</v>
      </c>
    </row>
    <row r="16" spans="1:6" x14ac:dyDescent="0.2">
      <c r="A16" s="108"/>
      <c r="B16" s="108"/>
      <c r="F16" s="44"/>
    </row>
    <row r="17" spans="1:6" x14ac:dyDescent="0.2">
      <c r="A17" s="112" t="s">
        <v>237</v>
      </c>
      <c r="B17" s="113">
        <v>500</v>
      </c>
      <c r="F17" s="44"/>
    </row>
    <row r="18" spans="1:6" x14ac:dyDescent="0.2">
      <c r="A18" s="108" t="s">
        <v>238</v>
      </c>
      <c r="B18" s="113">
        <f>B17*B15/1000</f>
        <v>400252.16271028039</v>
      </c>
      <c r="E18" s="43"/>
    </row>
  </sheetData>
  <sheetProtection algorithmName="SHA-512" hashValue="ad+PI73jTYy/8TsaUQ3P6yuX4+PYmRqXsiHu8UGOB8z0xqh8WimYRmkl2WM+CiO0Xo2xmxZnGXiurn16UEU7xA==" saltValue="QG/tfYb3sOXUiZ4giNz5gQ==" spinCount="100000" sheet="1" objects="1" scenarios="1"/>
  <phoneticPr fontId="12" type="noConversion"/>
  <pageMargins left="0.7" right="0.7" top="0.75" bottom="0.75" header="0.3" footer="0.3"/>
  <pageSetup paperSize="9" orientation="portrait" horizontalDpi="4294967293"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F79EB-07D6-6445-9890-84A2F298B62D}">
  <sheetPr codeName="Blad7"/>
  <dimension ref="A1:AD54"/>
  <sheetViews>
    <sheetView showGridLines="0" workbookViewId="0">
      <selection activeCell="D30" sqref="D30"/>
    </sheetView>
  </sheetViews>
  <sheetFormatPr defaultColWidth="8.875" defaultRowHeight="15.75" x14ac:dyDescent="0.25"/>
  <cols>
    <col min="1" max="1" width="20" style="13" customWidth="1"/>
    <col min="2" max="2" width="15.125" style="13" bestFit="1" customWidth="1"/>
    <col min="3" max="3" width="15.125" style="13" customWidth="1"/>
    <col min="4" max="4" width="19" style="22" bestFit="1" customWidth="1"/>
    <col min="5" max="5" width="23" style="22" customWidth="1"/>
    <col min="6" max="6" width="9.625" style="22" bestFit="1" customWidth="1"/>
    <col min="7" max="7" width="11.375" style="13" customWidth="1"/>
    <col min="8" max="8" width="14.125" bestFit="1" customWidth="1"/>
    <col min="9" max="9" width="9.625" customWidth="1"/>
    <col min="10" max="10" width="12.375" bestFit="1" customWidth="1"/>
    <col min="11" max="11" width="14.125" customWidth="1"/>
    <col min="12" max="12" width="12" customWidth="1"/>
    <col min="13" max="13" width="13.625" bestFit="1" customWidth="1"/>
    <col min="14" max="14" width="16.375" customWidth="1"/>
    <col min="15" max="15" width="22.625" bestFit="1" customWidth="1"/>
    <col min="16" max="16" width="13.375" customWidth="1"/>
    <col min="18" max="18" width="22.625" bestFit="1" customWidth="1"/>
    <col min="19" max="19" width="16" bestFit="1" customWidth="1"/>
  </cols>
  <sheetData>
    <row r="1" spans="1:17" x14ac:dyDescent="0.25">
      <c r="A1" t="s">
        <v>169</v>
      </c>
      <c r="D1" s="7" t="s">
        <v>104</v>
      </c>
      <c r="E1" s="8" t="s">
        <v>105</v>
      </c>
      <c r="F1"/>
      <c r="G1"/>
      <c r="H1" s="5" t="s">
        <v>181</v>
      </c>
      <c r="I1" s="5"/>
      <c r="J1" s="5" t="s">
        <v>181</v>
      </c>
    </row>
    <row r="2" spans="1:17" ht="18" x14ac:dyDescent="0.35">
      <c r="A2" s="13" t="s">
        <v>25</v>
      </c>
      <c r="D2" s="9" t="s">
        <v>106</v>
      </c>
      <c r="E2" s="3" t="s">
        <v>170</v>
      </c>
      <c r="F2" s="3"/>
      <c r="G2" s="3" t="s">
        <v>108</v>
      </c>
      <c r="H2" s="3"/>
      <c r="I2" s="3"/>
      <c r="J2" s="3" t="s">
        <v>119</v>
      </c>
      <c r="K2" t="s">
        <v>109</v>
      </c>
      <c r="L2" t="s">
        <v>110</v>
      </c>
      <c r="M2" t="s">
        <v>192</v>
      </c>
      <c r="N2" s="14" t="s">
        <v>110</v>
      </c>
      <c r="O2" s="13" t="s">
        <v>112</v>
      </c>
    </row>
    <row r="3" spans="1:17" ht="18.75" x14ac:dyDescent="0.25">
      <c r="A3" s="15">
        <v>0.6</v>
      </c>
      <c r="D3" s="34" t="s">
        <v>171</v>
      </c>
      <c r="E3" s="35" t="s">
        <v>37</v>
      </c>
      <c r="F3" s="36" t="s">
        <v>107</v>
      </c>
      <c r="G3" s="36" t="s">
        <v>113</v>
      </c>
      <c r="H3" s="36" t="s">
        <v>114</v>
      </c>
      <c r="I3" s="36" t="s">
        <v>172</v>
      </c>
      <c r="J3" s="36" t="s">
        <v>115</v>
      </c>
      <c r="K3" s="36" t="s">
        <v>116</v>
      </c>
      <c r="L3" s="36" t="s">
        <v>117</v>
      </c>
      <c r="M3" s="36" t="s">
        <v>118</v>
      </c>
      <c r="N3" s="37" t="s">
        <v>182</v>
      </c>
      <c r="O3" s="36" t="s">
        <v>193</v>
      </c>
      <c r="P3" s="38" t="s">
        <v>23</v>
      </c>
      <c r="Q3" s="38" t="s">
        <v>157</v>
      </c>
    </row>
    <row r="4" spans="1:17" x14ac:dyDescent="0.25">
      <c r="D4" s="16" t="s">
        <v>164</v>
      </c>
      <c r="E4" s="17" t="s">
        <v>53</v>
      </c>
      <c r="F4" s="16" t="s">
        <v>111</v>
      </c>
      <c r="G4" s="16">
        <v>3.262</v>
      </c>
      <c r="H4" s="16">
        <v>42.8</v>
      </c>
      <c r="I4" s="16" t="s">
        <v>17</v>
      </c>
      <c r="J4" s="16">
        <v>0.84</v>
      </c>
      <c r="K4" s="16">
        <f>J4*H4</f>
        <v>35.951999999999998</v>
      </c>
      <c r="L4" s="18">
        <f t="shared" ref="L4:L19" si="0">$K$4/H4</f>
        <v>0.84</v>
      </c>
      <c r="M4" s="18">
        <f t="shared" ref="M4:M12" si="1">L4/J4</f>
        <v>1</v>
      </c>
      <c r="N4" s="18">
        <f t="shared" ref="N4:N12" si="2">M4*G4</f>
        <v>3.262</v>
      </c>
      <c r="O4" s="19">
        <f>N4/$G$4</f>
        <v>1</v>
      </c>
      <c r="P4" s="21"/>
      <c r="Q4" s="21">
        <v>1</v>
      </c>
    </row>
    <row r="5" spans="1:17" x14ac:dyDescent="0.25">
      <c r="A5" t="s">
        <v>12</v>
      </c>
      <c r="B5" t="s">
        <v>160</v>
      </c>
      <c r="C5"/>
      <c r="D5" s="16" t="s">
        <v>164</v>
      </c>
      <c r="E5" s="17" t="s">
        <v>121</v>
      </c>
      <c r="F5" s="16" t="s">
        <v>111</v>
      </c>
      <c r="G5" s="16">
        <v>3.4729999999999999</v>
      </c>
      <c r="H5" s="16">
        <v>43.2</v>
      </c>
      <c r="I5" s="16" t="s">
        <v>17</v>
      </c>
      <c r="J5" s="16">
        <v>0.84</v>
      </c>
      <c r="K5" s="16"/>
      <c r="L5" s="18">
        <f t="shared" si="0"/>
        <v>0.83222222222222209</v>
      </c>
      <c r="M5" s="18">
        <f t="shared" si="1"/>
        <v>0.99074074074074059</v>
      </c>
      <c r="N5" s="18">
        <f t="shared" si="2"/>
        <v>3.4408425925925918</v>
      </c>
      <c r="O5" s="19">
        <f t="shared" ref="O5:O23" si="3">N5/$G$4</f>
        <v>1.0548260553625357</v>
      </c>
      <c r="P5" s="21"/>
      <c r="Q5" s="21">
        <v>1</v>
      </c>
    </row>
    <row r="6" spans="1:17" x14ac:dyDescent="0.25">
      <c r="A6" t="s">
        <v>4</v>
      </c>
      <c r="B6" t="s">
        <v>13</v>
      </c>
      <c r="C6"/>
      <c r="D6" s="16" t="s">
        <v>164</v>
      </c>
      <c r="E6" s="17" t="s">
        <v>196</v>
      </c>
      <c r="F6" s="16" t="s">
        <v>111</v>
      </c>
      <c r="G6" s="16">
        <v>0.314</v>
      </c>
      <c r="H6" s="16">
        <v>44</v>
      </c>
      <c r="I6" s="16" t="s">
        <v>17</v>
      </c>
      <c r="J6" s="16">
        <v>0.78500000000000003</v>
      </c>
      <c r="K6" s="16"/>
      <c r="L6" s="18">
        <f t="shared" si="0"/>
        <v>0.81709090909090909</v>
      </c>
      <c r="M6" s="18">
        <f t="shared" si="1"/>
        <v>1.040880138969311</v>
      </c>
      <c r="N6" s="18">
        <f t="shared" si="2"/>
        <v>0.32683636363636365</v>
      </c>
      <c r="O6" s="19">
        <f t="shared" si="3"/>
        <v>0.10019508388607101</v>
      </c>
      <c r="P6" s="21"/>
      <c r="Q6" s="21">
        <v>1</v>
      </c>
    </row>
    <row r="7" spans="1:17" x14ac:dyDescent="0.25">
      <c r="A7">
        <v>37</v>
      </c>
      <c r="B7">
        <v>0.26</v>
      </c>
      <c r="C7"/>
      <c r="D7" s="16" t="s">
        <v>164</v>
      </c>
      <c r="E7" s="17" t="s">
        <v>194</v>
      </c>
      <c r="F7" s="16" t="s">
        <v>111</v>
      </c>
      <c r="G7" s="16">
        <v>0.44900000000000001</v>
      </c>
      <c r="H7" s="16">
        <v>37</v>
      </c>
      <c r="I7" s="16" t="s">
        <v>17</v>
      </c>
      <c r="J7" s="16">
        <v>0.88</v>
      </c>
      <c r="K7" s="16"/>
      <c r="L7" s="18">
        <f t="shared" si="0"/>
        <v>0.97167567567567559</v>
      </c>
      <c r="M7" s="18">
        <f t="shared" si="1"/>
        <v>1.1041769041769041</v>
      </c>
      <c r="N7" s="18">
        <f t="shared" si="2"/>
        <v>0.49577542997542995</v>
      </c>
      <c r="O7" s="19">
        <f t="shared" si="3"/>
        <v>0.15198511035420906</v>
      </c>
      <c r="P7" s="21"/>
      <c r="Q7" s="21">
        <v>0</v>
      </c>
    </row>
    <row r="8" spans="1:17" s="13" customFormat="1" x14ac:dyDescent="0.25">
      <c r="A8">
        <v>75</v>
      </c>
      <c r="B8">
        <v>0.255</v>
      </c>
      <c r="C8"/>
      <c r="D8" s="16" t="s">
        <v>164</v>
      </c>
      <c r="E8" s="20" t="s">
        <v>195</v>
      </c>
      <c r="F8" s="16" t="s">
        <v>111</v>
      </c>
      <c r="G8" s="16">
        <v>3.274</v>
      </c>
      <c r="H8" s="16">
        <v>44</v>
      </c>
      <c r="I8" s="16" t="s">
        <v>17</v>
      </c>
      <c r="J8" s="16">
        <v>0.78</v>
      </c>
      <c r="K8" s="16"/>
      <c r="L8" s="18">
        <f t="shared" si="0"/>
        <v>0.81709090909090909</v>
      </c>
      <c r="M8" s="18">
        <f t="shared" si="1"/>
        <v>1.0475524475524476</v>
      </c>
      <c r="N8" s="18">
        <f t="shared" si="2"/>
        <v>3.4296867132867135</v>
      </c>
      <c r="O8" s="19">
        <f t="shared" si="3"/>
        <v>1.0514061046249887</v>
      </c>
      <c r="P8" s="21"/>
      <c r="Q8" s="21">
        <v>1</v>
      </c>
    </row>
    <row r="9" spans="1:17" x14ac:dyDescent="0.25">
      <c r="A9">
        <v>130</v>
      </c>
      <c r="B9">
        <v>0.25</v>
      </c>
      <c r="C9"/>
      <c r="D9" s="16" t="s">
        <v>165</v>
      </c>
      <c r="E9" s="20" t="s">
        <v>50</v>
      </c>
      <c r="F9" s="16" t="s">
        <v>111</v>
      </c>
      <c r="G9" s="16">
        <v>2.7839999999999998</v>
      </c>
      <c r="H9" s="16">
        <v>41.4</v>
      </c>
      <c r="I9" s="16" t="s">
        <v>17</v>
      </c>
      <c r="J9" s="16">
        <v>0.75</v>
      </c>
      <c r="K9" s="16"/>
      <c r="L9" s="18">
        <f t="shared" si="0"/>
        <v>0.86840579710144927</v>
      </c>
      <c r="M9" s="18">
        <f t="shared" si="1"/>
        <v>1.1578743961352658</v>
      </c>
      <c r="N9" s="18">
        <f t="shared" si="2"/>
        <v>3.2235223188405797</v>
      </c>
      <c r="O9" s="19">
        <f t="shared" si="3"/>
        <v>0.98820426696522978</v>
      </c>
      <c r="P9" s="21"/>
      <c r="Q9" s="21">
        <v>0</v>
      </c>
    </row>
    <row r="10" spans="1:17" x14ac:dyDescent="0.25">
      <c r="D10" s="16" t="s">
        <v>165</v>
      </c>
      <c r="E10" s="20" t="s">
        <v>120</v>
      </c>
      <c r="F10" s="16" t="s">
        <v>111</v>
      </c>
      <c r="G10" s="16">
        <v>3.032</v>
      </c>
      <c r="H10" s="16">
        <v>43</v>
      </c>
      <c r="I10" s="16" t="s">
        <v>17</v>
      </c>
      <c r="J10" s="16">
        <v>0.75</v>
      </c>
      <c r="K10" s="16"/>
      <c r="L10" s="18">
        <f t="shared" si="0"/>
        <v>0.83609302325581392</v>
      </c>
      <c r="M10" s="18">
        <f t="shared" si="1"/>
        <v>1.1147906976744186</v>
      </c>
      <c r="N10" s="18">
        <f t="shared" si="2"/>
        <v>3.3800453953488372</v>
      </c>
      <c r="O10" s="19">
        <f t="shared" si="3"/>
        <v>1.0361880427188341</v>
      </c>
      <c r="P10" s="21"/>
      <c r="Q10" s="21">
        <v>0</v>
      </c>
    </row>
    <row r="11" spans="1:17" x14ac:dyDescent="0.25">
      <c r="A11" s="5" t="s">
        <v>36</v>
      </c>
      <c r="B11" s="13" t="s">
        <v>168</v>
      </c>
      <c r="D11" s="16" t="s">
        <v>165</v>
      </c>
      <c r="E11" s="20" t="s">
        <v>51</v>
      </c>
      <c r="F11" s="16" t="s">
        <v>111</v>
      </c>
      <c r="G11" s="16">
        <v>0.55800000000000005</v>
      </c>
      <c r="H11" s="16">
        <v>27</v>
      </c>
      <c r="I11" s="16" t="s">
        <v>17</v>
      </c>
      <c r="J11" s="16">
        <v>0.748</v>
      </c>
      <c r="K11" s="16"/>
      <c r="L11" s="18">
        <f t="shared" si="0"/>
        <v>1.3315555555555554</v>
      </c>
      <c r="M11" s="18">
        <f t="shared" si="1"/>
        <v>1.7801544860368388</v>
      </c>
      <c r="N11" s="18">
        <f t="shared" si="2"/>
        <v>0.99332620320855614</v>
      </c>
      <c r="O11" s="19">
        <f t="shared" si="3"/>
        <v>0.30451447063413739</v>
      </c>
      <c r="P11" s="21"/>
      <c r="Q11" s="21">
        <v>0</v>
      </c>
    </row>
    <row r="12" spans="1:17" x14ac:dyDescent="0.25">
      <c r="A12" t="s">
        <v>43</v>
      </c>
      <c r="B12">
        <v>2</v>
      </c>
      <c r="C12"/>
      <c r="D12" s="16" t="s">
        <v>165</v>
      </c>
      <c r="E12" s="20" t="s">
        <v>52</v>
      </c>
      <c r="F12" s="16" t="s">
        <v>111</v>
      </c>
      <c r="G12" s="16">
        <v>0.876</v>
      </c>
      <c r="H12" s="16">
        <v>29.4</v>
      </c>
      <c r="I12" s="16" t="s">
        <v>17</v>
      </c>
      <c r="J12" s="16">
        <v>0.748</v>
      </c>
      <c r="K12" s="16"/>
      <c r="L12" s="18">
        <f t="shared" si="0"/>
        <v>1.2228571428571429</v>
      </c>
      <c r="M12" s="18">
        <f t="shared" si="1"/>
        <v>1.6348357524828112</v>
      </c>
      <c r="N12" s="18">
        <f t="shared" si="2"/>
        <v>1.4321161191749425</v>
      </c>
      <c r="O12" s="19">
        <f t="shared" si="3"/>
        <v>0.43903007945277206</v>
      </c>
      <c r="P12" s="21"/>
      <c r="Q12" s="21">
        <v>0</v>
      </c>
    </row>
    <row r="13" spans="1:17" x14ac:dyDescent="0.25">
      <c r="A13" t="s">
        <v>44</v>
      </c>
      <c r="B13">
        <v>1.5</v>
      </c>
      <c r="C13"/>
      <c r="D13" s="16" t="s">
        <v>166</v>
      </c>
      <c r="E13" s="20" t="s">
        <v>57</v>
      </c>
      <c r="F13" s="16" t="s">
        <v>110</v>
      </c>
      <c r="G13" s="16">
        <v>2.633</v>
      </c>
      <c r="H13" s="16">
        <v>38</v>
      </c>
      <c r="I13" s="16" t="s">
        <v>17</v>
      </c>
      <c r="J13" s="16"/>
      <c r="K13" s="16"/>
      <c r="L13" s="18">
        <f t="shared" si="0"/>
        <v>0.94610526315789467</v>
      </c>
      <c r="M13" s="18"/>
      <c r="N13" s="18">
        <f>L13*G13</f>
        <v>2.4910951578947365</v>
      </c>
      <c r="O13" s="19">
        <f t="shared" si="3"/>
        <v>0.76367110910323011</v>
      </c>
      <c r="P13" s="21"/>
      <c r="Q13" s="21">
        <v>0</v>
      </c>
    </row>
    <row r="14" spans="1:17" x14ac:dyDescent="0.25">
      <c r="A14" t="s">
        <v>45</v>
      </c>
      <c r="B14">
        <v>1</v>
      </c>
      <c r="C14"/>
      <c r="D14" s="16" t="s">
        <v>166</v>
      </c>
      <c r="E14" s="17" t="s">
        <v>58</v>
      </c>
      <c r="F14" s="16" t="s">
        <v>110</v>
      </c>
      <c r="G14" s="16">
        <v>1.0489999999999999</v>
      </c>
      <c r="H14" s="16">
        <v>38</v>
      </c>
      <c r="I14" s="16" t="s">
        <v>17</v>
      </c>
      <c r="J14" s="16"/>
      <c r="K14" s="16"/>
      <c r="L14" s="18">
        <f t="shared" si="0"/>
        <v>0.94610526315789467</v>
      </c>
      <c r="M14" s="18"/>
      <c r="N14" s="18">
        <f>L14*G14</f>
        <v>0.99246442105263144</v>
      </c>
      <c r="O14" s="19">
        <f t="shared" si="3"/>
        <v>0.30425028235825613</v>
      </c>
      <c r="P14" s="21"/>
      <c r="Q14" s="21">
        <v>0</v>
      </c>
    </row>
    <row r="15" spans="1:17" x14ac:dyDescent="0.25">
      <c r="A15" t="s">
        <v>46</v>
      </c>
      <c r="B15">
        <v>0.75</v>
      </c>
      <c r="C15"/>
      <c r="D15" s="16" t="s">
        <v>166</v>
      </c>
      <c r="E15" s="17" t="s">
        <v>59</v>
      </c>
      <c r="F15" s="16" t="s">
        <v>110</v>
      </c>
      <c r="G15" s="16">
        <v>3.6509999999999998</v>
      </c>
      <c r="H15" s="16">
        <v>49</v>
      </c>
      <c r="I15" s="16" t="s">
        <v>17</v>
      </c>
      <c r="J15" s="16"/>
      <c r="K15" s="16"/>
      <c r="L15" s="18">
        <f t="shared" si="0"/>
        <v>0.73371428571428565</v>
      </c>
      <c r="M15" s="18"/>
      <c r="N15" s="18">
        <f>L15*G15</f>
        <v>2.6787908571428569</v>
      </c>
      <c r="O15" s="19">
        <f t="shared" si="3"/>
        <v>0.82121117631601992</v>
      </c>
      <c r="P15" s="21"/>
      <c r="Q15" s="21">
        <v>0</v>
      </c>
    </row>
    <row r="16" spans="1:17" x14ac:dyDescent="0.25">
      <c r="A16" t="s">
        <v>47</v>
      </c>
      <c r="B16">
        <v>0.75</v>
      </c>
      <c r="C16"/>
      <c r="D16" s="16" t="s">
        <v>166</v>
      </c>
      <c r="E16" s="17" t="s">
        <v>60</v>
      </c>
      <c r="F16" s="16" t="s">
        <v>110</v>
      </c>
      <c r="G16" s="16">
        <v>1.431</v>
      </c>
      <c r="H16" s="16">
        <v>49</v>
      </c>
      <c r="I16" s="16" t="s">
        <v>17</v>
      </c>
      <c r="J16" s="16"/>
      <c r="K16" s="16"/>
      <c r="L16" s="18">
        <f t="shared" si="0"/>
        <v>0.73371428571428565</v>
      </c>
      <c r="M16" s="18"/>
      <c r="N16" s="18">
        <f>L16*G16</f>
        <v>1.0499451428571429</v>
      </c>
      <c r="O16" s="19">
        <f t="shared" si="3"/>
        <v>0.32187159498992729</v>
      </c>
      <c r="P16" s="21"/>
      <c r="Q16" s="21">
        <v>0</v>
      </c>
    </row>
    <row r="17" spans="1:19" x14ac:dyDescent="0.25">
      <c r="A17" t="s">
        <v>162</v>
      </c>
      <c r="B17" s="13">
        <v>1</v>
      </c>
      <c r="D17" s="16" t="s">
        <v>166</v>
      </c>
      <c r="E17" s="20" t="s">
        <v>61</v>
      </c>
      <c r="F17" s="16" t="s">
        <v>111</v>
      </c>
      <c r="G17" s="16">
        <v>1.798</v>
      </c>
      <c r="H17" s="16">
        <v>45.1</v>
      </c>
      <c r="I17" s="16" t="s">
        <v>17</v>
      </c>
      <c r="J17" s="16">
        <v>0.53600000000000003</v>
      </c>
      <c r="K17" s="16"/>
      <c r="L17" s="18">
        <f t="shared" si="0"/>
        <v>0.79716186252771615</v>
      </c>
      <c r="M17" s="18">
        <f>L17/J17</f>
        <v>1.4872422808352912</v>
      </c>
      <c r="N17" s="18">
        <f>M17*G17</f>
        <v>2.6740616209418535</v>
      </c>
      <c r="O17" s="19">
        <f t="shared" si="3"/>
        <v>0.81976137981050079</v>
      </c>
      <c r="P17" s="21"/>
      <c r="Q17" s="21">
        <v>0</v>
      </c>
    </row>
    <row r="18" spans="1:19" x14ac:dyDescent="0.25">
      <c r="A18" t="s">
        <v>163</v>
      </c>
      <c r="B18" s="13">
        <v>1</v>
      </c>
      <c r="D18" s="16" t="s">
        <v>166</v>
      </c>
      <c r="E18" s="17" t="s">
        <v>62</v>
      </c>
      <c r="F18" s="16" t="s">
        <v>110</v>
      </c>
      <c r="G18" s="16">
        <v>12.516</v>
      </c>
      <c r="H18" s="16">
        <v>120</v>
      </c>
      <c r="I18" s="16" t="s">
        <v>17</v>
      </c>
      <c r="J18" s="16"/>
      <c r="K18" s="16"/>
      <c r="L18" s="18">
        <f t="shared" si="0"/>
        <v>0.29959999999999998</v>
      </c>
      <c r="M18" s="18"/>
      <c r="N18" s="18">
        <f>L18*G18</f>
        <v>3.7497935999999998</v>
      </c>
      <c r="O18" s="19">
        <f t="shared" si="3"/>
        <v>1.1495381974248926</v>
      </c>
      <c r="P18" s="21"/>
      <c r="Q18" s="21">
        <v>0</v>
      </c>
    </row>
    <row r="19" spans="1:19" x14ac:dyDescent="0.25">
      <c r="D19" s="16" t="s">
        <v>166</v>
      </c>
      <c r="E19" s="20" t="s">
        <v>63</v>
      </c>
      <c r="F19" s="16" t="s">
        <v>110</v>
      </c>
      <c r="G19" s="16">
        <v>1.0920000000000001</v>
      </c>
      <c r="H19" s="16">
        <v>120</v>
      </c>
      <c r="I19" s="16" t="s">
        <v>17</v>
      </c>
      <c r="J19" s="16"/>
      <c r="K19" s="16"/>
      <c r="L19" s="18">
        <f t="shared" si="0"/>
        <v>0.29959999999999998</v>
      </c>
      <c r="M19" s="18"/>
      <c r="N19" s="18">
        <f>L19*G19</f>
        <v>0.32716319999999999</v>
      </c>
      <c r="O19" s="19">
        <f t="shared" si="3"/>
        <v>0.10029527896995707</v>
      </c>
      <c r="P19" s="21"/>
      <c r="Q19" s="21">
        <v>0</v>
      </c>
    </row>
    <row r="20" spans="1:19" x14ac:dyDescent="0.25">
      <c r="A20" t="s">
        <v>93</v>
      </c>
      <c r="D20" s="16" t="s">
        <v>167</v>
      </c>
      <c r="E20" s="17" t="s">
        <v>175</v>
      </c>
      <c r="F20" s="16" t="s">
        <v>122</v>
      </c>
      <c r="G20" s="16">
        <v>0.55600000000000005</v>
      </c>
      <c r="H20" s="16">
        <v>3.6</v>
      </c>
      <c r="I20" s="16" t="s">
        <v>123</v>
      </c>
      <c r="J20" s="16"/>
      <c r="K20" s="16"/>
      <c r="L20" s="16"/>
      <c r="M20" s="18">
        <f>$K$4/H20</f>
        <v>9.9866666666666664</v>
      </c>
      <c r="N20" s="18">
        <f>M20*G20</f>
        <v>5.5525866666666666</v>
      </c>
      <c r="O20" s="19">
        <f t="shared" si="3"/>
        <v>1.7022031473533619</v>
      </c>
      <c r="P20" s="21"/>
      <c r="Q20" s="21">
        <v>0</v>
      </c>
    </row>
    <row r="21" spans="1:19" x14ac:dyDescent="0.25">
      <c r="A21" s="4">
        <v>0.8</v>
      </c>
      <c r="D21" s="16" t="s">
        <v>167</v>
      </c>
      <c r="E21" s="17" t="s">
        <v>177</v>
      </c>
      <c r="F21" s="16" t="s">
        <v>122</v>
      </c>
      <c r="G21" s="16">
        <v>0</v>
      </c>
      <c r="H21" s="16">
        <v>3.6</v>
      </c>
      <c r="I21" s="16" t="s">
        <v>123</v>
      </c>
      <c r="J21" s="16"/>
      <c r="K21" s="16"/>
      <c r="L21" s="16"/>
      <c r="M21" s="18">
        <f>$K$4/H21</f>
        <v>9.9866666666666664</v>
      </c>
      <c r="N21" s="18">
        <f>M21*G21</f>
        <v>0</v>
      </c>
      <c r="O21" s="19">
        <f t="shared" si="3"/>
        <v>0</v>
      </c>
      <c r="P21" s="21"/>
      <c r="Q21" s="21">
        <v>0</v>
      </c>
    </row>
    <row r="22" spans="1:19" x14ac:dyDescent="0.25">
      <c r="D22" s="16" t="s">
        <v>167</v>
      </c>
      <c r="E22" s="20" t="s">
        <v>176</v>
      </c>
      <c r="F22" s="16" t="s">
        <v>122</v>
      </c>
      <c r="G22" s="16">
        <v>0.47499999999999998</v>
      </c>
      <c r="H22" s="16">
        <v>3.6</v>
      </c>
      <c r="I22" s="16" t="s">
        <v>123</v>
      </c>
      <c r="J22" s="16"/>
      <c r="K22" s="16"/>
      <c r="L22" s="16"/>
      <c r="M22" s="18">
        <f>$K$4/H22</f>
        <v>9.9866666666666664</v>
      </c>
      <c r="N22" s="18">
        <f>M22*G22</f>
        <v>4.743666666666666</v>
      </c>
      <c r="O22" s="19">
        <f t="shared" si="3"/>
        <v>1.4542203147353361</v>
      </c>
      <c r="P22" s="21"/>
      <c r="Q22" s="21">
        <v>0</v>
      </c>
    </row>
    <row r="23" spans="1:19" x14ac:dyDescent="0.25">
      <c r="A23" t="s">
        <v>94</v>
      </c>
      <c r="D23" s="29" t="s">
        <v>167</v>
      </c>
      <c r="E23" s="26" t="s">
        <v>124</v>
      </c>
      <c r="F23" s="30" t="s">
        <v>122</v>
      </c>
      <c r="G23" s="30">
        <v>7.4999999999999997E-2</v>
      </c>
      <c r="H23" s="30">
        <v>3.6</v>
      </c>
      <c r="I23" s="30" t="s">
        <v>123</v>
      </c>
      <c r="J23" s="30"/>
      <c r="K23" s="30"/>
      <c r="L23" s="30"/>
      <c r="M23" s="31">
        <f>$K$4/H23</f>
        <v>9.9866666666666664</v>
      </c>
      <c r="N23" s="31">
        <f>M23*G23</f>
        <v>0.749</v>
      </c>
      <c r="O23" s="32">
        <f t="shared" si="3"/>
        <v>0.2296137339055794</v>
      </c>
      <c r="P23" s="33"/>
      <c r="Q23" s="21">
        <v>0</v>
      </c>
    </row>
    <row r="24" spans="1:19" x14ac:dyDescent="0.25">
      <c r="A24" s="4">
        <v>0.95</v>
      </c>
    </row>
    <row r="25" spans="1:19" x14ac:dyDescent="0.25">
      <c r="A25" s="4"/>
    </row>
    <row r="26" spans="1:19" ht="18.75" thickBot="1" x14ac:dyDescent="0.3">
      <c r="A26" s="39" t="s">
        <v>173</v>
      </c>
      <c r="B26" s="39" t="s">
        <v>173</v>
      </c>
      <c r="C26" s="39" t="s">
        <v>173</v>
      </c>
      <c r="D26" s="40" t="s">
        <v>174</v>
      </c>
      <c r="E26" s="40" t="s">
        <v>174</v>
      </c>
    </row>
    <row r="27" spans="1:19" ht="16.5" thickTop="1" x14ac:dyDescent="0.25">
      <c r="A27" s="5" t="s">
        <v>178</v>
      </c>
      <c r="B27" s="12" t="s">
        <v>162</v>
      </c>
      <c r="C27" t="s">
        <v>163</v>
      </c>
      <c r="D27" t="s">
        <v>179</v>
      </c>
      <c r="E27" s="13" t="s">
        <v>180</v>
      </c>
      <c r="F27" s="13"/>
      <c r="G27" s="22"/>
      <c r="H27" s="13"/>
      <c r="I27" s="13"/>
    </row>
    <row r="28" spans="1:19" ht="30" x14ac:dyDescent="0.25">
      <c r="A28" s="17" t="s">
        <v>53</v>
      </c>
      <c r="B28" s="17" t="s">
        <v>62</v>
      </c>
      <c r="C28" s="20" t="s">
        <v>50</v>
      </c>
      <c r="D28" s="25" t="s">
        <v>196</v>
      </c>
      <c r="E28" s="26" t="s">
        <v>124</v>
      </c>
      <c r="F28" s="20"/>
      <c r="G28" s="22"/>
      <c r="H28" s="13"/>
      <c r="I28" s="13"/>
    </row>
    <row r="29" spans="1:19" x14ac:dyDescent="0.25">
      <c r="A29" s="17" t="s">
        <v>121</v>
      </c>
      <c r="B29" s="20" t="s">
        <v>63</v>
      </c>
      <c r="C29" s="20" t="s">
        <v>120</v>
      </c>
      <c r="D29" s="17" t="s">
        <v>194</v>
      </c>
      <c r="E29" s="25" t="s">
        <v>188</v>
      </c>
      <c r="F29" s="20"/>
      <c r="G29" s="22"/>
      <c r="H29" s="13"/>
      <c r="I29" s="13"/>
    </row>
    <row r="30" spans="1:19" ht="30" x14ac:dyDescent="0.25">
      <c r="A30" s="17" t="s">
        <v>196</v>
      </c>
      <c r="B30" s="17" t="s">
        <v>175</v>
      </c>
      <c r="C30" s="20" t="s">
        <v>51</v>
      </c>
      <c r="D30" s="27" t="s">
        <v>56</v>
      </c>
      <c r="E30" s="17"/>
      <c r="F30" s="17"/>
      <c r="G30" s="22"/>
      <c r="H30" s="13"/>
      <c r="I30" s="13"/>
    </row>
    <row r="31" spans="1:19" x14ac:dyDescent="0.25">
      <c r="A31" s="17" t="s">
        <v>194</v>
      </c>
      <c r="B31" s="17" t="s">
        <v>177</v>
      </c>
      <c r="C31" s="20" t="s">
        <v>52</v>
      </c>
      <c r="D31" s="25" t="s">
        <v>62</v>
      </c>
      <c r="E31" s="28"/>
      <c r="F31" s="20"/>
      <c r="G31" s="22"/>
      <c r="H31" s="13"/>
      <c r="I31" s="13"/>
    </row>
    <row r="32" spans="1:19" x14ac:dyDescent="0.25">
      <c r="A32" s="20" t="s">
        <v>195</v>
      </c>
      <c r="B32" s="20" t="s">
        <v>176</v>
      </c>
      <c r="C32" s="20" t="s">
        <v>57</v>
      </c>
      <c r="D32" s="27" t="s">
        <v>63</v>
      </c>
      <c r="G32" s="5"/>
      <c r="H32" s="5"/>
      <c r="I32" s="5"/>
      <c r="J32" s="5"/>
      <c r="K32" s="5"/>
      <c r="L32" s="5"/>
      <c r="M32" s="5"/>
      <c r="N32" s="5"/>
      <c r="O32" s="5"/>
      <c r="P32" s="5"/>
      <c r="Q32" s="5"/>
      <c r="R32" s="5"/>
      <c r="S32" s="5"/>
    </row>
    <row r="33" spans="1:30" x14ac:dyDescent="0.25">
      <c r="A33" s="17"/>
      <c r="C33" s="17" t="s">
        <v>58</v>
      </c>
      <c r="D33" s="25" t="s">
        <v>188</v>
      </c>
      <c r="G33" s="5"/>
      <c r="H33" s="5"/>
      <c r="I33" s="5"/>
      <c r="J33" s="5"/>
      <c r="K33" s="5"/>
      <c r="L33" s="5"/>
      <c r="M33" s="5"/>
      <c r="N33" s="5"/>
      <c r="O33" s="5"/>
      <c r="P33" s="5"/>
      <c r="Q33" s="5"/>
      <c r="R33" s="5"/>
      <c r="S33" s="5"/>
    </row>
    <row r="34" spans="1:30" x14ac:dyDescent="0.25">
      <c r="A34" s="20"/>
      <c r="C34" s="17" t="s">
        <v>59</v>
      </c>
      <c r="D34" s="25"/>
      <c r="G34" s="5"/>
      <c r="H34" s="5"/>
      <c r="I34" s="5"/>
      <c r="J34" s="5"/>
      <c r="K34" s="5"/>
      <c r="L34" s="5"/>
      <c r="M34" s="5"/>
      <c r="N34" s="5"/>
      <c r="O34" s="5"/>
      <c r="P34" s="5"/>
      <c r="Q34" s="5"/>
      <c r="R34" s="5"/>
      <c r="S34" s="5"/>
    </row>
    <row r="35" spans="1:30" x14ac:dyDescent="0.25">
      <c r="A35" s="24"/>
      <c r="C35" s="17" t="s">
        <v>60</v>
      </c>
      <c r="G35" s="5"/>
      <c r="H35" s="10"/>
      <c r="I35" s="5"/>
      <c r="J35" s="5"/>
      <c r="K35" s="5"/>
      <c r="L35" s="175"/>
      <c r="M35" s="175"/>
      <c r="N35" s="11"/>
      <c r="O35" s="11"/>
      <c r="P35" s="175"/>
      <c r="Q35" s="175"/>
      <c r="R35" s="175"/>
      <c r="S35" s="175"/>
    </row>
    <row r="36" spans="1:30" x14ac:dyDescent="0.25">
      <c r="A36" s="24"/>
      <c r="C36" s="20" t="s">
        <v>61</v>
      </c>
      <c r="G36" s="5"/>
      <c r="H36" s="5"/>
      <c r="I36" s="5"/>
      <c r="J36" s="5"/>
      <c r="K36" s="5"/>
      <c r="L36" s="5"/>
      <c r="M36" s="5"/>
      <c r="N36" s="5"/>
      <c r="O36" s="5"/>
      <c r="P36" s="5"/>
      <c r="Q36" s="5"/>
      <c r="R36" s="5"/>
      <c r="S36" s="5"/>
      <c r="T36" s="5"/>
      <c r="U36" s="5"/>
      <c r="V36" s="5"/>
      <c r="W36" s="5"/>
      <c r="X36" s="5"/>
      <c r="Y36" s="5"/>
      <c r="Z36" s="5"/>
      <c r="AA36" s="5"/>
      <c r="AB36" s="5"/>
      <c r="AC36" s="5"/>
      <c r="AD36" s="5"/>
    </row>
    <row r="37" spans="1:30" x14ac:dyDescent="0.25">
      <c r="G37" s="5"/>
      <c r="H37" s="5"/>
      <c r="I37" s="5"/>
      <c r="J37" s="5"/>
      <c r="K37" s="5"/>
      <c r="L37" s="12"/>
      <c r="M37" s="5"/>
      <c r="N37" s="5"/>
      <c r="O37" s="5"/>
      <c r="P37" s="12"/>
      <c r="Q37" s="5"/>
      <c r="R37" s="12"/>
      <c r="S37" s="5"/>
      <c r="T37" s="5"/>
      <c r="U37" s="5"/>
      <c r="V37" s="5"/>
      <c r="W37" s="5"/>
      <c r="X37" s="5"/>
      <c r="Y37" s="5"/>
      <c r="Z37" s="5"/>
      <c r="AA37" s="5"/>
      <c r="AB37" s="5"/>
      <c r="AC37" s="5"/>
      <c r="AD37" s="5"/>
    </row>
    <row r="38" spans="1:30" x14ac:dyDescent="0.25">
      <c r="A38" t="s">
        <v>186</v>
      </c>
      <c r="G38" s="5"/>
      <c r="H38" s="5"/>
      <c r="I38" s="5"/>
      <c r="J38" s="5"/>
      <c r="K38" s="5"/>
      <c r="L38" s="12"/>
      <c r="M38" s="5"/>
      <c r="N38" s="5"/>
      <c r="O38" s="5"/>
      <c r="P38" s="12"/>
      <c r="Q38" s="5"/>
      <c r="R38" s="12"/>
      <c r="S38" s="5"/>
      <c r="T38" s="5"/>
      <c r="U38" s="5"/>
      <c r="V38" s="5"/>
      <c r="W38" s="5"/>
      <c r="X38" s="5"/>
      <c r="Y38" s="5"/>
      <c r="Z38" s="5"/>
      <c r="AA38" s="5"/>
      <c r="AB38" s="5"/>
      <c r="AC38" s="5"/>
      <c r="AD38" s="5"/>
    </row>
    <row r="39" spans="1:30" x14ac:dyDescent="0.25">
      <c r="A39" s="13" t="s">
        <v>133</v>
      </c>
      <c r="B39" s="13" t="s">
        <v>185</v>
      </c>
      <c r="G39" s="5"/>
      <c r="H39" s="5"/>
      <c r="I39" s="5"/>
      <c r="J39" s="5"/>
      <c r="K39" s="5"/>
      <c r="L39" s="12"/>
      <c r="M39" s="5"/>
      <c r="N39" s="5"/>
      <c r="O39" s="5"/>
      <c r="P39" s="5"/>
      <c r="Q39" s="5"/>
      <c r="R39" s="5"/>
      <c r="S39" s="5"/>
      <c r="T39" s="5"/>
      <c r="U39" s="5"/>
      <c r="V39" s="5"/>
      <c r="W39" s="5"/>
      <c r="X39" s="5"/>
      <c r="Y39" s="5"/>
      <c r="Z39" s="5"/>
      <c r="AA39" s="5"/>
      <c r="AB39" s="5"/>
      <c r="AC39" s="5"/>
      <c r="AD39" s="5"/>
    </row>
    <row r="40" spans="1:30" x14ac:dyDescent="0.25">
      <c r="A40" t="s">
        <v>125</v>
      </c>
      <c r="B40">
        <v>9.4</v>
      </c>
      <c r="G40" s="5"/>
      <c r="H40" s="5"/>
      <c r="I40" s="5"/>
      <c r="J40" s="12"/>
      <c r="K40" s="5"/>
      <c r="L40" s="5"/>
      <c r="M40" s="5"/>
      <c r="N40" s="5"/>
      <c r="O40" s="5"/>
      <c r="P40" s="5"/>
      <c r="Q40" s="5"/>
      <c r="R40" s="5"/>
      <c r="S40" s="5"/>
      <c r="T40" s="175"/>
      <c r="U40" s="175"/>
      <c r="V40" s="175"/>
      <c r="W40" s="175"/>
      <c r="X40" s="175"/>
      <c r="Y40" s="175"/>
      <c r="Z40" s="175"/>
      <c r="AA40" s="175"/>
      <c r="AB40" s="5"/>
      <c r="AC40" s="5"/>
      <c r="AD40" s="5"/>
    </row>
    <row r="41" spans="1:30" x14ac:dyDescent="0.25">
      <c r="A41" t="s">
        <v>126</v>
      </c>
      <c r="B41">
        <v>4</v>
      </c>
      <c r="G41" s="5"/>
      <c r="H41" s="5"/>
      <c r="I41" s="5"/>
      <c r="J41" s="12"/>
      <c r="K41" s="5"/>
      <c r="L41" s="5"/>
      <c r="M41" s="5"/>
      <c r="N41" s="5"/>
      <c r="O41" s="5"/>
      <c r="P41" s="5"/>
      <c r="Q41" s="5"/>
      <c r="R41" s="5"/>
      <c r="S41" s="5"/>
      <c r="T41" s="5"/>
      <c r="U41" s="5"/>
      <c r="V41" s="5"/>
      <c r="W41" s="5"/>
      <c r="X41" s="5"/>
      <c r="Y41" s="5"/>
      <c r="Z41" s="5"/>
      <c r="AA41" s="5"/>
      <c r="AB41" s="5"/>
      <c r="AC41" s="5"/>
      <c r="AD41" s="5"/>
    </row>
    <row r="42" spans="1:30" x14ac:dyDescent="0.25">
      <c r="A42" t="s">
        <v>127</v>
      </c>
      <c r="B42">
        <v>2.8</v>
      </c>
      <c r="G42" s="5"/>
      <c r="H42" s="5"/>
      <c r="I42" s="5"/>
      <c r="J42" s="12"/>
      <c r="K42" s="5"/>
      <c r="L42" s="5"/>
      <c r="M42" s="5"/>
      <c r="N42" s="5"/>
      <c r="O42" s="5"/>
      <c r="P42" s="5"/>
      <c r="Q42" s="5"/>
      <c r="R42" s="5"/>
      <c r="S42" s="5"/>
      <c r="T42" s="12"/>
      <c r="U42" s="5"/>
      <c r="V42" s="12"/>
      <c r="W42" s="5"/>
      <c r="X42" s="12"/>
      <c r="Y42" s="5"/>
      <c r="Z42" s="5"/>
      <c r="AA42" s="5"/>
      <c r="AB42" s="5"/>
      <c r="AC42" s="5"/>
      <c r="AD42" s="5"/>
    </row>
    <row r="43" spans="1:30" x14ac:dyDescent="0.25">
      <c r="A43" t="s">
        <v>128</v>
      </c>
      <c r="B43">
        <v>1.1000000000000001</v>
      </c>
      <c r="G43" s="5"/>
      <c r="H43" s="5"/>
      <c r="I43" s="5"/>
      <c r="J43" s="5"/>
      <c r="K43" s="5"/>
      <c r="L43" s="5"/>
      <c r="M43" s="5"/>
      <c r="N43" s="5"/>
      <c r="O43" s="5"/>
      <c r="P43" s="5"/>
      <c r="Q43" s="5"/>
      <c r="R43" s="5"/>
      <c r="S43" s="5"/>
      <c r="T43" s="5"/>
      <c r="U43" s="5"/>
      <c r="V43" s="5"/>
      <c r="W43" s="5"/>
      <c r="X43" s="5"/>
      <c r="Y43" s="5"/>
      <c r="Z43" s="5"/>
      <c r="AA43" s="5"/>
      <c r="AB43" s="5"/>
      <c r="AC43" s="5"/>
      <c r="AD43" s="5"/>
    </row>
    <row r="44" spans="1:30" x14ac:dyDescent="0.25">
      <c r="A44" t="s">
        <v>158</v>
      </c>
      <c r="B44">
        <v>1</v>
      </c>
      <c r="C44" s="5"/>
      <c r="D44" s="23"/>
      <c r="E44" s="23"/>
      <c r="F44" s="23"/>
      <c r="G44" s="5"/>
      <c r="H44" s="5"/>
      <c r="I44" s="5"/>
      <c r="J44" s="5"/>
      <c r="K44" s="5"/>
      <c r="L44" s="5"/>
      <c r="M44" s="5"/>
      <c r="N44" s="5"/>
      <c r="O44" s="5"/>
      <c r="P44" s="5"/>
      <c r="Q44" s="5"/>
      <c r="R44" s="5"/>
      <c r="S44" s="5"/>
      <c r="T44" s="5"/>
      <c r="U44" s="5"/>
      <c r="V44" s="5"/>
      <c r="W44" s="5"/>
      <c r="X44" s="5"/>
      <c r="Y44" s="5"/>
      <c r="Z44" s="5"/>
      <c r="AA44" s="5"/>
      <c r="AB44" s="5"/>
    </row>
    <row r="45" spans="1:30" x14ac:dyDescent="0.25">
      <c r="A45" t="s">
        <v>129</v>
      </c>
      <c r="B45">
        <v>0.9</v>
      </c>
      <c r="C45" s="5"/>
      <c r="D45" s="23"/>
      <c r="E45" s="23"/>
      <c r="F45" s="23"/>
      <c r="G45" s="5"/>
      <c r="H45" s="5"/>
      <c r="I45" s="5"/>
      <c r="J45" s="5"/>
      <c r="K45" s="5"/>
      <c r="L45" s="5"/>
      <c r="M45" s="5"/>
      <c r="N45" s="5"/>
      <c r="O45" s="5"/>
      <c r="P45" s="5"/>
      <c r="Q45" s="5"/>
      <c r="R45" s="5"/>
      <c r="S45" s="5"/>
      <c r="T45" s="5"/>
      <c r="U45" s="5"/>
      <c r="V45" s="5"/>
      <c r="W45" s="5"/>
      <c r="X45" s="5"/>
      <c r="Y45" s="5"/>
      <c r="Z45" s="5"/>
      <c r="AA45" s="5"/>
      <c r="AB45" s="5"/>
    </row>
    <row r="46" spans="1:30" x14ac:dyDescent="0.25">
      <c r="D46" s="23"/>
      <c r="E46" s="23"/>
      <c r="F46" s="23"/>
      <c r="G46" s="5"/>
      <c r="H46" s="5"/>
      <c r="I46" s="5"/>
      <c r="J46" s="5"/>
      <c r="K46" s="5"/>
      <c r="L46" s="5"/>
      <c r="M46" s="5"/>
      <c r="N46" s="5"/>
      <c r="O46" s="5"/>
      <c r="P46" s="5"/>
      <c r="Q46" s="5"/>
      <c r="R46" s="5"/>
      <c r="S46" s="5"/>
      <c r="T46" s="5"/>
      <c r="U46" s="5"/>
      <c r="V46" s="5"/>
      <c r="W46" s="5"/>
      <c r="X46" s="5"/>
      <c r="Y46" s="5"/>
      <c r="Z46" s="5"/>
      <c r="AA46" s="5"/>
      <c r="AB46" s="5"/>
    </row>
    <row r="47" spans="1:30" x14ac:dyDescent="0.25">
      <c r="A47" t="s">
        <v>36</v>
      </c>
      <c r="B47" s="13" t="s">
        <v>187</v>
      </c>
      <c r="C47" s="5"/>
      <c r="D47" s="23"/>
      <c r="E47" s="23"/>
      <c r="F47" s="23"/>
      <c r="T47" s="5"/>
      <c r="U47" s="5"/>
      <c r="V47" s="5"/>
      <c r="W47" s="5"/>
      <c r="X47" s="5"/>
      <c r="Y47" s="5"/>
      <c r="Z47" s="5"/>
      <c r="AA47" s="5"/>
      <c r="AB47" s="5"/>
    </row>
    <row r="48" spans="1:30" x14ac:dyDescent="0.25">
      <c r="A48" t="s">
        <v>155</v>
      </c>
      <c r="B48">
        <v>2</v>
      </c>
      <c r="C48"/>
      <c r="D48"/>
      <c r="E48"/>
      <c r="F48"/>
      <c r="T48" s="5"/>
      <c r="U48" s="5"/>
      <c r="V48" s="5"/>
      <c r="W48" s="5"/>
      <c r="X48" s="5"/>
      <c r="Y48" s="5"/>
      <c r="Z48" s="5"/>
      <c r="AA48" s="5"/>
      <c r="AB48" s="5"/>
    </row>
    <row r="49" spans="1:30" x14ac:dyDescent="0.25">
      <c r="A49" t="s">
        <v>154</v>
      </c>
      <c r="B49">
        <v>1.5</v>
      </c>
      <c r="C49"/>
      <c r="D49"/>
      <c r="E49"/>
      <c r="F49"/>
      <c r="T49" s="5"/>
      <c r="U49" s="5"/>
      <c r="V49" s="5"/>
      <c r="W49" s="5"/>
      <c r="X49" s="5"/>
      <c r="Y49" s="5"/>
      <c r="Z49" s="5"/>
      <c r="AA49" s="5"/>
      <c r="AB49" s="5"/>
    </row>
    <row r="50" spans="1:30" x14ac:dyDescent="0.25">
      <c r="A50" t="s">
        <v>148</v>
      </c>
      <c r="B50">
        <v>1.25</v>
      </c>
      <c r="C50"/>
      <c r="D50"/>
      <c r="E50"/>
      <c r="F50"/>
      <c r="T50" s="5"/>
      <c r="U50" s="5"/>
      <c r="V50" s="5"/>
      <c r="W50" s="5"/>
      <c r="X50" s="5"/>
      <c r="Y50" s="5"/>
      <c r="Z50" s="5"/>
      <c r="AA50" s="5"/>
      <c r="AB50" s="5"/>
      <c r="AC50" s="5"/>
      <c r="AD50" s="5"/>
    </row>
    <row r="51" spans="1:30" x14ac:dyDescent="0.25">
      <c r="A51" t="s">
        <v>149</v>
      </c>
      <c r="B51">
        <v>1</v>
      </c>
      <c r="C51"/>
      <c r="D51"/>
      <c r="E51"/>
      <c r="F51"/>
    </row>
    <row r="52" spans="1:30" x14ac:dyDescent="0.25">
      <c r="A52" t="s">
        <v>162</v>
      </c>
      <c r="B52">
        <v>1</v>
      </c>
      <c r="C52"/>
      <c r="D52"/>
      <c r="E52"/>
      <c r="F52"/>
    </row>
    <row r="53" spans="1:30" x14ac:dyDescent="0.25">
      <c r="A53"/>
      <c r="B53"/>
      <c r="C53"/>
      <c r="D53"/>
      <c r="E53"/>
      <c r="F53"/>
    </row>
    <row r="54" spans="1:30" x14ac:dyDescent="0.25">
      <c r="A54"/>
      <c r="B54"/>
      <c r="C54"/>
      <c r="D54"/>
      <c r="E54"/>
      <c r="F54"/>
    </row>
  </sheetData>
  <sheetProtection algorithmName="SHA-512" hashValue="KLDxQxR8jX2htyLf8Oy+d6l0tUWdG5cSsS2/INUi7f4CXHzilrpdFY3fJGdgrD3KDCg3CfI/7JwiFnlHzAs66g==" saltValue="9kgKrKCJ4zmrSSw9X+95rQ==" spinCount="100000" sheet="1" objects="1" scenarios="1"/>
  <mergeCells count="7">
    <mergeCell ref="X40:Y40"/>
    <mergeCell ref="Z40:AA40"/>
    <mergeCell ref="L35:M35"/>
    <mergeCell ref="P35:Q35"/>
    <mergeCell ref="R35:S35"/>
    <mergeCell ref="T40:U40"/>
    <mergeCell ref="V40:W40"/>
  </mergeCells>
  <dataValidations disablePrompts="1" count="1">
    <dataValidation type="list" allowBlank="1" showInputMessage="1" showErrorMessage="1" sqref="B27" xr:uid="{A4547D15-6C16-4619-BA2F-7D9C77F17C47}">
      <formula1>motortypes</formula1>
    </dataValidation>
  </dataValidations>
  <hyperlinks>
    <hyperlink ref="E1" r:id="rId1" display="https://www.co2emissiefactoren.nl/lijst-emissiefactoren/" xr:uid="{189659E2-412F-4E98-BEB2-14BE985929F7}"/>
  </hyperlinks>
  <pageMargins left="0.7" right="0.7" top="0.75" bottom="0.75" header="0.3" footer="0.3"/>
  <tableParts count="9">
    <tablePart r:id="rId2"/>
    <tablePart r:id="rId3"/>
    <tablePart r:id="rId4"/>
    <tablePart r:id="rId5"/>
    <tablePart r:id="rId6"/>
    <tablePart r:id="rId7"/>
    <tablePart r:id="rId8"/>
    <tablePart r:id="rId9"/>
    <tablePart r:id="rId10"/>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2C10D-987D-C647-A03B-6D8B4DD0447A}">
  <dimension ref="A1:B23"/>
  <sheetViews>
    <sheetView zoomScaleNormal="100" workbookViewId="0">
      <selection activeCell="C3" sqref="C3"/>
    </sheetView>
  </sheetViews>
  <sheetFormatPr defaultColWidth="11" defaultRowHeight="12.75" x14ac:dyDescent="0.2"/>
  <cols>
    <col min="1" max="1" width="4.625" style="61" customWidth="1"/>
    <col min="2" max="2" width="100.625" style="116" customWidth="1"/>
    <col min="3" max="16384" width="11" style="41"/>
  </cols>
  <sheetData>
    <row r="1" spans="1:2" x14ac:dyDescent="0.2">
      <c r="A1" s="114"/>
      <c r="B1" s="121" t="s">
        <v>263</v>
      </c>
    </row>
    <row r="2" spans="1:2" x14ac:dyDescent="0.2">
      <c r="A2" s="115"/>
      <c r="B2" s="122" t="s">
        <v>245</v>
      </c>
    </row>
    <row r="3" spans="1:2" ht="76.5" x14ac:dyDescent="0.2">
      <c r="B3" s="116" t="s">
        <v>289</v>
      </c>
    </row>
    <row r="4" spans="1:2" x14ac:dyDescent="0.2">
      <c r="A4" s="115"/>
      <c r="B4" s="122" t="s">
        <v>264</v>
      </c>
    </row>
    <row r="5" spans="1:2" ht="25.5" x14ac:dyDescent="0.2">
      <c r="B5" s="116" t="s">
        <v>282</v>
      </c>
    </row>
    <row r="6" spans="1:2" x14ac:dyDescent="0.2">
      <c r="A6" s="119"/>
      <c r="B6" s="123" t="s">
        <v>267</v>
      </c>
    </row>
    <row r="7" spans="1:2" ht="38.25" x14ac:dyDescent="0.2">
      <c r="B7" s="116" t="s">
        <v>283</v>
      </c>
    </row>
    <row r="8" spans="1:2" x14ac:dyDescent="0.2">
      <c r="A8" s="117"/>
      <c r="B8" s="124" t="s">
        <v>265</v>
      </c>
    </row>
    <row r="9" spans="1:2" ht="38.25" x14ac:dyDescent="0.2">
      <c r="B9" s="116" t="s">
        <v>284</v>
      </c>
    </row>
    <row r="10" spans="1:2" x14ac:dyDescent="0.2">
      <c r="A10" s="120"/>
      <c r="B10" s="125" t="s">
        <v>268</v>
      </c>
    </row>
    <row r="11" spans="1:2" ht="25.5" x14ac:dyDescent="0.2">
      <c r="B11" s="116" t="s">
        <v>285</v>
      </c>
    </row>
    <row r="12" spans="1:2" x14ac:dyDescent="0.2">
      <c r="A12" s="126"/>
      <c r="B12" s="127" t="s">
        <v>270</v>
      </c>
    </row>
    <row r="13" spans="1:2" ht="51" x14ac:dyDescent="0.2">
      <c r="B13" s="116" t="s">
        <v>271</v>
      </c>
    </row>
    <row r="14" spans="1:2" x14ac:dyDescent="0.2">
      <c r="B14" s="133" t="s">
        <v>23</v>
      </c>
    </row>
    <row r="15" spans="1:2" s="128" customFormat="1" ht="25.5" x14ac:dyDescent="0.2">
      <c r="A15" s="135" t="s">
        <v>277</v>
      </c>
      <c r="B15" s="130" t="s">
        <v>273</v>
      </c>
    </row>
    <row r="16" spans="1:2" s="128" customFormat="1" ht="25.5" x14ac:dyDescent="0.2">
      <c r="A16" s="135" t="s">
        <v>278</v>
      </c>
      <c r="B16" s="130" t="s">
        <v>274</v>
      </c>
    </row>
    <row r="17" spans="1:2" s="128" customFormat="1" ht="25.5" x14ac:dyDescent="0.2">
      <c r="A17" s="135" t="s">
        <v>279</v>
      </c>
      <c r="B17" s="130" t="s">
        <v>272</v>
      </c>
    </row>
    <row r="18" spans="1:2" s="128" customFormat="1" ht="25.5" x14ac:dyDescent="0.2">
      <c r="A18" s="135" t="s">
        <v>280</v>
      </c>
      <c r="B18" s="130" t="s">
        <v>276</v>
      </c>
    </row>
    <row r="19" spans="1:2" s="128" customFormat="1" x14ac:dyDescent="0.2">
      <c r="A19" s="129"/>
      <c r="B19" s="134" t="s">
        <v>275</v>
      </c>
    </row>
    <row r="20" spans="1:2" s="128" customFormat="1" ht="38.25" x14ac:dyDescent="0.2">
      <c r="A20" s="129"/>
      <c r="B20" s="132" t="s">
        <v>286</v>
      </c>
    </row>
    <row r="21" spans="1:2" s="128" customFormat="1" x14ac:dyDescent="0.2">
      <c r="A21" s="129"/>
      <c r="B21" s="131"/>
    </row>
    <row r="22" spans="1:2" s="128" customFormat="1" x14ac:dyDescent="0.2">
      <c r="A22" s="129"/>
      <c r="B22" s="131"/>
    </row>
    <row r="23" spans="1:2" s="128" customFormat="1" x14ac:dyDescent="0.2">
      <c r="A23" s="129"/>
      <c r="B23" s="131"/>
    </row>
  </sheetData>
  <sheetProtection algorithmName="SHA-512" hashValue="iiBP6QVwcLV+IWvi74VjNmRILLQdagzF5mzs/mSAvcKgh/PKLwLiC+Dnv1NKn41yCYVIXsR0iUTQFvuo6+EXIQ==" saltValue="L3w2pwoxGuEWWbIfZE+aTw=="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CAAFF-AFB9-704C-B9D8-7CF8B7757097}">
  <sheetPr codeName="Blad8"/>
  <dimension ref="A1:I95"/>
  <sheetViews>
    <sheetView topLeftCell="A66" zoomScale="85" zoomScaleNormal="85" workbookViewId="0">
      <selection activeCell="D2" sqref="D2:E3"/>
    </sheetView>
  </sheetViews>
  <sheetFormatPr defaultColWidth="11" defaultRowHeight="15.75" x14ac:dyDescent="0.25"/>
  <cols>
    <col min="2" max="2" width="29.5" customWidth="1"/>
    <col min="4" max="4" width="28.625" customWidth="1"/>
    <col min="5" max="5" width="17.375" customWidth="1"/>
  </cols>
  <sheetData>
    <row r="1" spans="1:5" x14ac:dyDescent="0.25">
      <c r="A1" s="2" t="s">
        <v>131</v>
      </c>
      <c r="B1" s="2"/>
      <c r="C1" s="2"/>
      <c r="D1" s="2" t="s">
        <v>35</v>
      </c>
    </row>
    <row r="2" spans="1:5" x14ac:dyDescent="0.25">
      <c r="B2" s="2" t="s">
        <v>8</v>
      </c>
    </row>
    <row r="3" spans="1:5" x14ac:dyDescent="0.25">
      <c r="B3" s="1" t="s">
        <v>0</v>
      </c>
      <c r="C3" s="1" t="s">
        <v>3</v>
      </c>
      <c r="D3" s="1" t="s">
        <v>7</v>
      </c>
    </row>
    <row r="4" spans="1:5" x14ac:dyDescent="0.25">
      <c r="B4" t="s">
        <v>132</v>
      </c>
    </row>
    <row r="5" spans="1:5" x14ac:dyDescent="0.25">
      <c r="B5" t="s">
        <v>133</v>
      </c>
      <c r="D5" t="s">
        <v>134</v>
      </c>
    </row>
    <row r="6" spans="1:5" x14ac:dyDescent="0.25">
      <c r="D6" t="s">
        <v>125</v>
      </c>
    </row>
    <row r="7" spans="1:5" x14ac:dyDescent="0.25">
      <c r="D7" t="s">
        <v>126</v>
      </c>
    </row>
    <row r="8" spans="1:5" x14ac:dyDescent="0.25">
      <c r="D8" t="s">
        <v>127</v>
      </c>
    </row>
    <row r="9" spans="1:5" x14ac:dyDescent="0.25">
      <c r="D9" t="s">
        <v>128</v>
      </c>
    </row>
    <row r="10" spans="1:5" x14ac:dyDescent="0.25">
      <c r="D10" t="s">
        <v>158</v>
      </c>
    </row>
    <row r="11" spans="1:5" x14ac:dyDescent="0.25">
      <c r="D11" t="s">
        <v>129</v>
      </c>
    </row>
    <row r="12" spans="1:5" x14ac:dyDescent="0.25">
      <c r="B12" t="s">
        <v>136</v>
      </c>
      <c r="C12" t="s">
        <v>135</v>
      </c>
    </row>
    <row r="13" spans="1:5" x14ac:dyDescent="0.25">
      <c r="B13" t="s">
        <v>141</v>
      </c>
      <c r="C13" t="s">
        <v>137</v>
      </c>
    </row>
    <row r="14" spans="1:5" x14ac:dyDescent="0.25">
      <c r="B14" t="s">
        <v>140</v>
      </c>
      <c r="D14" t="s">
        <v>150</v>
      </c>
    </row>
    <row r="15" spans="1:5" x14ac:dyDescent="0.25">
      <c r="B15" s="5"/>
    </row>
    <row r="16" spans="1:5" x14ac:dyDescent="0.25">
      <c r="B16" s="5" t="s">
        <v>36</v>
      </c>
      <c r="D16" t="s">
        <v>156</v>
      </c>
      <c r="E16" t="s">
        <v>155</v>
      </c>
    </row>
    <row r="17" spans="2:6" x14ac:dyDescent="0.25">
      <c r="B17" s="5"/>
      <c r="E17" t="s">
        <v>154</v>
      </c>
    </row>
    <row r="18" spans="2:6" x14ac:dyDescent="0.25">
      <c r="E18" t="s">
        <v>148</v>
      </c>
    </row>
    <row r="19" spans="2:6" x14ac:dyDescent="0.25">
      <c r="B19" s="5"/>
      <c r="E19" t="s">
        <v>149</v>
      </c>
    </row>
    <row r="20" spans="2:6" x14ac:dyDescent="0.25">
      <c r="B20" s="5"/>
    </row>
    <row r="21" spans="2:6" x14ac:dyDescent="0.25">
      <c r="B21" s="5" t="s">
        <v>37</v>
      </c>
      <c r="D21" t="s">
        <v>49</v>
      </c>
      <c r="E21" t="s">
        <v>50</v>
      </c>
    </row>
    <row r="22" spans="2:6" x14ac:dyDescent="0.25">
      <c r="B22" s="5"/>
      <c r="E22" t="s">
        <v>51</v>
      </c>
    </row>
    <row r="23" spans="2:6" x14ac:dyDescent="0.25">
      <c r="B23" s="5"/>
      <c r="E23" t="s">
        <v>52</v>
      </c>
    </row>
    <row r="24" spans="2:6" x14ac:dyDescent="0.25">
      <c r="B24" s="5"/>
      <c r="E24" t="s">
        <v>53</v>
      </c>
      <c r="F24" t="s">
        <v>66</v>
      </c>
    </row>
    <row r="25" spans="2:6" x14ac:dyDescent="0.25">
      <c r="B25" s="5"/>
      <c r="E25" t="s">
        <v>54</v>
      </c>
    </row>
    <row r="26" spans="2:6" x14ac:dyDescent="0.25">
      <c r="B26" s="5"/>
      <c r="E26" t="s">
        <v>55</v>
      </c>
    </row>
    <row r="27" spans="2:6" x14ac:dyDescent="0.25">
      <c r="B27" s="5"/>
      <c r="E27" t="s">
        <v>56</v>
      </c>
    </row>
    <row r="28" spans="2:6" x14ac:dyDescent="0.25">
      <c r="B28" s="5"/>
      <c r="E28" t="s">
        <v>57</v>
      </c>
    </row>
    <row r="29" spans="2:6" x14ac:dyDescent="0.25">
      <c r="B29" s="5"/>
      <c r="E29" t="s">
        <v>58</v>
      </c>
    </row>
    <row r="30" spans="2:6" x14ac:dyDescent="0.25">
      <c r="B30" s="5"/>
      <c r="E30" t="s">
        <v>59</v>
      </c>
    </row>
    <row r="31" spans="2:6" x14ac:dyDescent="0.25">
      <c r="B31" s="5"/>
      <c r="E31" t="s">
        <v>60</v>
      </c>
    </row>
    <row r="32" spans="2:6" x14ac:dyDescent="0.25">
      <c r="B32" s="5"/>
      <c r="E32" t="s">
        <v>61</v>
      </c>
    </row>
    <row r="33" spans="1:7" x14ac:dyDescent="0.25">
      <c r="B33" s="5"/>
      <c r="E33" t="s">
        <v>62</v>
      </c>
    </row>
    <row r="34" spans="1:7" x14ac:dyDescent="0.25">
      <c r="B34" s="5"/>
      <c r="E34" t="s">
        <v>63</v>
      </c>
    </row>
    <row r="35" spans="1:7" x14ac:dyDescent="0.25">
      <c r="B35" s="5"/>
      <c r="E35" t="s">
        <v>64</v>
      </c>
    </row>
    <row r="36" spans="1:7" x14ac:dyDescent="0.25">
      <c r="B36" s="5"/>
      <c r="E36" t="s">
        <v>65</v>
      </c>
    </row>
    <row r="37" spans="1:7" x14ac:dyDescent="0.25">
      <c r="B37" s="5"/>
    </row>
    <row r="38" spans="1:7" x14ac:dyDescent="0.25">
      <c r="A38" t="s">
        <v>67</v>
      </c>
      <c r="B38" s="5" t="s">
        <v>38</v>
      </c>
    </row>
    <row r="39" spans="1:7" x14ac:dyDescent="0.25">
      <c r="A39" t="s">
        <v>67</v>
      </c>
      <c r="B39" s="5" t="s">
        <v>68</v>
      </c>
    </row>
    <row r="40" spans="1:7" x14ac:dyDescent="0.25">
      <c r="B40" s="5"/>
    </row>
    <row r="41" spans="1:7" x14ac:dyDescent="0.25">
      <c r="B41" s="5"/>
    </row>
    <row r="44" spans="1:7" x14ac:dyDescent="0.25">
      <c r="B44" s="2" t="s">
        <v>151</v>
      </c>
    </row>
    <row r="46" spans="1:7" x14ac:dyDescent="0.25">
      <c r="A46" s="2" t="s">
        <v>26</v>
      </c>
      <c r="B46" s="2" t="s">
        <v>138</v>
      </c>
    </row>
    <row r="47" spans="1:7" x14ac:dyDescent="0.25">
      <c r="B47" t="s">
        <v>139</v>
      </c>
      <c r="C47" t="s">
        <v>142</v>
      </c>
      <c r="G47" t="s">
        <v>23</v>
      </c>
    </row>
    <row r="48" spans="1:7" x14ac:dyDescent="0.25">
      <c r="B48" t="s">
        <v>143</v>
      </c>
      <c r="C48" t="s">
        <v>144</v>
      </c>
    </row>
    <row r="49" spans="1:9" x14ac:dyDescent="0.25">
      <c r="E49" t="s">
        <v>145</v>
      </c>
    </row>
    <row r="50" spans="1:9" x14ac:dyDescent="0.25">
      <c r="D50" t="s">
        <v>125</v>
      </c>
      <c r="E50">
        <v>9.4</v>
      </c>
      <c r="F50" t="s">
        <v>146</v>
      </c>
      <c r="G50" t="s">
        <v>19</v>
      </c>
      <c r="H50" t="s">
        <v>21</v>
      </c>
      <c r="I50" t="s">
        <v>147</v>
      </c>
    </row>
    <row r="51" spans="1:9" x14ac:dyDescent="0.25">
      <c r="D51" t="s">
        <v>126</v>
      </c>
      <c r="E51">
        <v>4</v>
      </c>
      <c r="F51" t="s">
        <v>146</v>
      </c>
      <c r="G51" t="s">
        <v>19</v>
      </c>
      <c r="H51" t="s">
        <v>21</v>
      </c>
      <c r="I51" t="s">
        <v>147</v>
      </c>
    </row>
    <row r="52" spans="1:9" x14ac:dyDescent="0.25">
      <c r="D52" t="s">
        <v>127</v>
      </c>
      <c r="E52">
        <v>2.8</v>
      </c>
      <c r="F52" t="s">
        <v>146</v>
      </c>
      <c r="G52" t="s">
        <v>19</v>
      </c>
      <c r="H52" t="s">
        <v>21</v>
      </c>
      <c r="I52" t="s">
        <v>147</v>
      </c>
    </row>
    <row r="53" spans="1:9" x14ac:dyDescent="0.25">
      <c r="D53" t="s">
        <v>128</v>
      </c>
      <c r="E53">
        <v>1.1000000000000001</v>
      </c>
      <c r="F53" t="s">
        <v>146</v>
      </c>
      <c r="G53" t="s">
        <v>19</v>
      </c>
      <c r="H53" t="s">
        <v>21</v>
      </c>
      <c r="I53" t="s">
        <v>147</v>
      </c>
    </row>
    <row r="54" spans="1:9" x14ac:dyDescent="0.25">
      <c r="D54" t="s">
        <v>158</v>
      </c>
      <c r="E54">
        <v>1</v>
      </c>
      <c r="F54" t="s">
        <v>146</v>
      </c>
      <c r="G54" t="s">
        <v>19</v>
      </c>
      <c r="H54" t="s">
        <v>21</v>
      </c>
      <c r="I54" t="s">
        <v>147</v>
      </c>
    </row>
    <row r="55" spans="1:9" x14ac:dyDescent="0.25">
      <c r="C55" s="3"/>
      <c r="D55" t="s">
        <v>129</v>
      </c>
      <c r="E55">
        <v>0.9</v>
      </c>
      <c r="F55" t="s">
        <v>146</v>
      </c>
      <c r="G55" t="s">
        <v>19</v>
      </c>
      <c r="H55" t="s">
        <v>21</v>
      </c>
      <c r="I55" t="s">
        <v>147</v>
      </c>
    </row>
    <row r="57" spans="1:9" x14ac:dyDescent="0.25">
      <c r="C57" s="4"/>
    </row>
    <row r="59" spans="1:9" x14ac:dyDescent="0.25">
      <c r="A59" s="2"/>
    </row>
    <row r="61" spans="1:9" x14ac:dyDescent="0.25">
      <c r="A61" s="2" t="s">
        <v>34</v>
      </c>
      <c r="B61" s="2" t="s">
        <v>69</v>
      </c>
    </row>
    <row r="62" spans="1:9" x14ac:dyDescent="0.25">
      <c r="B62" t="s">
        <v>100</v>
      </c>
      <c r="C62" t="s">
        <v>101</v>
      </c>
    </row>
    <row r="63" spans="1:9" x14ac:dyDescent="0.25">
      <c r="B63" t="s">
        <v>28</v>
      </c>
      <c r="C63" t="s">
        <v>29</v>
      </c>
    </row>
    <row r="64" spans="1:9" x14ac:dyDescent="0.25">
      <c r="B64" t="s">
        <v>18</v>
      </c>
      <c r="C64">
        <v>42.8</v>
      </c>
      <c r="D64" t="s">
        <v>30</v>
      </c>
      <c r="G64" t="s">
        <v>19</v>
      </c>
      <c r="H64" t="s">
        <v>21</v>
      </c>
      <c r="I64" t="s">
        <v>22</v>
      </c>
    </row>
    <row r="65" spans="1:9" x14ac:dyDescent="0.25">
      <c r="B65" t="s">
        <v>31</v>
      </c>
      <c r="C65">
        <v>0.84</v>
      </c>
      <c r="D65" t="s">
        <v>32</v>
      </c>
      <c r="G65" t="s">
        <v>19</v>
      </c>
      <c r="H65" t="s">
        <v>21</v>
      </c>
      <c r="I65" t="s">
        <v>22</v>
      </c>
    </row>
    <row r="66" spans="1:9" x14ac:dyDescent="0.25">
      <c r="B66" t="s">
        <v>33</v>
      </c>
      <c r="C66">
        <v>3.262</v>
      </c>
      <c r="D66" t="s">
        <v>9</v>
      </c>
      <c r="G66" t="s">
        <v>19</v>
      </c>
      <c r="H66" t="s">
        <v>21</v>
      </c>
      <c r="I66" t="s">
        <v>22</v>
      </c>
    </row>
    <row r="70" spans="1:9" x14ac:dyDescent="0.25">
      <c r="A70" s="2" t="s">
        <v>85</v>
      </c>
      <c r="B70" s="2" t="s">
        <v>83</v>
      </c>
    </row>
    <row r="71" spans="1:9" x14ac:dyDescent="0.25">
      <c r="B71" t="s">
        <v>97</v>
      </c>
      <c r="C71" t="s">
        <v>152</v>
      </c>
    </row>
    <row r="72" spans="1:9" x14ac:dyDescent="0.25">
      <c r="B72" t="s">
        <v>28</v>
      </c>
      <c r="C72" t="s">
        <v>29</v>
      </c>
    </row>
    <row r="73" spans="1:9" x14ac:dyDescent="0.25">
      <c r="B73" t="s">
        <v>98</v>
      </c>
      <c r="C73" t="s">
        <v>130</v>
      </c>
      <c r="E73" t="s">
        <v>87</v>
      </c>
      <c r="G73" t="s">
        <v>19</v>
      </c>
      <c r="H73" t="s">
        <v>21</v>
      </c>
    </row>
    <row r="74" spans="1:9" x14ac:dyDescent="0.25">
      <c r="B74" t="s">
        <v>93</v>
      </c>
      <c r="C74" s="4">
        <v>0.8</v>
      </c>
      <c r="D74" t="s">
        <v>95</v>
      </c>
    </row>
    <row r="75" spans="1:9" x14ac:dyDescent="0.25">
      <c r="C75" s="4"/>
    </row>
    <row r="77" spans="1:9" x14ac:dyDescent="0.25">
      <c r="A77" s="2" t="s">
        <v>86</v>
      </c>
      <c r="B77" s="2" t="s">
        <v>73</v>
      </c>
    </row>
    <row r="78" spans="1:9" x14ac:dyDescent="0.25">
      <c r="B78" t="s">
        <v>88</v>
      </c>
      <c r="C78" t="s">
        <v>153</v>
      </c>
    </row>
    <row r="79" spans="1:9" x14ac:dyDescent="0.25">
      <c r="D79" t="s">
        <v>90</v>
      </c>
    </row>
    <row r="80" spans="1:9" x14ac:dyDescent="0.25">
      <c r="B80" t="s">
        <v>157</v>
      </c>
      <c r="C80" t="s">
        <v>155</v>
      </c>
      <c r="D80">
        <v>2</v>
      </c>
      <c r="F80" t="s">
        <v>96</v>
      </c>
    </row>
    <row r="81" spans="1:6" x14ac:dyDescent="0.25">
      <c r="C81" t="s">
        <v>154</v>
      </c>
      <c r="D81">
        <v>1.5</v>
      </c>
      <c r="F81" t="s">
        <v>96</v>
      </c>
    </row>
    <row r="82" spans="1:6" x14ac:dyDescent="0.25">
      <c r="C82" t="s">
        <v>148</v>
      </c>
      <c r="D82">
        <v>1.25</v>
      </c>
      <c r="F82" t="s">
        <v>96</v>
      </c>
    </row>
    <row r="83" spans="1:6" x14ac:dyDescent="0.25">
      <c r="C83" t="s">
        <v>149</v>
      </c>
      <c r="D83">
        <v>1</v>
      </c>
      <c r="F83" t="s">
        <v>96</v>
      </c>
    </row>
    <row r="87" spans="1:6" x14ac:dyDescent="0.25">
      <c r="A87" s="2" t="s">
        <v>71</v>
      </c>
      <c r="B87" s="2" t="s">
        <v>74</v>
      </c>
    </row>
    <row r="88" spans="1:6" x14ac:dyDescent="0.25">
      <c r="A88" s="2"/>
      <c r="B88" s="6" t="s">
        <v>81</v>
      </c>
      <c r="C88" t="s">
        <v>70</v>
      </c>
    </row>
    <row r="89" spans="1:6" x14ac:dyDescent="0.25">
      <c r="B89" t="s">
        <v>82</v>
      </c>
      <c r="C89" t="s">
        <v>84</v>
      </c>
    </row>
    <row r="90" spans="1:6" x14ac:dyDescent="0.25">
      <c r="B90" s="6" t="s">
        <v>80</v>
      </c>
      <c r="C90" t="s">
        <v>70</v>
      </c>
    </row>
    <row r="91" spans="1:6" x14ac:dyDescent="0.25">
      <c r="A91" s="2"/>
      <c r="B91" t="s">
        <v>77</v>
      </c>
      <c r="C91" t="s">
        <v>75</v>
      </c>
    </row>
    <row r="92" spans="1:6" x14ac:dyDescent="0.25">
      <c r="A92" s="2"/>
    </row>
    <row r="94" spans="1:6" x14ac:dyDescent="0.25">
      <c r="A94" s="2" t="s">
        <v>72</v>
      </c>
      <c r="B94" s="2" t="s">
        <v>76</v>
      </c>
    </row>
    <row r="95" spans="1:6" x14ac:dyDescent="0.25">
      <c r="B95" t="s">
        <v>78</v>
      </c>
      <c r="C95"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B243A-94E8-4C1E-BB29-D44975AF398F}">
  <sheetPr codeName="Blad23">
    <tabColor theme="7" tint="0.39997558519241921"/>
    <pageSetUpPr fitToPage="1"/>
  </sheetPr>
  <dimension ref="A1:O31"/>
  <sheetViews>
    <sheetView showGridLines="0" tabSelected="1" zoomScaleNormal="100" workbookViewId="0">
      <selection activeCell="B2" sqref="B2:C2"/>
    </sheetView>
  </sheetViews>
  <sheetFormatPr defaultColWidth="11" defaultRowHeight="15.75" x14ac:dyDescent="0.25"/>
  <cols>
    <col min="1" max="1" width="28.625" style="52" customWidth="1"/>
    <col min="2" max="9" width="12.625" style="52" customWidth="1"/>
    <col min="10" max="10" width="20.625" style="52" customWidth="1"/>
    <col min="11" max="14" width="11" style="151"/>
    <col min="15" max="15" width="36.375" style="52" customWidth="1"/>
    <col min="16" max="16" width="17.125" style="52" customWidth="1"/>
    <col min="17" max="16384" width="11" style="52"/>
  </cols>
  <sheetData>
    <row r="1" spans="1:14" ht="15.75" customHeight="1" x14ac:dyDescent="0.2">
      <c r="A1" s="53"/>
      <c r="B1" s="53"/>
      <c r="D1" s="53"/>
      <c r="E1" s="53"/>
      <c r="F1" s="53"/>
      <c r="G1" s="53"/>
      <c r="H1" s="53"/>
      <c r="I1" s="53"/>
      <c r="J1" s="53"/>
      <c r="K1" s="52"/>
      <c r="L1" s="52"/>
      <c r="M1" s="52"/>
      <c r="N1" s="52"/>
    </row>
    <row r="2" spans="1:14" ht="15.75" customHeight="1" thickBot="1" x14ac:dyDescent="0.25">
      <c r="A2" s="152" t="s">
        <v>189</v>
      </c>
      <c r="B2" s="169"/>
      <c r="C2" s="170"/>
      <c r="E2" s="53" t="s">
        <v>257</v>
      </c>
      <c r="K2" s="52"/>
      <c r="L2" s="52"/>
      <c r="M2" s="52"/>
      <c r="N2" s="52"/>
    </row>
    <row r="3" spans="1:14" ht="15.75" customHeight="1" thickTop="1" thickBot="1" x14ac:dyDescent="0.25">
      <c r="A3" s="153" t="s">
        <v>190</v>
      </c>
      <c r="B3" s="171"/>
      <c r="C3" s="172"/>
      <c r="E3" s="53" t="s">
        <v>287</v>
      </c>
      <c r="K3" s="52"/>
      <c r="L3" s="52"/>
      <c r="M3" s="52"/>
      <c r="N3" s="52"/>
    </row>
    <row r="4" spans="1:14" ht="15.75" customHeight="1" thickTop="1" x14ac:dyDescent="0.2">
      <c r="K4" s="52"/>
      <c r="L4" s="52"/>
      <c r="M4" s="52"/>
      <c r="N4" s="52"/>
    </row>
    <row r="5" spans="1:14" ht="60" customHeight="1" x14ac:dyDescent="0.2">
      <c r="A5" s="59" t="s">
        <v>221</v>
      </c>
      <c r="B5" s="60" t="s">
        <v>225</v>
      </c>
      <c r="C5" s="84" t="s">
        <v>219</v>
      </c>
      <c r="D5" s="96" t="s">
        <v>228</v>
      </c>
      <c r="E5" s="96" t="s">
        <v>233</v>
      </c>
      <c r="F5" s="96" t="s">
        <v>232</v>
      </c>
      <c r="G5" s="96" t="s">
        <v>231</v>
      </c>
      <c r="H5" s="96" t="s">
        <v>230</v>
      </c>
      <c r="I5" s="96" t="s">
        <v>229</v>
      </c>
      <c r="J5" s="60" t="s">
        <v>234</v>
      </c>
      <c r="K5" s="63"/>
      <c r="L5" s="52"/>
      <c r="M5" s="52"/>
      <c r="N5" s="52"/>
    </row>
    <row r="6" spans="1:14" ht="15.75" customHeight="1" x14ac:dyDescent="0.2">
      <c r="A6" s="137" t="s">
        <v>198</v>
      </c>
      <c r="B6" s="136">
        <v>5122</v>
      </c>
      <c r="C6" s="83">
        <v>25.8</v>
      </c>
      <c r="D6" s="81"/>
      <c r="E6" s="81"/>
      <c r="F6" s="81"/>
      <c r="G6" s="81"/>
      <c r="H6" s="81"/>
      <c r="I6" s="81"/>
      <c r="J6" s="87">
        <f>SUM(TblReferentiescoreT132151617418419[[#This Row],[Transport-
kosten*
jaar 1
'[€/ton']]:[Transport-
kosten*
jaar 6
'[€/ton']]])*TblReferentiescoreT132151617418419[[#This Row],[Gemiddeld
volume 
per jaar
'[ton']]]</f>
        <v>0</v>
      </c>
      <c r="K6" s="52"/>
      <c r="L6" s="52"/>
      <c r="M6" s="52"/>
      <c r="N6" s="52"/>
    </row>
    <row r="7" spans="1:14" ht="15.75" customHeight="1" x14ac:dyDescent="0.2">
      <c r="A7" s="137" t="s">
        <v>199</v>
      </c>
      <c r="B7" s="136">
        <v>5104</v>
      </c>
      <c r="C7" s="83">
        <v>20</v>
      </c>
      <c r="D7" s="81"/>
      <c r="E7" s="81"/>
      <c r="F7" s="81"/>
      <c r="G7" s="81"/>
      <c r="H7" s="81"/>
      <c r="I7" s="81"/>
      <c r="J7" s="87">
        <f>SUM(TblReferentiescoreT132151617418419[[#This Row],[Transport-
kosten*
jaar 1
'[€/ton']]:[Transport-
kosten*
jaar 6
'[€/ton']]])*TblReferentiescoreT132151617418419[[#This Row],[Gemiddeld
volume 
per jaar
'[ton']]]</f>
        <v>0</v>
      </c>
      <c r="K7" s="52"/>
      <c r="L7" s="52"/>
      <c r="M7" s="52"/>
      <c r="N7" s="52"/>
    </row>
    <row r="8" spans="1:14" ht="15.75" customHeight="1" x14ac:dyDescent="0.2">
      <c r="A8" s="137" t="s">
        <v>200</v>
      </c>
      <c r="B8" s="136">
        <v>22364</v>
      </c>
      <c r="C8" s="83">
        <v>16.899999999999999</v>
      </c>
      <c r="D8" s="81"/>
      <c r="E8" s="81"/>
      <c r="F8" s="81"/>
      <c r="G8" s="81"/>
      <c r="H8" s="81"/>
      <c r="I8" s="81"/>
      <c r="J8" s="87">
        <f>SUM(TblReferentiescoreT132151617418419[[#This Row],[Transport-
kosten*
jaar 1
'[€/ton']]:[Transport-
kosten*
jaar 6
'[€/ton']]])*TblReferentiescoreT132151617418419[[#This Row],[Gemiddeld
volume 
per jaar
'[ton']]]</f>
        <v>0</v>
      </c>
      <c r="K8" s="52"/>
      <c r="L8" s="52"/>
      <c r="M8" s="52"/>
      <c r="N8" s="52"/>
    </row>
    <row r="9" spans="1:14" ht="15.75" customHeight="1" x14ac:dyDescent="0.2">
      <c r="A9" s="137" t="s">
        <v>201</v>
      </c>
      <c r="B9" s="136">
        <v>8265</v>
      </c>
      <c r="C9" s="83">
        <v>28.4</v>
      </c>
      <c r="D9" s="81"/>
      <c r="E9" s="81"/>
      <c r="F9" s="81"/>
      <c r="G9" s="81"/>
      <c r="H9" s="81"/>
      <c r="I9" s="81"/>
      <c r="J9" s="87">
        <f>SUM(TblReferentiescoreT132151617418419[[#This Row],[Transport-
kosten*
jaar 1
'[€/ton']]:[Transport-
kosten*
jaar 6
'[€/ton']]])*TblReferentiescoreT132151617418419[[#This Row],[Gemiddeld
volume 
per jaar
'[ton']]]</f>
        <v>0</v>
      </c>
      <c r="K9" s="52"/>
      <c r="L9" s="52"/>
      <c r="M9" s="52"/>
      <c r="N9" s="52"/>
    </row>
    <row r="10" spans="1:14" ht="15.75" customHeight="1" x14ac:dyDescent="0.2">
      <c r="A10" s="137" t="s">
        <v>202</v>
      </c>
      <c r="B10" s="136">
        <v>4548</v>
      </c>
      <c r="C10" s="83">
        <v>8.4</v>
      </c>
      <c r="D10" s="81"/>
      <c r="E10" s="81"/>
      <c r="F10" s="81"/>
      <c r="G10" s="81"/>
      <c r="H10" s="81"/>
      <c r="I10" s="81"/>
      <c r="J10" s="87">
        <f>SUM(TblReferentiescoreT132151617418419[[#This Row],[Transport-
kosten*
jaar 1
'[€/ton']]:[Transport-
kosten*
jaar 6
'[€/ton']]])*TblReferentiescoreT132151617418419[[#This Row],[Gemiddeld
volume 
per jaar
'[ton']]]</f>
        <v>0</v>
      </c>
      <c r="K10" s="52"/>
      <c r="L10" s="52"/>
      <c r="M10" s="52"/>
      <c r="N10" s="52"/>
    </row>
    <row r="11" spans="1:14" ht="15.75" customHeight="1" x14ac:dyDescent="0.2">
      <c r="A11" s="137" t="s">
        <v>203</v>
      </c>
      <c r="B11" s="136">
        <v>18525</v>
      </c>
      <c r="C11" s="83">
        <v>18.399999999999999</v>
      </c>
      <c r="D11" s="81"/>
      <c r="E11" s="81"/>
      <c r="F11" s="81"/>
      <c r="G11" s="81"/>
      <c r="H11" s="81"/>
      <c r="I11" s="81"/>
      <c r="J11" s="87">
        <f>SUM(TblReferentiescoreT132151617418419[[#This Row],[Transport-
kosten*
jaar 1
'[€/ton']]:[Transport-
kosten*
jaar 6
'[€/ton']]])*TblReferentiescoreT132151617418419[[#This Row],[Gemiddeld
volume 
per jaar
'[ton']]]</f>
        <v>0</v>
      </c>
      <c r="K11" s="52"/>
      <c r="L11" s="52"/>
      <c r="M11" s="52"/>
      <c r="N11" s="52"/>
    </row>
    <row r="12" spans="1:14" ht="15.75" customHeight="1" x14ac:dyDescent="0.2">
      <c r="A12" s="137" t="s">
        <v>204</v>
      </c>
      <c r="B12" s="136">
        <v>17352</v>
      </c>
      <c r="C12" s="83">
        <v>31</v>
      </c>
      <c r="D12" s="81"/>
      <c r="E12" s="81"/>
      <c r="F12" s="81"/>
      <c r="G12" s="81"/>
      <c r="H12" s="81"/>
      <c r="I12" s="81"/>
      <c r="J12" s="87">
        <f>SUM(TblReferentiescoreT132151617418419[[#This Row],[Transport-
kosten*
jaar 1
'[€/ton']]:[Transport-
kosten*
jaar 6
'[€/ton']]])*TblReferentiescoreT132151617418419[[#This Row],[Gemiddeld
volume 
per jaar
'[ton']]]</f>
        <v>0</v>
      </c>
      <c r="K12" s="52"/>
      <c r="L12" s="52"/>
      <c r="M12" s="52"/>
      <c r="N12" s="52"/>
    </row>
    <row r="13" spans="1:14" ht="15.75" customHeight="1" x14ac:dyDescent="0.2">
      <c r="A13" s="137" t="s">
        <v>205</v>
      </c>
      <c r="B13" s="136">
        <v>4125</v>
      </c>
      <c r="C13" s="83">
        <v>17.2</v>
      </c>
      <c r="D13" s="81"/>
      <c r="E13" s="81"/>
      <c r="F13" s="81"/>
      <c r="G13" s="81"/>
      <c r="H13" s="81"/>
      <c r="I13" s="81"/>
      <c r="J13" s="87">
        <f>SUM(TblReferentiescoreT132151617418419[[#This Row],[Transport-
kosten*
jaar 1
'[€/ton']]:[Transport-
kosten*
jaar 6
'[€/ton']]])*TblReferentiescoreT132151617418419[[#This Row],[Gemiddeld
volume 
per jaar
'[ton']]]</f>
        <v>0</v>
      </c>
      <c r="K13" s="52"/>
      <c r="L13" s="52"/>
      <c r="M13" s="52"/>
      <c r="N13" s="52"/>
    </row>
    <row r="14" spans="1:14" ht="15.75" customHeight="1" x14ac:dyDescent="0.2">
      <c r="A14" s="137" t="s">
        <v>206</v>
      </c>
      <c r="B14" s="136">
        <v>1548</v>
      </c>
      <c r="C14" s="83">
        <v>29.8</v>
      </c>
      <c r="D14" s="81"/>
      <c r="E14" s="81"/>
      <c r="F14" s="81"/>
      <c r="G14" s="81"/>
      <c r="H14" s="81"/>
      <c r="I14" s="81"/>
      <c r="J14" s="87">
        <f>SUM(TblReferentiescoreT132151617418419[[#This Row],[Transport-
kosten*
jaar 1
'[€/ton']]:[Transport-
kosten*
jaar 6
'[€/ton']]])*TblReferentiescoreT132151617418419[[#This Row],[Gemiddeld
volume 
per jaar
'[ton']]]</f>
        <v>0</v>
      </c>
      <c r="K14" s="52"/>
      <c r="L14" s="52"/>
      <c r="M14" s="52"/>
      <c r="N14" s="52"/>
    </row>
    <row r="15" spans="1:14" ht="15.75" customHeight="1" x14ac:dyDescent="0.2">
      <c r="A15" s="137" t="s">
        <v>207</v>
      </c>
      <c r="B15" s="136">
        <v>2595</v>
      </c>
      <c r="C15" s="83">
        <v>17.2</v>
      </c>
      <c r="D15" s="81"/>
      <c r="E15" s="81"/>
      <c r="F15" s="81"/>
      <c r="G15" s="81"/>
      <c r="H15" s="81"/>
      <c r="I15" s="81"/>
      <c r="J15" s="87">
        <f>SUM(TblReferentiescoreT132151617418419[[#This Row],[Transport-
kosten*
jaar 1
'[€/ton']]:[Transport-
kosten*
jaar 6
'[€/ton']]])*TblReferentiescoreT132151617418419[[#This Row],[Gemiddeld
volume 
per jaar
'[ton']]]</f>
        <v>0</v>
      </c>
      <c r="K15" s="52"/>
      <c r="L15" s="52"/>
      <c r="M15" s="52"/>
      <c r="N15" s="52"/>
    </row>
    <row r="16" spans="1:14" ht="15.75" customHeight="1" x14ac:dyDescent="0.2">
      <c r="A16" s="137" t="s">
        <v>208</v>
      </c>
      <c r="B16" s="136">
        <v>3770</v>
      </c>
      <c r="C16" s="83">
        <v>33</v>
      </c>
      <c r="D16" s="81"/>
      <c r="E16" s="81"/>
      <c r="F16" s="81"/>
      <c r="G16" s="81"/>
      <c r="H16" s="81"/>
      <c r="I16" s="81"/>
      <c r="J16" s="87">
        <f>SUM(TblReferentiescoreT132151617418419[[#This Row],[Transport-
kosten*
jaar 1
'[€/ton']]:[Transport-
kosten*
jaar 6
'[€/ton']]])*TblReferentiescoreT132151617418419[[#This Row],[Gemiddeld
volume 
per jaar
'[ton']]]</f>
        <v>0</v>
      </c>
      <c r="K16" s="52"/>
      <c r="L16" s="52"/>
      <c r="M16" s="52"/>
      <c r="N16" s="52"/>
    </row>
    <row r="17" spans="1:15" ht="15.75" customHeight="1" x14ac:dyDescent="0.2">
      <c r="A17" s="137" t="s">
        <v>209</v>
      </c>
      <c r="B17" s="136">
        <v>210</v>
      </c>
      <c r="C17" s="83">
        <v>39</v>
      </c>
      <c r="D17" s="81"/>
      <c r="E17" s="81"/>
      <c r="F17" s="81"/>
      <c r="G17" s="81"/>
      <c r="H17" s="81"/>
      <c r="I17" s="81"/>
      <c r="J17" s="87">
        <f>SUM(TblReferentiescoreT132151617418419[[#This Row],[Transport-
kosten*
jaar 1
'[€/ton']]:[Transport-
kosten*
jaar 6
'[€/ton']]])*TblReferentiescoreT132151617418419[[#This Row],[Gemiddeld
volume 
per jaar
'[ton']]]</f>
        <v>0</v>
      </c>
      <c r="K17" s="52"/>
      <c r="L17" s="52"/>
      <c r="M17" s="52"/>
      <c r="N17" s="52"/>
    </row>
    <row r="18" spans="1:15" ht="15.75" customHeight="1" x14ac:dyDescent="0.2">
      <c r="A18" s="137" t="s">
        <v>210</v>
      </c>
      <c r="B18" s="136">
        <v>3420</v>
      </c>
      <c r="C18" s="83">
        <v>46.3</v>
      </c>
      <c r="D18" s="81"/>
      <c r="E18" s="81"/>
      <c r="F18" s="81"/>
      <c r="G18" s="81"/>
      <c r="H18" s="81"/>
      <c r="I18" s="81"/>
      <c r="J18" s="87">
        <f>SUM(TblReferentiescoreT132151617418419[[#This Row],[Transport-
kosten*
jaar 1
'[€/ton']]:[Transport-
kosten*
jaar 6
'[€/ton']]])*TblReferentiescoreT132151617418419[[#This Row],[Gemiddeld
volume 
per jaar
'[ton']]]</f>
        <v>0</v>
      </c>
      <c r="K18" s="52"/>
      <c r="L18" s="52"/>
      <c r="M18" s="52"/>
      <c r="N18" s="52"/>
    </row>
    <row r="19" spans="1:15" ht="15.75" customHeight="1" x14ac:dyDescent="0.2">
      <c r="A19" s="137" t="s">
        <v>211</v>
      </c>
      <c r="B19" s="136">
        <v>2106</v>
      </c>
      <c r="C19" s="83">
        <v>18.3</v>
      </c>
      <c r="D19" s="81"/>
      <c r="E19" s="81"/>
      <c r="F19" s="81"/>
      <c r="G19" s="81"/>
      <c r="H19" s="81"/>
      <c r="I19" s="81"/>
      <c r="J19" s="87">
        <f>SUM(TblReferentiescoreT132151617418419[[#This Row],[Transport-
kosten*
jaar 1
'[€/ton']]:[Transport-
kosten*
jaar 6
'[€/ton']]])*TblReferentiescoreT132151617418419[[#This Row],[Gemiddeld
volume 
per jaar
'[ton']]]</f>
        <v>0</v>
      </c>
      <c r="K19" s="52"/>
      <c r="L19" s="52"/>
      <c r="M19" s="52"/>
      <c r="N19" s="52"/>
    </row>
    <row r="20" spans="1:15" ht="15.75" customHeight="1" x14ac:dyDescent="0.2">
      <c r="A20" s="137" t="s">
        <v>212</v>
      </c>
      <c r="B20" s="136">
        <v>5072</v>
      </c>
      <c r="C20" s="83">
        <v>27.5</v>
      </c>
      <c r="D20" s="81"/>
      <c r="E20" s="81"/>
      <c r="F20" s="81"/>
      <c r="G20" s="81"/>
      <c r="H20" s="81"/>
      <c r="I20" s="81"/>
      <c r="J20" s="87">
        <f>SUM(TblReferentiescoreT132151617418419[[#This Row],[Transport-
kosten*
jaar 1
'[€/ton']]:[Transport-
kosten*
jaar 6
'[€/ton']]])*TblReferentiescoreT132151617418419[[#This Row],[Gemiddeld
volume 
per jaar
'[ton']]]</f>
        <v>0</v>
      </c>
      <c r="K20" s="52"/>
      <c r="L20" s="52"/>
      <c r="M20" s="52"/>
      <c r="N20" s="52"/>
    </row>
    <row r="21" spans="1:15" ht="15.75" customHeight="1" x14ac:dyDescent="0.2">
      <c r="A21" s="137" t="s">
        <v>213</v>
      </c>
      <c r="B21" s="136">
        <v>1689</v>
      </c>
      <c r="C21" s="83">
        <v>36.299999999999997</v>
      </c>
      <c r="D21" s="81"/>
      <c r="E21" s="81"/>
      <c r="F21" s="81"/>
      <c r="G21" s="81"/>
      <c r="H21" s="81"/>
      <c r="I21" s="81"/>
      <c r="J21" s="87">
        <f>SUM(TblReferentiescoreT132151617418419[[#This Row],[Transport-
kosten*
jaar 1
'[€/ton']]:[Transport-
kosten*
jaar 6
'[€/ton']]])*TblReferentiescoreT132151617418419[[#This Row],[Gemiddeld
volume 
per jaar
'[ton']]]</f>
        <v>0</v>
      </c>
      <c r="K21" s="52"/>
      <c r="L21" s="52"/>
      <c r="M21" s="52"/>
      <c r="N21" s="52"/>
    </row>
    <row r="22" spans="1:15" ht="15.75" customHeight="1" x14ac:dyDescent="0.2">
      <c r="A22" s="137" t="s">
        <v>214</v>
      </c>
      <c r="B22" s="136">
        <v>4509</v>
      </c>
      <c r="C22" s="83">
        <v>25.3</v>
      </c>
      <c r="D22" s="81"/>
      <c r="E22" s="81"/>
      <c r="F22" s="81"/>
      <c r="G22" s="81"/>
      <c r="H22" s="81"/>
      <c r="I22" s="81"/>
      <c r="J22" s="87">
        <f>SUM(TblReferentiescoreT132151617418419[[#This Row],[Transport-
kosten*
jaar 1
'[€/ton']]:[Transport-
kosten*
jaar 6
'[€/ton']]])*TblReferentiescoreT132151617418419[[#This Row],[Gemiddeld
volume 
per jaar
'[ton']]]</f>
        <v>0</v>
      </c>
      <c r="K22" s="52"/>
      <c r="L22" s="52"/>
      <c r="M22" s="52"/>
      <c r="N22" s="52"/>
    </row>
    <row r="23" spans="1:15" ht="15.75" customHeight="1" x14ac:dyDescent="0.2">
      <c r="A23" s="137" t="s">
        <v>215</v>
      </c>
      <c r="B23" s="136">
        <v>144</v>
      </c>
      <c r="C23" s="83">
        <v>13.7</v>
      </c>
      <c r="D23" s="81"/>
      <c r="E23" s="81"/>
      <c r="F23" s="81"/>
      <c r="G23" s="81"/>
      <c r="H23" s="81"/>
      <c r="I23" s="81"/>
      <c r="J23" s="87">
        <f>SUM(TblReferentiescoreT132151617418419[[#This Row],[Transport-
kosten*
jaar 1
'[€/ton']]:[Transport-
kosten*
jaar 6
'[€/ton']]])*TblReferentiescoreT132151617418419[[#This Row],[Gemiddeld
volume 
per jaar
'[ton']]]</f>
        <v>0</v>
      </c>
      <c r="K23" s="52"/>
      <c r="L23" s="52"/>
      <c r="M23" s="52"/>
      <c r="N23" s="52"/>
    </row>
    <row r="24" spans="1:15" ht="15.75" customHeight="1" x14ac:dyDescent="0.2">
      <c r="A24" s="137" t="s">
        <v>217</v>
      </c>
      <c r="B24" s="136">
        <v>3765</v>
      </c>
      <c r="C24" s="83">
        <v>24.8</v>
      </c>
      <c r="D24" s="81"/>
      <c r="E24" s="81"/>
      <c r="F24" s="81"/>
      <c r="G24" s="81"/>
      <c r="H24" s="81"/>
      <c r="I24" s="81"/>
      <c r="J24" s="87">
        <f>SUM(TblReferentiescoreT132151617418419[[#This Row],[Transport-
kosten*
jaar 1
'[€/ton']]:[Transport-
kosten*
jaar 6
'[€/ton']]])*TblReferentiescoreT132151617418419[[#This Row],[Gemiddeld
volume 
per jaar
'[ton']]]</f>
        <v>0</v>
      </c>
      <c r="K24" s="52"/>
      <c r="L24" s="52"/>
      <c r="M24" s="52"/>
      <c r="N24" s="52"/>
    </row>
    <row r="25" spans="1:15" ht="15.75" customHeight="1" x14ac:dyDescent="0.2">
      <c r="A25" s="137" t="s">
        <v>216</v>
      </c>
      <c r="B25" s="136">
        <v>72</v>
      </c>
      <c r="C25" s="83">
        <v>35.9</v>
      </c>
      <c r="D25" s="81"/>
      <c r="E25" s="81"/>
      <c r="F25" s="81"/>
      <c r="G25" s="81"/>
      <c r="H25" s="81"/>
      <c r="I25" s="81"/>
      <c r="J25" s="87">
        <f>SUM(TblReferentiescoreT132151617418419[[#This Row],[Transport-
kosten*
jaar 1
'[€/ton']]:[Transport-
kosten*
jaar 6
'[€/ton']]])*TblReferentiescoreT132151617418419[[#This Row],[Gemiddeld
volume 
per jaar
'[ton']]]</f>
        <v>0</v>
      </c>
      <c r="K25" s="52"/>
      <c r="L25" s="52"/>
      <c r="M25" s="52"/>
      <c r="N25" s="52"/>
    </row>
    <row r="26" spans="1:15" s="45" customFormat="1" ht="15" x14ac:dyDescent="0.2">
      <c r="A26" s="46" t="s">
        <v>159</v>
      </c>
      <c r="B26" s="168">
        <f>SUBTOTAL(109,TblReferentiescoreT132151617418419[Gemiddeld
volume 
per jaar
'[ton']])</f>
        <v>114305</v>
      </c>
      <c r="C26" s="48"/>
      <c r="D26" s="48"/>
      <c r="E26" s="48"/>
      <c r="F26" s="48"/>
      <c r="G26" s="48"/>
      <c r="H26" s="48"/>
      <c r="I26" s="48"/>
      <c r="J26" s="167">
        <f>SUBTOTAL(109,TblReferentiescoreT132151617418419[Transportkosten
totaal
'[€']])</f>
        <v>0</v>
      </c>
    </row>
    <row r="27" spans="1:15" x14ac:dyDescent="0.25">
      <c r="C27" s="74"/>
    </row>
    <row r="28" spans="1:15" x14ac:dyDescent="0.25">
      <c r="O28" s="49"/>
    </row>
    <row r="29" spans="1:15" x14ac:dyDescent="0.25">
      <c r="A29" s="50"/>
      <c r="B29" s="50"/>
      <c r="C29" s="85"/>
      <c r="D29" s="50"/>
      <c r="E29" s="50"/>
      <c r="F29" s="50"/>
      <c r="G29" s="50"/>
      <c r="H29" s="50"/>
      <c r="I29" s="50"/>
      <c r="J29" s="50"/>
      <c r="O29" s="49"/>
    </row>
    <row r="30" spans="1:15" x14ac:dyDescent="0.25">
      <c r="A30" s="50"/>
      <c r="B30" s="50"/>
      <c r="C30" s="85"/>
      <c r="D30" s="50"/>
      <c r="E30" s="50"/>
      <c r="F30" s="50"/>
      <c r="G30" s="50"/>
      <c r="H30" s="50"/>
      <c r="I30" s="50"/>
      <c r="J30" s="50"/>
      <c r="O30" s="51"/>
    </row>
    <row r="31" spans="1:15" x14ac:dyDescent="0.25">
      <c r="A31" s="50"/>
      <c r="B31" s="50"/>
      <c r="C31" s="85"/>
      <c r="D31" s="50"/>
      <c r="E31" s="50"/>
      <c r="F31" s="50"/>
      <c r="G31" s="50"/>
      <c r="H31" s="50"/>
      <c r="I31" s="50"/>
      <c r="J31" s="50"/>
    </row>
  </sheetData>
  <sheetProtection algorithmName="SHA-512" hashValue="zp3GuAXCmn/AwL7jN3lb7njmE/8hW4stBTgI0AjzAM2e7hkFrx2Ca4zZMfDp+EwGIZXqKK+EgBO2TDHninbtiQ==" saltValue="JHzFze35KqzySDlFoKttyw==" spinCount="100000" sheet="1"/>
  <mergeCells count="2">
    <mergeCell ref="B2:C2"/>
    <mergeCell ref="B3:C3"/>
  </mergeCells>
  <phoneticPr fontId="12" type="noConversion"/>
  <dataValidations count="1">
    <dataValidation type="whole" allowBlank="1" showInputMessage="1" showErrorMessage="1" prompt="Numerieke waarde" sqref="C6:C25" xr:uid="{4BEC9C75-C9D3-4C94-B3A0-D192B813B5FC}">
      <formula1>1</formula1>
      <formula2>999999</formula2>
    </dataValidation>
  </dataValidations>
  <pageMargins left="0.25" right="0.25" top="0.75" bottom="0.75" header="0.3" footer="0.3"/>
  <pageSetup paperSize="9" scale="7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3009" r:id="rId4" name="Button 1">
              <controlPr defaultSize="0" print="0" autoFill="0" autoPict="0" macro="[0]!export.export">
                <anchor moveWithCells="1" sizeWithCells="1">
                  <from>
                    <xdr:col>14</xdr:col>
                    <xdr:colOff>2628900</xdr:colOff>
                    <xdr:row>42</xdr:row>
                    <xdr:rowOff>9525</xdr:rowOff>
                  </from>
                  <to>
                    <xdr:col>16</xdr:col>
                    <xdr:colOff>428625</xdr:colOff>
                    <xdr:row>43</xdr:row>
                    <xdr:rowOff>66675</xdr:rowOff>
                  </to>
                </anchor>
              </controlPr>
            </control>
          </mc:Choice>
        </mc:AlternateContent>
      </controls>
    </mc:Choice>
  </mc:AlternateContent>
  <tableParts count="1">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869CD-868E-4F09-81CF-8BD279ACD4C4}">
  <sheetPr>
    <tabColor theme="7" tint="0.39997558519241921"/>
  </sheetPr>
  <dimension ref="A1:F7"/>
  <sheetViews>
    <sheetView showGridLines="0" workbookViewId="0">
      <selection activeCell="B4" sqref="B4"/>
    </sheetView>
  </sheetViews>
  <sheetFormatPr defaultRowHeight="12.75" x14ac:dyDescent="0.2"/>
  <cols>
    <col min="1" max="1" width="36.625" style="52" customWidth="1"/>
    <col min="2" max="2" width="12.625" style="141" customWidth="1"/>
    <col min="3" max="3" width="15.625" style="52" customWidth="1"/>
    <col min="4" max="4" width="12.625" style="52" customWidth="1"/>
    <col min="5" max="5" width="21.625" style="52" customWidth="1"/>
    <col min="6" max="6" width="15.625" style="52" customWidth="1"/>
    <col min="7" max="7" width="9" style="52"/>
    <col min="8" max="8" width="14.375" style="52" bestFit="1" customWidth="1"/>
    <col min="9" max="9" width="42.25" style="52" bestFit="1" customWidth="1"/>
    <col min="10" max="16384" width="9" style="52"/>
  </cols>
  <sheetData>
    <row r="1" spans="1:6" x14ac:dyDescent="0.2">
      <c r="A1" s="53" t="s">
        <v>256</v>
      </c>
    </row>
    <row r="3" spans="1:6" s="148" customFormat="1" ht="25.5" x14ac:dyDescent="0.25">
      <c r="A3" s="145" t="s">
        <v>249</v>
      </c>
      <c r="B3" s="146" t="s">
        <v>288</v>
      </c>
      <c r="C3" s="145"/>
      <c r="D3" s="147" t="s">
        <v>254</v>
      </c>
      <c r="E3" s="145"/>
      <c r="F3" s="147" t="s">
        <v>255</v>
      </c>
    </row>
    <row r="4" spans="1:6" x14ac:dyDescent="0.2">
      <c r="A4" s="52" t="s">
        <v>250</v>
      </c>
      <c r="B4" s="149">
        <v>0</v>
      </c>
      <c r="C4" s="52" t="s">
        <v>246</v>
      </c>
      <c r="D4" s="142">
        <v>50</v>
      </c>
      <c r="E4" s="52" t="s">
        <v>251</v>
      </c>
      <c r="F4" s="143">
        <f>B4*D4</f>
        <v>0</v>
      </c>
    </row>
    <row r="5" spans="1:6" x14ac:dyDescent="0.2">
      <c r="A5" s="52" t="s">
        <v>247</v>
      </c>
      <c r="B5" s="150">
        <v>0</v>
      </c>
      <c r="C5" s="52" t="s">
        <v>252</v>
      </c>
      <c r="D5" s="144">
        <v>20000</v>
      </c>
      <c r="E5" s="52" t="s">
        <v>253</v>
      </c>
      <c r="F5" s="143">
        <f>B5*D5</f>
        <v>0</v>
      </c>
    </row>
    <row r="6" spans="1:6" ht="13.5" thickBot="1" x14ac:dyDescent="0.25">
      <c r="A6" s="52" t="s">
        <v>248</v>
      </c>
      <c r="B6" s="149">
        <v>0</v>
      </c>
      <c r="C6" s="52" t="s">
        <v>246</v>
      </c>
      <c r="D6" s="142">
        <v>50</v>
      </c>
      <c r="E6" s="52" t="s">
        <v>251</v>
      </c>
      <c r="F6" s="143">
        <f>B6*D6</f>
        <v>0</v>
      </c>
    </row>
    <row r="7" spans="1:6" s="53" customFormat="1" ht="13.5" thickTop="1" x14ac:dyDescent="0.2">
      <c r="A7" s="138"/>
      <c r="B7" s="139"/>
      <c r="C7" s="138"/>
      <c r="D7" s="138"/>
      <c r="E7" s="138"/>
      <c r="F7" s="140">
        <f>SUM(F4:F6)</f>
        <v>0</v>
      </c>
    </row>
  </sheetData>
  <sheetProtection algorithmName="SHA-512" hashValue="JtNdR4QF6bw5HGVkuh3oeQ019RNi3e50InJZEwSEDut/LV8WvNKHmyss7mm6eAeL8P5fpsmVegj54sbzsw++mg==" saltValue="qcU7WJtEXGrzH8YctvpxHA=="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6C780-B6ED-4194-AFC6-8EA129E51CDD}">
  <sheetPr codeName="Blad17">
    <tabColor theme="8" tint="0.59999389629810485"/>
    <pageSetUpPr fitToPage="1"/>
  </sheetPr>
  <dimension ref="A1:Q31"/>
  <sheetViews>
    <sheetView showGridLines="0" zoomScale="70" zoomScaleNormal="70" workbookViewId="0">
      <selection activeCell="B2" sqref="B2:C2"/>
    </sheetView>
  </sheetViews>
  <sheetFormatPr defaultColWidth="11" defaultRowHeight="12.75" x14ac:dyDescent="0.2"/>
  <cols>
    <col min="1" max="1" width="28.625" style="52" customWidth="1"/>
    <col min="2" max="2" width="12.625" style="52" customWidth="1"/>
    <col min="3" max="3" width="32.625" style="52" customWidth="1"/>
    <col min="4" max="4" width="12.625" style="54" customWidth="1"/>
    <col min="5" max="6" width="12.625" style="52" customWidth="1"/>
    <col min="7" max="7" width="12.625" style="61" customWidth="1"/>
    <col min="8" max="9" width="20.625" style="52" customWidth="1"/>
    <col min="10" max="10" width="12.125" style="52" customWidth="1"/>
    <col min="11" max="11" width="9.125" style="55" customWidth="1"/>
    <col min="12" max="12" width="8.625" style="52" hidden="1" customWidth="1"/>
    <col min="13" max="13" width="10.875" style="52" hidden="1" customWidth="1"/>
    <col min="14" max="14" width="12.625" style="52" customWidth="1"/>
    <col min="15" max="15" width="12.625" style="52" hidden="1" customWidth="1"/>
    <col min="16" max="16" width="12.625" style="52" customWidth="1"/>
    <col min="17" max="17" width="36.375" style="52" customWidth="1"/>
    <col min="18" max="18" width="17.125" style="52" customWidth="1"/>
    <col min="19" max="16384" width="11" style="52"/>
  </cols>
  <sheetData>
    <row r="1" spans="1:17" ht="15.75" customHeight="1" x14ac:dyDescent="0.2">
      <c r="A1" s="53" t="s">
        <v>244</v>
      </c>
      <c r="B1" s="53"/>
      <c r="G1" s="55"/>
    </row>
    <row r="2" spans="1:17" ht="15.75" customHeight="1" thickBot="1" x14ac:dyDescent="0.25">
      <c r="A2" s="56" t="s">
        <v>189</v>
      </c>
      <c r="B2" s="169"/>
      <c r="C2" s="173"/>
      <c r="D2" s="118" t="s">
        <v>266</v>
      </c>
      <c r="G2" s="55"/>
    </row>
    <row r="3" spans="1:17" ht="15.75" customHeight="1" thickTop="1" thickBot="1" x14ac:dyDescent="0.25">
      <c r="A3" s="57" t="s">
        <v>190</v>
      </c>
      <c r="B3" s="171"/>
      <c r="C3" s="174"/>
      <c r="G3" s="55"/>
    </row>
    <row r="4" spans="1:17" ht="15.75" customHeight="1" thickTop="1" x14ac:dyDescent="0.2">
      <c r="G4" s="58"/>
    </row>
    <row r="5" spans="1:17" ht="60" customHeight="1" x14ac:dyDescent="0.2">
      <c r="A5" s="59" t="s">
        <v>221</v>
      </c>
      <c r="B5" s="60" t="s">
        <v>225</v>
      </c>
      <c r="C5" s="91" t="s">
        <v>227</v>
      </c>
      <c r="D5" s="92" t="s">
        <v>224</v>
      </c>
      <c r="E5" s="84" t="s">
        <v>218</v>
      </c>
      <c r="F5" s="84" t="s">
        <v>219</v>
      </c>
      <c r="G5" s="93" t="s">
        <v>36</v>
      </c>
      <c r="H5" s="94" t="s">
        <v>173</v>
      </c>
      <c r="I5" s="95" t="s">
        <v>191</v>
      </c>
      <c r="J5" s="96" t="s">
        <v>226</v>
      </c>
      <c r="K5" s="97" t="s">
        <v>39</v>
      </c>
      <c r="L5" s="59" t="s">
        <v>184</v>
      </c>
      <c r="M5" s="59" t="s">
        <v>183</v>
      </c>
      <c r="N5" s="62" t="s">
        <v>222</v>
      </c>
      <c r="O5" s="60" t="s">
        <v>220</v>
      </c>
      <c r="P5" s="80" t="s">
        <v>223</v>
      </c>
      <c r="Q5" s="63"/>
    </row>
    <row r="6" spans="1:17" ht="15.75" customHeight="1" x14ac:dyDescent="0.2">
      <c r="A6" s="137" t="s">
        <v>198</v>
      </c>
      <c r="B6" s="136">
        <v>5122</v>
      </c>
      <c r="C6" s="64"/>
      <c r="D6" s="65">
        <v>36</v>
      </c>
      <c r="E6" s="82">
        <f t="shared" ref="E6:E25" si="0">CEILING(B6/D6,1)</f>
        <v>143</v>
      </c>
      <c r="F6" s="83">
        <v>25.8</v>
      </c>
      <c r="G6" s="66"/>
      <c r="H6" s="67" t="s">
        <v>188</v>
      </c>
      <c r="I6" s="67" t="s">
        <v>188</v>
      </c>
      <c r="J6" s="68"/>
      <c r="K6" s="69"/>
      <c r="L6" s="70" t="str">
        <f>IFERROR(TblReferentiescoreT1321516174184[[#This Row],[Aantal
ritten]]*TblReferentiescoreT1321516174184[[#This Row],[Afstand
per rit
'[km']]]*TblReferentiescoreT1321516174184[[#This Row],[Gemiddeld
volume
per rit
'[ton']]]*VLOOKUP(TblReferentiescoreT1321516174184[[#This Row],[Type transportmiddel]],TblType[],2,0),"")</f>
        <v/>
      </c>
      <c r="M6" s="70" t="str">
        <f>IFERROR(TblReferentiescoreT1321516174184[[#This Row],[Energie-vraag (MJ)]]/stookwaarde_diesel/dichtheid_diesel*emissiefactor_diesel,"")</f>
        <v/>
      </c>
      <c r="N6" s="71" t="str">
        <f>IFERROR(
     TblReferentiescoreT1321516174184[[#This Row],[Referentie-score]]*
          ((100%-TblReferentiescoreT1321516174184[[#This Row],[Aandeel
2e energie
-bron]])*INDEX(TblBrandstof[CO2 uitstoot verg 1l diesel],MATCH(TblReferentiescoreT1321516174184[[#This Row],[Energiebron]],TblBrandstof[Brandstof],0))+
          TblReferentiescoreT1321516174184[[#This Row],[Aandeel
2e energie
-bron]]*INDEX(TblBrandstof[CO2 uitstoot verg 1l diesel],MATCH(IF(OR(TblReferentiescoreT1321516174184[[#This Row],[2e energiebron]]="N.v.t.",TblReferentiescoreT1321516174184[[#This Row],[2e energiebron]]=""),TblReferentiescoreT1321516174184[[#This Row],[Energiebron]],TblReferentiescoreT1321516174184[[#This Row],[2e energiebron]]),TblBrandstof[Brandstof],0)))*
      IF(OR(TblReferentiescoreT1321516174184[[#This Row],[Motortype]]="Elektrisch",TblReferentiescoreT1321516174184[[#This Row],[Hybride]]="Ja"),TblHybride[Waardering hybride],1),"")</f>
        <v/>
      </c>
      <c r="O6" s="71" t="str">
        <f>IFERROR(TblReferentiescoreT1321516174184[[#This Row],[CO2-impact
'[kg CO2']]]*IF(INDEX(TblBrandstof[Waardering Euroniveau],MATCH(TblReferentiescoreT1321516174184[[#This Row],[Energiebron]],TblBrandstof[Brandstof],0)),VLOOKUP(TblReferentiescoreT1321516174184[[#This Row],[Motortype]],TblMotortypeT[],2,0),1),"")</f>
        <v/>
      </c>
      <c r="P6" s="72" t="str">
        <f>IF(TblReferentiescoreT1321516174184[[#This Row],[Slibtransport
van rwzi naar rwzi]]&lt;&gt;"",
    IF(TblReferentiescoreT1321516174184[[#This Row],[Gemiddeld
volume
per rit
'[ton']]]="","Gemiddelde vracht per volle rit niet gevuld",
    IF(TblReferentiescoreT1321516174184[[#This Row],[Afstand
per rit
'[km']]]="","Afstand per rit niet gevuld",
    IF(TblReferentiescoreT1321516174184[[#This Row],[Aantal
ritten]]="","Aantal ritten niet gevuld",""))),
  "")</f>
        <v/>
      </c>
    </row>
    <row r="7" spans="1:17" ht="15.75" customHeight="1" x14ac:dyDescent="0.2">
      <c r="A7" s="137" t="s">
        <v>199</v>
      </c>
      <c r="B7" s="136">
        <v>5104</v>
      </c>
      <c r="C7" s="64"/>
      <c r="D7" s="65">
        <v>36</v>
      </c>
      <c r="E7" s="82">
        <f t="shared" si="0"/>
        <v>142</v>
      </c>
      <c r="F7" s="83">
        <v>20</v>
      </c>
      <c r="G7" s="66"/>
      <c r="H7" s="67"/>
      <c r="I7" s="67"/>
      <c r="J7" s="68"/>
      <c r="K7" s="69"/>
      <c r="L7" s="70" t="str">
        <f>IFERROR(TblReferentiescoreT1321516174184[[#This Row],[Aantal
ritten]]*TblReferentiescoreT1321516174184[[#This Row],[Afstand
per rit
'[km']]]*TblReferentiescoreT1321516174184[[#This Row],[Gemiddeld
volume
per rit
'[ton']]]*VLOOKUP(TblReferentiescoreT1321516174184[[#This Row],[Type transportmiddel]],TblType[],2,0),"")</f>
        <v/>
      </c>
      <c r="M7" s="70" t="str">
        <f>IFERROR(TblReferentiescoreT1321516174184[[#This Row],[Energie-vraag (MJ)]]/stookwaarde_diesel/dichtheid_diesel*emissiefactor_diesel,"")</f>
        <v/>
      </c>
      <c r="N7" s="71" t="str">
        <f>IFERROR(
     TblReferentiescoreT1321516174184[[#This Row],[Referentie-score]]*
          ((100%-TblReferentiescoreT1321516174184[[#This Row],[Aandeel
2e energie
-bron]])*INDEX(TblBrandstof[CO2 uitstoot verg 1l diesel],MATCH(TblReferentiescoreT1321516174184[[#This Row],[Energiebron]],TblBrandstof[Brandstof],0))+
          TblReferentiescoreT1321516174184[[#This Row],[Aandeel
2e energie
-bron]]*INDEX(TblBrandstof[CO2 uitstoot verg 1l diesel],MATCH(IF(OR(TblReferentiescoreT1321516174184[[#This Row],[2e energiebron]]="N.v.t.",TblReferentiescoreT1321516174184[[#This Row],[2e energiebron]]=""),TblReferentiescoreT1321516174184[[#This Row],[Energiebron]],TblReferentiescoreT1321516174184[[#This Row],[2e energiebron]]),TblBrandstof[Brandstof],0)))*
      IF(OR(TblReferentiescoreT1321516174184[[#This Row],[Motortype]]="Elektrisch",TblReferentiescoreT1321516174184[[#This Row],[Hybride]]="Ja"),TblHybride[Waardering hybride],1),"")</f>
        <v/>
      </c>
      <c r="O7" s="71" t="str">
        <f>IFERROR(TblReferentiescoreT1321516174184[[#This Row],[CO2-impact
'[kg CO2']]]*IF(INDEX(TblBrandstof[Waardering Euroniveau],MATCH(TblReferentiescoreT1321516174184[[#This Row],[Energiebron]],TblBrandstof[Brandstof],0)),VLOOKUP(TblReferentiescoreT1321516174184[[#This Row],[Motortype]],TblMotortypeT[],2,0),1),"")</f>
        <v/>
      </c>
      <c r="P7" s="73" t="str">
        <f>IF(TblReferentiescoreT1321516174184[[#This Row],[Slibtransport
van rwzi naar rwzi]]&lt;&gt;"",
    IF(TblReferentiescoreT1321516174184[[#This Row],[Gemiddeld
volume
per rit
'[ton']]]="","Gemiddelde vracht per volle rit niet gevuld",
    IF(TblReferentiescoreT1321516174184[[#This Row],[Afstand
per rit
'[km']]]="","Afstand per rit niet gevuld",
    IF(TblReferentiescoreT1321516174184[[#This Row],[Aantal
ritten]]="","Aantal ritten niet gevuld",""))),
  "")</f>
        <v/>
      </c>
    </row>
    <row r="8" spans="1:17" ht="15.75" customHeight="1" x14ac:dyDescent="0.2">
      <c r="A8" s="137" t="s">
        <v>200</v>
      </c>
      <c r="B8" s="136">
        <v>22364</v>
      </c>
      <c r="C8" s="64"/>
      <c r="D8" s="65">
        <v>36</v>
      </c>
      <c r="E8" s="82">
        <f t="shared" si="0"/>
        <v>622</v>
      </c>
      <c r="F8" s="83">
        <v>16.899999999999999</v>
      </c>
      <c r="G8" s="66"/>
      <c r="H8" s="67"/>
      <c r="I8" s="67"/>
      <c r="J8" s="68"/>
      <c r="K8" s="69"/>
      <c r="L8" s="70" t="str">
        <f>IFERROR(TblReferentiescoreT1321516174184[[#This Row],[Aantal
ritten]]*TblReferentiescoreT1321516174184[[#This Row],[Afstand
per rit
'[km']]]*TblReferentiescoreT1321516174184[[#This Row],[Gemiddeld
volume
per rit
'[ton']]]*VLOOKUP(TblReferentiescoreT1321516174184[[#This Row],[Type transportmiddel]],TblType[],2,0),"")</f>
        <v/>
      </c>
      <c r="M8" s="70" t="str">
        <f>IFERROR(TblReferentiescoreT1321516174184[[#This Row],[Energie-vraag (MJ)]]/stookwaarde_diesel/dichtheid_diesel*emissiefactor_diesel,"")</f>
        <v/>
      </c>
      <c r="N8" s="71" t="str">
        <f>IFERROR(
     TblReferentiescoreT1321516174184[[#This Row],[Referentie-score]]*
          ((100%-TblReferentiescoreT1321516174184[[#This Row],[Aandeel
2e energie
-bron]])*INDEX(TblBrandstof[CO2 uitstoot verg 1l diesel],MATCH(TblReferentiescoreT1321516174184[[#This Row],[Energiebron]],TblBrandstof[Brandstof],0))+
          TblReferentiescoreT1321516174184[[#This Row],[Aandeel
2e energie
-bron]]*INDEX(TblBrandstof[CO2 uitstoot verg 1l diesel],MATCH(IF(OR(TblReferentiescoreT1321516174184[[#This Row],[2e energiebron]]="N.v.t.",TblReferentiescoreT1321516174184[[#This Row],[2e energiebron]]=""),TblReferentiescoreT1321516174184[[#This Row],[Energiebron]],TblReferentiescoreT1321516174184[[#This Row],[2e energiebron]]),TblBrandstof[Brandstof],0)))*
      IF(OR(TblReferentiescoreT1321516174184[[#This Row],[Motortype]]="Elektrisch",TblReferentiescoreT1321516174184[[#This Row],[Hybride]]="Ja"),TblHybride[Waardering hybride],1),"")</f>
        <v/>
      </c>
      <c r="O8" s="71" t="str">
        <f>IFERROR(TblReferentiescoreT1321516174184[[#This Row],[CO2-impact
'[kg CO2']]]*IF(INDEX(TblBrandstof[Waardering Euroniveau],MATCH(TblReferentiescoreT1321516174184[[#This Row],[Energiebron]],TblBrandstof[Brandstof],0)),VLOOKUP(TblReferentiescoreT1321516174184[[#This Row],[Motortype]],TblMotortypeT[],2,0),1),"")</f>
        <v/>
      </c>
      <c r="P8" s="73" t="str">
        <f>IF(TblReferentiescoreT1321516174184[[#This Row],[Slibtransport
van rwzi naar rwzi]]&lt;&gt;"",
    IF(TblReferentiescoreT1321516174184[[#This Row],[Gemiddeld
volume
per rit
'[ton']]]="","Gemiddelde vracht per volle rit niet gevuld",
    IF(TblReferentiescoreT1321516174184[[#This Row],[Afstand
per rit
'[km']]]="","Afstand per rit niet gevuld",
    IF(TblReferentiescoreT1321516174184[[#This Row],[Aantal
ritten]]="","Aantal ritten niet gevuld",""))),
  "")</f>
        <v/>
      </c>
    </row>
    <row r="9" spans="1:17" ht="15.75" customHeight="1" x14ac:dyDescent="0.2">
      <c r="A9" s="137" t="s">
        <v>201</v>
      </c>
      <c r="B9" s="136">
        <v>8265</v>
      </c>
      <c r="C9" s="64"/>
      <c r="D9" s="65">
        <v>36</v>
      </c>
      <c r="E9" s="82">
        <f t="shared" si="0"/>
        <v>230</v>
      </c>
      <c r="F9" s="83">
        <v>28.4</v>
      </c>
      <c r="G9" s="66"/>
      <c r="H9" s="67"/>
      <c r="I9" s="67"/>
      <c r="J9" s="68"/>
      <c r="K9" s="69"/>
      <c r="L9" s="70" t="str">
        <f>IFERROR(TblReferentiescoreT1321516174184[[#This Row],[Aantal
ritten]]*TblReferentiescoreT1321516174184[[#This Row],[Afstand
per rit
'[km']]]*TblReferentiescoreT1321516174184[[#This Row],[Gemiddeld
volume
per rit
'[ton']]]*VLOOKUP(TblReferentiescoreT1321516174184[[#This Row],[Type transportmiddel]],TblType[],2,0),"")</f>
        <v/>
      </c>
      <c r="M9" s="70" t="str">
        <f>IFERROR(TblReferentiescoreT1321516174184[[#This Row],[Energie-vraag (MJ)]]/stookwaarde_diesel/dichtheid_diesel*emissiefactor_diesel,"")</f>
        <v/>
      </c>
      <c r="N9" s="71" t="str">
        <f>IFERROR(
     TblReferentiescoreT1321516174184[[#This Row],[Referentie-score]]*
          ((100%-TblReferentiescoreT1321516174184[[#This Row],[Aandeel
2e energie
-bron]])*INDEX(TblBrandstof[CO2 uitstoot verg 1l diesel],MATCH(TblReferentiescoreT1321516174184[[#This Row],[Energiebron]],TblBrandstof[Brandstof],0))+
          TblReferentiescoreT1321516174184[[#This Row],[Aandeel
2e energie
-bron]]*INDEX(TblBrandstof[CO2 uitstoot verg 1l diesel],MATCH(IF(OR(TblReferentiescoreT1321516174184[[#This Row],[2e energiebron]]="N.v.t.",TblReferentiescoreT1321516174184[[#This Row],[2e energiebron]]=""),TblReferentiescoreT1321516174184[[#This Row],[Energiebron]],TblReferentiescoreT1321516174184[[#This Row],[2e energiebron]]),TblBrandstof[Brandstof],0)))*
      IF(OR(TblReferentiescoreT1321516174184[[#This Row],[Motortype]]="Elektrisch",TblReferentiescoreT1321516174184[[#This Row],[Hybride]]="Ja"),TblHybride[Waardering hybride],1),"")</f>
        <v/>
      </c>
      <c r="O9" s="71" t="str">
        <f>IFERROR(TblReferentiescoreT1321516174184[[#This Row],[CO2-impact
'[kg CO2']]]*IF(INDEX(TblBrandstof[Waardering Euroniveau],MATCH(TblReferentiescoreT1321516174184[[#This Row],[Energiebron]],TblBrandstof[Brandstof],0)),VLOOKUP(TblReferentiescoreT1321516174184[[#This Row],[Motortype]],TblMotortypeT[],2,0),1),"")</f>
        <v/>
      </c>
      <c r="P9" s="73" t="str">
        <f>IF(TblReferentiescoreT1321516174184[[#This Row],[Slibtransport
van rwzi naar rwzi]]&lt;&gt;"",
    IF(TblReferentiescoreT1321516174184[[#This Row],[Gemiddeld
volume
per rit
'[ton']]]="","Gemiddelde vracht per volle rit niet gevuld",
    IF(TblReferentiescoreT1321516174184[[#This Row],[Afstand
per rit
'[km']]]="","Afstand per rit niet gevuld",
    IF(TblReferentiescoreT1321516174184[[#This Row],[Aantal
ritten]]="","Aantal ritten niet gevuld",""))),
  "")</f>
        <v/>
      </c>
    </row>
    <row r="10" spans="1:17" ht="15.75" customHeight="1" x14ac:dyDescent="0.2">
      <c r="A10" s="137" t="s">
        <v>202</v>
      </c>
      <c r="B10" s="136">
        <v>4548</v>
      </c>
      <c r="C10" s="64"/>
      <c r="D10" s="65">
        <v>36</v>
      </c>
      <c r="E10" s="82">
        <f t="shared" si="0"/>
        <v>127</v>
      </c>
      <c r="F10" s="83">
        <v>8.4</v>
      </c>
      <c r="G10" s="66"/>
      <c r="H10" s="67"/>
      <c r="I10" s="67"/>
      <c r="J10" s="68"/>
      <c r="K10" s="69"/>
      <c r="L10" s="70" t="str">
        <f>IFERROR(TblReferentiescoreT1321516174184[[#This Row],[Aantal
ritten]]*TblReferentiescoreT1321516174184[[#This Row],[Afstand
per rit
'[km']]]*TblReferentiescoreT1321516174184[[#This Row],[Gemiddeld
volume
per rit
'[ton']]]*VLOOKUP(TblReferentiescoreT1321516174184[[#This Row],[Type transportmiddel]],TblType[],2,0),"")</f>
        <v/>
      </c>
      <c r="M10" s="70" t="str">
        <f>IFERROR(TblReferentiescoreT1321516174184[[#This Row],[Energie-vraag (MJ)]]/stookwaarde_diesel/dichtheid_diesel*emissiefactor_diesel,"")</f>
        <v/>
      </c>
      <c r="N10" s="71" t="str">
        <f>IFERROR(
     TblReferentiescoreT1321516174184[[#This Row],[Referentie-score]]*
          ((100%-TblReferentiescoreT1321516174184[[#This Row],[Aandeel
2e energie
-bron]])*INDEX(TblBrandstof[CO2 uitstoot verg 1l diesel],MATCH(TblReferentiescoreT1321516174184[[#This Row],[Energiebron]],TblBrandstof[Brandstof],0))+
          TblReferentiescoreT1321516174184[[#This Row],[Aandeel
2e energie
-bron]]*INDEX(TblBrandstof[CO2 uitstoot verg 1l diesel],MATCH(IF(OR(TblReferentiescoreT1321516174184[[#This Row],[2e energiebron]]="N.v.t.",TblReferentiescoreT1321516174184[[#This Row],[2e energiebron]]=""),TblReferentiescoreT1321516174184[[#This Row],[Energiebron]],TblReferentiescoreT1321516174184[[#This Row],[2e energiebron]]),TblBrandstof[Brandstof],0)))*
      IF(OR(TblReferentiescoreT1321516174184[[#This Row],[Motortype]]="Elektrisch",TblReferentiescoreT1321516174184[[#This Row],[Hybride]]="Ja"),TblHybride[Waardering hybride],1),"")</f>
        <v/>
      </c>
      <c r="O10" s="71" t="str">
        <f>IFERROR(TblReferentiescoreT1321516174184[[#This Row],[CO2-impact
'[kg CO2']]]*IF(INDEX(TblBrandstof[Waardering Euroniveau],MATCH(TblReferentiescoreT1321516174184[[#This Row],[Energiebron]],TblBrandstof[Brandstof],0)),VLOOKUP(TblReferentiescoreT1321516174184[[#This Row],[Motortype]],TblMotortypeT[],2,0),1),"")</f>
        <v/>
      </c>
      <c r="P10" s="73" t="str">
        <f>IF(TblReferentiescoreT1321516174184[[#This Row],[Slibtransport
van rwzi naar rwzi]]&lt;&gt;"",
    IF(TblReferentiescoreT1321516174184[[#This Row],[Gemiddeld
volume
per rit
'[ton']]]="","Gemiddelde vracht per volle rit niet gevuld",
    IF(TblReferentiescoreT1321516174184[[#This Row],[Afstand
per rit
'[km']]]="","Afstand per rit niet gevuld",
    IF(TblReferentiescoreT1321516174184[[#This Row],[Aantal
ritten]]="","Aantal ritten niet gevuld",""))),
  "")</f>
        <v/>
      </c>
    </row>
    <row r="11" spans="1:17" ht="15.75" customHeight="1" x14ac:dyDescent="0.2">
      <c r="A11" s="137" t="s">
        <v>203</v>
      </c>
      <c r="B11" s="136">
        <v>18525</v>
      </c>
      <c r="C11" s="64"/>
      <c r="D11" s="65">
        <v>36</v>
      </c>
      <c r="E11" s="82">
        <f t="shared" si="0"/>
        <v>515</v>
      </c>
      <c r="F11" s="83">
        <v>18.399999999999999</v>
      </c>
      <c r="G11" s="66"/>
      <c r="H11" s="67"/>
      <c r="I11" s="67"/>
      <c r="J11" s="68"/>
      <c r="K11" s="69"/>
      <c r="L11" s="70" t="str">
        <f>IFERROR(TblReferentiescoreT1321516174184[[#This Row],[Aantal
ritten]]*TblReferentiescoreT1321516174184[[#This Row],[Afstand
per rit
'[km']]]*TblReferentiescoreT1321516174184[[#This Row],[Gemiddeld
volume
per rit
'[ton']]]*VLOOKUP(TblReferentiescoreT1321516174184[[#This Row],[Type transportmiddel]],TblType[],2,0),"")</f>
        <v/>
      </c>
      <c r="M11" s="70" t="str">
        <f>IFERROR(TblReferentiescoreT1321516174184[[#This Row],[Energie-vraag (MJ)]]/stookwaarde_diesel/dichtheid_diesel*emissiefactor_diesel,"")</f>
        <v/>
      </c>
      <c r="N11" s="71" t="str">
        <f>IFERROR(
     TblReferentiescoreT1321516174184[[#This Row],[Referentie-score]]*
          ((100%-TblReferentiescoreT1321516174184[[#This Row],[Aandeel
2e energie
-bron]])*INDEX(TblBrandstof[CO2 uitstoot verg 1l diesel],MATCH(TblReferentiescoreT1321516174184[[#This Row],[Energiebron]],TblBrandstof[Brandstof],0))+
          TblReferentiescoreT1321516174184[[#This Row],[Aandeel
2e energie
-bron]]*INDEX(TblBrandstof[CO2 uitstoot verg 1l diesel],MATCH(IF(OR(TblReferentiescoreT1321516174184[[#This Row],[2e energiebron]]="N.v.t.",TblReferentiescoreT1321516174184[[#This Row],[2e energiebron]]=""),TblReferentiescoreT1321516174184[[#This Row],[Energiebron]],TblReferentiescoreT1321516174184[[#This Row],[2e energiebron]]),TblBrandstof[Brandstof],0)))*
      IF(OR(TblReferentiescoreT1321516174184[[#This Row],[Motortype]]="Elektrisch",TblReferentiescoreT1321516174184[[#This Row],[Hybride]]="Ja"),TblHybride[Waardering hybride],1),"")</f>
        <v/>
      </c>
      <c r="O11" s="71" t="str">
        <f>IFERROR(TblReferentiescoreT1321516174184[[#This Row],[CO2-impact
'[kg CO2']]]*IF(INDEX(TblBrandstof[Waardering Euroniveau],MATCH(TblReferentiescoreT1321516174184[[#This Row],[Energiebron]],TblBrandstof[Brandstof],0)),VLOOKUP(TblReferentiescoreT1321516174184[[#This Row],[Motortype]],TblMotortypeT[],2,0),1),"")</f>
        <v/>
      </c>
      <c r="P11" s="73" t="str">
        <f>IF(TblReferentiescoreT1321516174184[[#This Row],[Slibtransport
van rwzi naar rwzi]]&lt;&gt;"",
    IF(TblReferentiescoreT1321516174184[[#This Row],[Gemiddeld
volume
per rit
'[ton']]]="","Gemiddelde vracht per volle rit niet gevuld",
    IF(TblReferentiescoreT1321516174184[[#This Row],[Afstand
per rit
'[km']]]="","Afstand per rit niet gevuld",
    IF(TblReferentiescoreT1321516174184[[#This Row],[Aantal
ritten]]="","Aantal ritten niet gevuld",""))),
  "")</f>
        <v/>
      </c>
    </row>
    <row r="12" spans="1:17" ht="15.75" customHeight="1" x14ac:dyDescent="0.2">
      <c r="A12" s="137" t="s">
        <v>204</v>
      </c>
      <c r="B12" s="136">
        <v>17352</v>
      </c>
      <c r="C12" s="64"/>
      <c r="D12" s="65">
        <v>36</v>
      </c>
      <c r="E12" s="82">
        <f t="shared" si="0"/>
        <v>482</v>
      </c>
      <c r="F12" s="83">
        <v>31</v>
      </c>
      <c r="G12" s="66"/>
      <c r="H12" s="67"/>
      <c r="I12" s="67"/>
      <c r="J12" s="68"/>
      <c r="K12" s="69"/>
      <c r="L12" s="70" t="str">
        <f>IFERROR(TblReferentiescoreT1321516174184[[#This Row],[Aantal
ritten]]*TblReferentiescoreT1321516174184[[#This Row],[Afstand
per rit
'[km']]]*TblReferentiescoreT1321516174184[[#This Row],[Gemiddeld
volume
per rit
'[ton']]]*VLOOKUP(TblReferentiescoreT1321516174184[[#This Row],[Type transportmiddel]],TblType[],2,0),"")</f>
        <v/>
      </c>
      <c r="M12" s="70" t="str">
        <f>IFERROR(TblReferentiescoreT1321516174184[[#This Row],[Energie-vraag (MJ)]]/stookwaarde_diesel/dichtheid_diesel*emissiefactor_diesel,"")</f>
        <v/>
      </c>
      <c r="N12" s="71" t="str">
        <f>IFERROR(
     TblReferentiescoreT1321516174184[[#This Row],[Referentie-score]]*
          ((100%-TblReferentiescoreT1321516174184[[#This Row],[Aandeel
2e energie
-bron]])*INDEX(TblBrandstof[CO2 uitstoot verg 1l diesel],MATCH(TblReferentiescoreT1321516174184[[#This Row],[Energiebron]],TblBrandstof[Brandstof],0))+
          TblReferentiescoreT1321516174184[[#This Row],[Aandeel
2e energie
-bron]]*INDEX(TblBrandstof[CO2 uitstoot verg 1l diesel],MATCH(IF(OR(TblReferentiescoreT1321516174184[[#This Row],[2e energiebron]]="N.v.t.",TblReferentiescoreT1321516174184[[#This Row],[2e energiebron]]=""),TblReferentiescoreT1321516174184[[#This Row],[Energiebron]],TblReferentiescoreT1321516174184[[#This Row],[2e energiebron]]),TblBrandstof[Brandstof],0)))*
      IF(OR(TblReferentiescoreT1321516174184[[#This Row],[Motortype]]="Elektrisch",TblReferentiescoreT1321516174184[[#This Row],[Hybride]]="Ja"),TblHybride[Waardering hybride],1),"")</f>
        <v/>
      </c>
      <c r="O12" s="71" t="str">
        <f>IFERROR(TblReferentiescoreT1321516174184[[#This Row],[CO2-impact
'[kg CO2']]]*IF(INDEX(TblBrandstof[Waardering Euroniveau],MATCH(TblReferentiescoreT1321516174184[[#This Row],[Energiebron]],TblBrandstof[Brandstof],0)),VLOOKUP(TblReferentiescoreT1321516174184[[#This Row],[Motortype]],TblMotortypeT[],2,0),1),"")</f>
        <v/>
      </c>
      <c r="P12" s="73" t="str">
        <f>IF(TblReferentiescoreT1321516174184[[#This Row],[Slibtransport
van rwzi naar rwzi]]&lt;&gt;"",
    IF(TblReferentiescoreT1321516174184[[#This Row],[Gemiddeld
volume
per rit
'[ton']]]="","Gemiddelde vracht per volle rit niet gevuld",
    IF(TblReferentiescoreT1321516174184[[#This Row],[Afstand
per rit
'[km']]]="","Afstand per rit niet gevuld",
    IF(TblReferentiescoreT1321516174184[[#This Row],[Aantal
ritten]]="","Aantal ritten niet gevuld",""))),
  "")</f>
        <v/>
      </c>
    </row>
    <row r="13" spans="1:17" ht="15.75" customHeight="1" x14ac:dyDescent="0.2">
      <c r="A13" s="137" t="s">
        <v>205</v>
      </c>
      <c r="B13" s="136">
        <v>4125</v>
      </c>
      <c r="C13" s="64"/>
      <c r="D13" s="65">
        <v>36</v>
      </c>
      <c r="E13" s="82">
        <f t="shared" si="0"/>
        <v>115</v>
      </c>
      <c r="F13" s="83">
        <v>17.2</v>
      </c>
      <c r="G13" s="66"/>
      <c r="H13" s="67"/>
      <c r="I13" s="67"/>
      <c r="J13" s="68"/>
      <c r="K13" s="69"/>
      <c r="L13" s="70" t="str">
        <f>IFERROR(TblReferentiescoreT1321516174184[[#This Row],[Aantal
ritten]]*TblReferentiescoreT1321516174184[[#This Row],[Afstand
per rit
'[km']]]*TblReferentiescoreT1321516174184[[#This Row],[Gemiddeld
volume
per rit
'[ton']]]*VLOOKUP(TblReferentiescoreT1321516174184[[#This Row],[Type transportmiddel]],TblType[],2,0),"")</f>
        <v/>
      </c>
      <c r="M13" s="70" t="str">
        <f>IFERROR(TblReferentiescoreT1321516174184[[#This Row],[Energie-vraag (MJ)]]/stookwaarde_diesel/dichtheid_diesel*emissiefactor_diesel,"")</f>
        <v/>
      </c>
      <c r="N13" s="71" t="str">
        <f>IFERROR(
     TblReferentiescoreT1321516174184[[#This Row],[Referentie-score]]*
          ((100%-TblReferentiescoreT1321516174184[[#This Row],[Aandeel
2e energie
-bron]])*INDEX(TblBrandstof[CO2 uitstoot verg 1l diesel],MATCH(TblReferentiescoreT1321516174184[[#This Row],[Energiebron]],TblBrandstof[Brandstof],0))+
          TblReferentiescoreT1321516174184[[#This Row],[Aandeel
2e energie
-bron]]*INDEX(TblBrandstof[CO2 uitstoot verg 1l diesel],MATCH(IF(OR(TblReferentiescoreT1321516174184[[#This Row],[2e energiebron]]="N.v.t.",TblReferentiescoreT1321516174184[[#This Row],[2e energiebron]]=""),TblReferentiescoreT1321516174184[[#This Row],[Energiebron]],TblReferentiescoreT1321516174184[[#This Row],[2e energiebron]]),TblBrandstof[Brandstof],0)))*
      IF(OR(TblReferentiescoreT1321516174184[[#This Row],[Motortype]]="Elektrisch",TblReferentiescoreT1321516174184[[#This Row],[Hybride]]="Ja"),TblHybride[Waardering hybride],1),"")</f>
        <v/>
      </c>
      <c r="O13" s="71" t="str">
        <f>IFERROR(TblReferentiescoreT1321516174184[[#This Row],[CO2-impact
'[kg CO2']]]*IF(INDEX(TblBrandstof[Waardering Euroniveau],MATCH(TblReferentiescoreT1321516174184[[#This Row],[Energiebron]],TblBrandstof[Brandstof],0)),VLOOKUP(TblReferentiescoreT1321516174184[[#This Row],[Motortype]],TblMotortypeT[],2,0),1),"")</f>
        <v/>
      </c>
      <c r="P13" s="73" t="str">
        <f>IF(TblReferentiescoreT1321516174184[[#This Row],[Slibtransport
van rwzi naar rwzi]]&lt;&gt;"",
    IF(TblReferentiescoreT1321516174184[[#This Row],[Gemiddeld
volume
per rit
'[ton']]]="","Gemiddelde vracht per volle rit niet gevuld",
    IF(TblReferentiescoreT1321516174184[[#This Row],[Afstand
per rit
'[km']]]="","Afstand per rit niet gevuld",
    IF(TblReferentiescoreT1321516174184[[#This Row],[Aantal
ritten]]="","Aantal ritten niet gevuld",""))),
  "")</f>
        <v/>
      </c>
    </row>
    <row r="14" spans="1:17" ht="15.75" customHeight="1" x14ac:dyDescent="0.2">
      <c r="A14" s="137" t="s">
        <v>206</v>
      </c>
      <c r="B14" s="136">
        <v>1548</v>
      </c>
      <c r="C14" s="64"/>
      <c r="D14" s="65">
        <v>36</v>
      </c>
      <c r="E14" s="82">
        <f t="shared" si="0"/>
        <v>43</v>
      </c>
      <c r="F14" s="83">
        <v>29.8</v>
      </c>
      <c r="G14" s="66"/>
      <c r="H14" s="67"/>
      <c r="I14" s="67"/>
      <c r="J14" s="68"/>
      <c r="K14" s="69"/>
      <c r="L14" s="70" t="str">
        <f>IFERROR(TblReferentiescoreT1321516174184[[#This Row],[Aantal
ritten]]*TblReferentiescoreT1321516174184[[#This Row],[Afstand
per rit
'[km']]]*TblReferentiescoreT1321516174184[[#This Row],[Gemiddeld
volume
per rit
'[ton']]]*VLOOKUP(TblReferentiescoreT1321516174184[[#This Row],[Type transportmiddel]],TblType[],2,0),"")</f>
        <v/>
      </c>
      <c r="M14" s="70" t="str">
        <f>IFERROR(TblReferentiescoreT1321516174184[[#This Row],[Energie-vraag (MJ)]]/stookwaarde_diesel/dichtheid_diesel*emissiefactor_diesel,"")</f>
        <v/>
      </c>
      <c r="N14" s="71" t="str">
        <f>IFERROR(
     TblReferentiescoreT1321516174184[[#This Row],[Referentie-score]]*
          ((100%-TblReferentiescoreT1321516174184[[#This Row],[Aandeel
2e energie
-bron]])*INDEX(TblBrandstof[CO2 uitstoot verg 1l diesel],MATCH(TblReferentiescoreT1321516174184[[#This Row],[Energiebron]],TblBrandstof[Brandstof],0))+
          TblReferentiescoreT1321516174184[[#This Row],[Aandeel
2e energie
-bron]]*INDEX(TblBrandstof[CO2 uitstoot verg 1l diesel],MATCH(IF(OR(TblReferentiescoreT1321516174184[[#This Row],[2e energiebron]]="N.v.t.",TblReferentiescoreT1321516174184[[#This Row],[2e energiebron]]=""),TblReferentiescoreT1321516174184[[#This Row],[Energiebron]],TblReferentiescoreT1321516174184[[#This Row],[2e energiebron]]),TblBrandstof[Brandstof],0)))*
      IF(OR(TblReferentiescoreT1321516174184[[#This Row],[Motortype]]="Elektrisch",TblReferentiescoreT1321516174184[[#This Row],[Hybride]]="Ja"),TblHybride[Waardering hybride],1),"")</f>
        <v/>
      </c>
      <c r="O14" s="71" t="str">
        <f>IFERROR(TblReferentiescoreT1321516174184[[#This Row],[CO2-impact
'[kg CO2']]]*IF(INDEX(TblBrandstof[Waardering Euroniveau],MATCH(TblReferentiescoreT1321516174184[[#This Row],[Energiebron]],TblBrandstof[Brandstof],0)),VLOOKUP(TblReferentiescoreT1321516174184[[#This Row],[Motortype]],TblMotortypeT[],2,0),1),"")</f>
        <v/>
      </c>
      <c r="P14" s="73" t="str">
        <f>IF(TblReferentiescoreT1321516174184[[#This Row],[Slibtransport
van rwzi naar rwzi]]&lt;&gt;"",
    IF(TblReferentiescoreT1321516174184[[#This Row],[Gemiddeld
volume
per rit
'[ton']]]="","Gemiddelde vracht per volle rit niet gevuld",
    IF(TblReferentiescoreT1321516174184[[#This Row],[Afstand
per rit
'[km']]]="","Afstand per rit niet gevuld",
    IF(TblReferentiescoreT1321516174184[[#This Row],[Aantal
ritten]]="","Aantal ritten niet gevuld",""))),
  "")</f>
        <v/>
      </c>
    </row>
    <row r="15" spans="1:17" ht="15.75" customHeight="1" x14ac:dyDescent="0.2">
      <c r="A15" s="137" t="s">
        <v>207</v>
      </c>
      <c r="B15" s="136">
        <v>2595</v>
      </c>
      <c r="C15" s="64"/>
      <c r="D15" s="65">
        <v>36</v>
      </c>
      <c r="E15" s="82">
        <f t="shared" si="0"/>
        <v>73</v>
      </c>
      <c r="F15" s="83">
        <v>17.2</v>
      </c>
      <c r="G15" s="66"/>
      <c r="H15" s="67"/>
      <c r="I15" s="67"/>
      <c r="J15" s="68"/>
      <c r="K15" s="69"/>
      <c r="L15" s="70" t="str">
        <f>IFERROR(TblReferentiescoreT1321516174184[[#This Row],[Aantal
ritten]]*TblReferentiescoreT1321516174184[[#This Row],[Afstand
per rit
'[km']]]*TblReferentiescoreT1321516174184[[#This Row],[Gemiddeld
volume
per rit
'[ton']]]*VLOOKUP(TblReferentiescoreT1321516174184[[#This Row],[Type transportmiddel]],TblType[],2,0),"")</f>
        <v/>
      </c>
      <c r="M15" s="70" t="str">
        <f>IFERROR(TblReferentiescoreT1321516174184[[#This Row],[Energie-vraag (MJ)]]/stookwaarde_diesel/dichtheid_diesel*emissiefactor_diesel,"")</f>
        <v/>
      </c>
      <c r="N15" s="71" t="str">
        <f>IFERROR(
     TblReferentiescoreT1321516174184[[#This Row],[Referentie-score]]*
          ((100%-TblReferentiescoreT1321516174184[[#This Row],[Aandeel
2e energie
-bron]])*INDEX(TblBrandstof[CO2 uitstoot verg 1l diesel],MATCH(TblReferentiescoreT1321516174184[[#This Row],[Energiebron]],TblBrandstof[Brandstof],0))+
          TblReferentiescoreT1321516174184[[#This Row],[Aandeel
2e energie
-bron]]*INDEX(TblBrandstof[CO2 uitstoot verg 1l diesel],MATCH(IF(OR(TblReferentiescoreT1321516174184[[#This Row],[2e energiebron]]="N.v.t.",TblReferentiescoreT1321516174184[[#This Row],[2e energiebron]]=""),TblReferentiescoreT1321516174184[[#This Row],[Energiebron]],TblReferentiescoreT1321516174184[[#This Row],[2e energiebron]]),TblBrandstof[Brandstof],0)))*
      IF(OR(TblReferentiescoreT1321516174184[[#This Row],[Motortype]]="Elektrisch",TblReferentiescoreT1321516174184[[#This Row],[Hybride]]="Ja"),TblHybride[Waardering hybride],1),"")</f>
        <v/>
      </c>
      <c r="O15" s="71" t="str">
        <f>IFERROR(TblReferentiescoreT1321516174184[[#This Row],[CO2-impact
'[kg CO2']]]*IF(INDEX(TblBrandstof[Waardering Euroniveau],MATCH(TblReferentiescoreT1321516174184[[#This Row],[Energiebron]],TblBrandstof[Brandstof],0)),VLOOKUP(TblReferentiescoreT1321516174184[[#This Row],[Motortype]],TblMotortypeT[],2,0),1),"")</f>
        <v/>
      </c>
      <c r="P15" s="73" t="str">
        <f>IF(TblReferentiescoreT1321516174184[[#This Row],[Slibtransport
van rwzi naar rwzi]]&lt;&gt;"",
    IF(TblReferentiescoreT1321516174184[[#This Row],[Gemiddeld
volume
per rit
'[ton']]]="","Gemiddelde vracht per volle rit niet gevuld",
    IF(TblReferentiescoreT1321516174184[[#This Row],[Afstand
per rit
'[km']]]="","Afstand per rit niet gevuld",
    IF(TblReferentiescoreT1321516174184[[#This Row],[Aantal
ritten]]="","Aantal ritten niet gevuld",""))),
  "")</f>
        <v/>
      </c>
    </row>
    <row r="16" spans="1:17" ht="15.75" customHeight="1" x14ac:dyDescent="0.2">
      <c r="A16" s="137" t="s">
        <v>208</v>
      </c>
      <c r="B16" s="136">
        <v>3770</v>
      </c>
      <c r="C16" s="64"/>
      <c r="D16" s="65">
        <v>36</v>
      </c>
      <c r="E16" s="82">
        <f t="shared" si="0"/>
        <v>105</v>
      </c>
      <c r="F16" s="83">
        <v>33</v>
      </c>
      <c r="G16" s="66"/>
      <c r="H16" s="67"/>
      <c r="I16" s="67"/>
      <c r="J16" s="68"/>
      <c r="K16" s="69"/>
      <c r="L16" s="70" t="str">
        <f>IFERROR(TblReferentiescoreT1321516174184[[#This Row],[Aantal
ritten]]*TblReferentiescoreT1321516174184[[#This Row],[Afstand
per rit
'[km']]]*TblReferentiescoreT1321516174184[[#This Row],[Gemiddeld
volume
per rit
'[ton']]]*VLOOKUP(TblReferentiescoreT1321516174184[[#This Row],[Type transportmiddel]],TblType[],2,0),"")</f>
        <v/>
      </c>
      <c r="M16" s="70" t="str">
        <f>IFERROR(TblReferentiescoreT1321516174184[[#This Row],[Energie-vraag (MJ)]]/stookwaarde_diesel/dichtheid_diesel*emissiefactor_diesel,"")</f>
        <v/>
      </c>
      <c r="N16" s="71" t="str">
        <f>IFERROR(
     TblReferentiescoreT1321516174184[[#This Row],[Referentie-score]]*
          ((100%-TblReferentiescoreT1321516174184[[#This Row],[Aandeel
2e energie
-bron]])*INDEX(TblBrandstof[CO2 uitstoot verg 1l diesel],MATCH(TblReferentiescoreT1321516174184[[#This Row],[Energiebron]],TblBrandstof[Brandstof],0))+
          TblReferentiescoreT1321516174184[[#This Row],[Aandeel
2e energie
-bron]]*INDEX(TblBrandstof[CO2 uitstoot verg 1l diesel],MATCH(IF(OR(TblReferentiescoreT1321516174184[[#This Row],[2e energiebron]]="N.v.t.",TblReferentiescoreT1321516174184[[#This Row],[2e energiebron]]=""),TblReferentiescoreT1321516174184[[#This Row],[Energiebron]],TblReferentiescoreT1321516174184[[#This Row],[2e energiebron]]),TblBrandstof[Brandstof],0)))*
      IF(OR(TblReferentiescoreT1321516174184[[#This Row],[Motortype]]="Elektrisch",TblReferentiescoreT1321516174184[[#This Row],[Hybride]]="Ja"),TblHybride[Waardering hybride],1),"")</f>
        <v/>
      </c>
      <c r="O16" s="71" t="str">
        <f>IFERROR(TblReferentiescoreT1321516174184[[#This Row],[CO2-impact
'[kg CO2']]]*IF(INDEX(TblBrandstof[Waardering Euroniveau],MATCH(TblReferentiescoreT1321516174184[[#This Row],[Energiebron]],TblBrandstof[Brandstof],0)),VLOOKUP(TblReferentiescoreT1321516174184[[#This Row],[Motortype]],TblMotortypeT[],2,0),1),"")</f>
        <v/>
      </c>
      <c r="P16" s="73" t="str">
        <f>IF(TblReferentiescoreT1321516174184[[#This Row],[Slibtransport
van rwzi naar rwzi]]&lt;&gt;"",
    IF(TblReferentiescoreT1321516174184[[#This Row],[Gemiddeld
volume
per rit
'[ton']]]="","Gemiddelde vracht per volle rit niet gevuld",
    IF(TblReferentiescoreT1321516174184[[#This Row],[Afstand
per rit
'[km']]]="","Afstand per rit niet gevuld",
    IF(TblReferentiescoreT1321516174184[[#This Row],[Aantal
ritten]]="","Aantal ritten niet gevuld",""))),
  "")</f>
        <v/>
      </c>
    </row>
    <row r="17" spans="1:17" ht="15.75" customHeight="1" x14ac:dyDescent="0.2">
      <c r="A17" s="137" t="s">
        <v>209</v>
      </c>
      <c r="B17" s="136">
        <v>210</v>
      </c>
      <c r="C17" s="64"/>
      <c r="D17" s="65">
        <v>36</v>
      </c>
      <c r="E17" s="82">
        <f t="shared" si="0"/>
        <v>6</v>
      </c>
      <c r="F17" s="83">
        <v>39</v>
      </c>
      <c r="G17" s="66"/>
      <c r="H17" s="67"/>
      <c r="I17" s="67"/>
      <c r="J17" s="68"/>
      <c r="K17" s="69"/>
      <c r="L17" s="70" t="str">
        <f>IFERROR(TblReferentiescoreT1321516174184[[#This Row],[Aantal
ritten]]*TblReferentiescoreT1321516174184[[#This Row],[Afstand
per rit
'[km']]]*TblReferentiescoreT1321516174184[[#This Row],[Gemiddeld
volume
per rit
'[ton']]]*VLOOKUP(TblReferentiescoreT1321516174184[[#This Row],[Type transportmiddel]],TblType[],2,0),"")</f>
        <v/>
      </c>
      <c r="M17" s="70" t="str">
        <f>IFERROR(TblReferentiescoreT1321516174184[[#This Row],[Energie-vraag (MJ)]]/stookwaarde_diesel/dichtheid_diesel*emissiefactor_diesel,"")</f>
        <v/>
      </c>
      <c r="N17" s="71" t="str">
        <f>IFERROR(
     TblReferentiescoreT1321516174184[[#This Row],[Referentie-score]]*
          ((100%-TblReferentiescoreT1321516174184[[#This Row],[Aandeel
2e energie
-bron]])*INDEX(TblBrandstof[CO2 uitstoot verg 1l diesel],MATCH(TblReferentiescoreT1321516174184[[#This Row],[Energiebron]],TblBrandstof[Brandstof],0))+
          TblReferentiescoreT1321516174184[[#This Row],[Aandeel
2e energie
-bron]]*INDEX(TblBrandstof[CO2 uitstoot verg 1l diesel],MATCH(IF(OR(TblReferentiescoreT1321516174184[[#This Row],[2e energiebron]]="N.v.t.",TblReferentiescoreT1321516174184[[#This Row],[2e energiebron]]=""),TblReferentiescoreT1321516174184[[#This Row],[Energiebron]],TblReferentiescoreT1321516174184[[#This Row],[2e energiebron]]),TblBrandstof[Brandstof],0)))*
      IF(OR(TblReferentiescoreT1321516174184[[#This Row],[Motortype]]="Elektrisch",TblReferentiescoreT1321516174184[[#This Row],[Hybride]]="Ja"),TblHybride[Waardering hybride],1),"")</f>
        <v/>
      </c>
      <c r="O17" s="71" t="str">
        <f>IFERROR(TblReferentiescoreT1321516174184[[#This Row],[CO2-impact
'[kg CO2']]]*IF(INDEX(TblBrandstof[Waardering Euroniveau],MATCH(TblReferentiescoreT1321516174184[[#This Row],[Energiebron]],TblBrandstof[Brandstof],0)),VLOOKUP(TblReferentiescoreT1321516174184[[#This Row],[Motortype]],TblMotortypeT[],2,0),1),"")</f>
        <v/>
      </c>
      <c r="P17" s="73" t="str">
        <f>IF(TblReferentiescoreT1321516174184[[#This Row],[Slibtransport
van rwzi naar rwzi]]&lt;&gt;"",
    IF(TblReferentiescoreT1321516174184[[#This Row],[Gemiddeld
volume
per rit
'[ton']]]="","Gemiddelde vracht per volle rit niet gevuld",
    IF(TblReferentiescoreT1321516174184[[#This Row],[Afstand
per rit
'[km']]]="","Afstand per rit niet gevuld",
    IF(TblReferentiescoreT1321516174184[[#This Row],[Aantal
ritten]]="","Aantal ritten niet gevuld",""))),
  "")</f>
        <v/>
      </c>
    </row>
    <row r="18" spans="1:17" ht="15.75" customHeight="1" x14ac:dyDescent="0.2">
      <c r="A18" s="137" t="s">
        <v>210</v>
      </c>
      <c r="B18" s="136">
        <v>3420</v>
      </c>
      <c r="C18" s="64"/>
      <c r="D18" s="65">
        <v>36</v>
      </c>
      <c r="E18" s="82">
        <f t="shared" si="0"/>
        <v>95</v>
      </c>
      <c r="F18" s="83">
        <v>46.3</v>
      </c>
      <c r="G18" s="66"/>
      <c r="H18" s="67"/>
      <c r="I18" s="67"/>
      <c r="J18" s="68"/>
      <c r="K18" s="69"/>
      <c r="L18" s="70" t="str">
        <f>IFERROR(TblReferentiescoreT1321516174184[[#This Row],[Aantal
ritten]]*TblReferentiescoreT1321516174184[[#This Row],[Afstand
per rit
'[km']]]*TblReferentiescoreT1321516174184[[#This Row],[Gemiddeld
volume
per rit
'[ton']]]*VLOOKUP(TblReferentiescoreT1321516174184[[#This Row],[Type transportmiddel]],TblType[],2,0),"")</f>
        <v/>
      </c>
      <c r="M18" s="70" t="str">
        <f>IFERROR(TblReferentiescoreT1321516174184[[#This Row],[Energie-vraag (MJ)]]/stookwaarde_diesel/dichtheid_diesel*emissiefactor_diesel,"")</f>
        <v/>
      </c>
      <c r="N18" s="71" t="str">
        <f>IFERROR(
     TblReferentiescoreT1321516174184[[#This Row],[Referentie-score]]*
          ((100%-TblReferentiescoreT1321516174184[[#This Row],[Aandeel
2e energie
-bron]])*INDEX(TblBrandstof[CO2 uitstoot verg 1l diesel],MATCH(TblReferentiescoreT1321516174184[[#This Row],[Energiebron]],TblBrandstof[Brandstof],0))+
          TblReferentiescoreT1321516174184[[#This Row],[Aandeel
2e energie
-bron]]*INDEX(TblBrandstof[CO2 uitstoot verg 1l diesel],MATCH(IF(OR(TblReferentiescoreT1321516174184[[#This Row],[2e energiebron]]="N.v.t.",TblReferentiescoreT1321516174184[[#This Row],[2e energiebron]]=""),TblReferentiescoreT1321516174184[[#This Row],[Energiebron]],TblReferentiescoreT1321516174184[[#This Row],[2e energiebron]]),TblBrandstof[Brandstof],0)))*
      IF(OR(TblReferentiescoreT1321516174184[[#This Row],[Motortype]]="Elektrisch",TblReferentiescoreT1321516174184[[#This Row],[Hybride]]="Ja"),TblHybride[Waardering hybride],1),"")</f>
        <v/>
      </c>
      <c r="O18" s="71" t="str">
        <f>IFERROR(TblReferentiescoreT1321516174184[[#This Row],[CO2-impact
'[kg CO2']]]*IF(INDEX(TblBrandstof[Waardering Euroniveau],MATCH(TblReferentiescoreT1321516174184[[#This Row],[Energiebron]],TblBrandstof[Brandstof],0)),VLOOKUP(TblReferentiescoreT1321516174184[[#This Row],[Motortype]],TblMotortypeT[],2,0),1),"")</f>
        <v/>
      </c>
      <c r="P18" s="73" t="str">
        <f>IF(TblReferentiescoreT1321516174184[[#This Row],[Slibtransport
van rwzi naar rwzi]]&lt;&gt;"",
    IF(TblReferentiescoreT1321516174184[[#This Row],[Gemiddeld
volume
per rit
'[ton']]]="","Gemiddelde vracht per volle rit niet gevuld",
    IF(TblReferentiescoreT1321516174184[[#This Row],[Afstand
per rit
'[km']]]="","Afstand per rit niet gevuld",
    IF(TblReferentiescoreT1321516174184[[#This Row],[Aantal
ritten]]="","Aantal ritten niet gevuld",""))),
  "")</f>
        <v/>
      </c>
    </row>
    <row r="19" spans="1:17" ht="15.75" customHeight="1" x14ac:dyDescent="0.2">
      <c r="A19" s="137" t="s">
        <v>211</v>
      </c>
      <c r="B19" s="136">
        <v>2106</v>
      </c>
      <c r="C19" s="64"/>
      <c r="D19" s="65">
        <v>36</v>
      </c>
      <c r="E19" s="82">
        <f t="shared" si="0"/>
        <v>59</v>
      </c>
      <c r="F19" s="83">
        <v>18.3</v>
      </c>
      <c r="G19" s="66"/>
      <c r="H19" s="67"/>
      <c r="I19" s="67"/>
      <c r="J19" s="68"/>
      <c r="K19" s="69"/>
      <c r="L19" s="70" t="str">
        <f>IFERROR(TblReferentiescoreT1321516174184[[#This Row],[Aantal
ritten]]*TblReferentiescoreT1321516174184[[#This Row],[Afstand
per rit
'[km']]]*TblReferentiescoreT1321516174184[[#This Row],[Gemiddeld
volume
per rit
'[ton']]]*VLOOKUP(TblReferentiescoreT1321516174184[[#This Row],[Type transportmiddel]],TblType[],2,0),"")</f>
        <v/>
      </c>
      <c r="M19" s="70" t="str">
        <f>IFERROR(TblReferentiescoreT1321516174184[[#This Row],[Energie-vraag (MJ)]]/stookwaarde_diesel/dichtheid_diesel*emissiefactor_diesel,"")</f>
        <v/>
      </c>
      <c r="N19" s="71" t="str">
        <f>IFERROR(
     TblReferentiescoreT1321516174184[[#This Row],[Referentie-score]]*
          ((100%-TblReferentiescoreT1321516174184[[#This Row],[Aandeel
2e energie
-bron]])*INDEX(TblBrandstof[CO2 uitstoot verg 1l diesel],MATCH(TblReferentiescoreT1321516174184[[#This Row],[Energiebron]],TblBrandstof[Brandstof],0))+
          TblReferentiescoreT1321516174184[[#This Row],[Aandeel
2e energie
-bron]]*INDEX(TblBrandstof[CO2 uitstoot verg 1l diesel],MATCH(IF(OR(TblReferentiescoreT1321516174184[[#This Row],[2e energiebron]]="N.v.t.",TblReferentiescoreT1321516174184[[#This Row],[2e energiebron]]=""),TblReferentiescoreT1321516174184[[#This Row],[Energiebron]],TblReferentiescoreT1321516174184[[#This Row],[2e energiebron]]),TblBrandstof[Brandstof],0)))*
      IF(OR(TblReferentiescoreT1321516174184[[#This Row],[Motortype]]="Elektrisch",TblReferentiescoreT1321516174184[[#This Row],[Hybride]]="Ja"),TblHybride[Waardering hybride],1),"")</f>
        <v/>
      </c>
      <c r="O19" s="71" t="str">
        <f>IFERROR(TblReferentiescoreT1321516174184[[#This Row],[CO2-impact
'[kg CO2']]]*IF(INDEX(TblBrandstof[Waardering Euroniveau],MATCH(TblReferentiescoreT1321516174184[[#This Row],[Energiebron]],TblBrandstof[Brandstof],0)),VLOOKUP(TblReferentiescoreT1321516174184[[#This Row],[Motortype]],TblMotortypeT[],2,0),1),"")</f>
        <v/>
      </c>
      <c r="P19" s="73" t="str">
        <f>IF(TblReferentiescoreT1321516174184[[#This Row],[Slibtransport
van rwzi naar rwzi]]&lt;&gt;"",
    IF(TblReferentiescoreT1321516174184[[#This Row],[Gemiddeld
volume
per rit
'[ton']]]="","Gemiddelde vracht per volle rit niet gevuld",
    IF(TblReferentiescoreT1321516174184[[#This Row],[Afstand
per rit
'[km']]]="","Afstand per rit niet gevuld",
    IF(TblReferentiescoreT1321516174184[[#This Row],[Aantal
ritten]]="","Aantal ritten niet gevuld",""))),
  "")</f>
        <v/>
      </c>
    </row>
    <row r="20" spans="1:17" ht="15.75" customHeight="1" x14ac:dyDescent="0.2">
      <c r="A20" s="137" t="s">
        <v>212</v>
      </c>
      <c r="B20" s="136">
        <v>5072</v>
      </c>
      <c r="C20" s="64"/>
      <c r="D20" s="65">
        <v>36</v>
      </c>
      <c r="E20" s="82">
        <f t="shared" si="0"/>
        <v>141</v>
      </c>
      <c r="F20" s="83">
        <v>27.5</v>
      </c>
      <c r="G20" s="66"/>
      <c r="H20" s="67"/>
      <c r="I20" s="67"/>
      <c r="J20" s="68"/>
      <c r="K20" s="69"/>
      <c r="L20" s="70" t="str">
        <f>IFERROR(TblReferentiescoreT1321516174184[[#This Row],[Aantal
ritten]]*TblReferentiescoreT1321516174184[[#This Row],[Afstand
per rit
'[km']]]*TblReferentiescoreT1321516174184[[#This Row],[Gemiddeld
volume
per rit
'[ton']]]*VLOOKUP(TblReferentiescoreT1321516174184[[#This Row],[Type transportmiddel]],TblType[],2,0),"")</f>
        <v/>
      </c>
      <c r="M20" s="70" t="str">
        <f>IFERROR(TblReferentiescoreT1321516174184[[#This Row],[Energie-vraag (MJ)]]/stookwaarde_diesel/dichtheid_diesel*emissiefactor_diesel,"")</f>
        <v/>
      </c>
      <c r="N20" s="71" t="str">
        <f>IFERROR(
     TblReferentiescoreT1321516174184[[#This Row],[Referentie-score]]*
          ((100%-TblReferentiescoreT1321516174184[[#This Row],[Aandeel
2e energie
-bron]])*INDEX(TblBrandstof[CO2 uitstoot verg 1l diesel],MATCH(TblReferentiescoreT1321516174184[[#This Row],[Energiebron]],TblBrandstof[Brandstof],0))+
          TblReferentiescoreT1321516174184[[#This Row],[Aandeel
2e energie
-bron]]*INDEX(TblBrandstof[CO2 uitstoot verg 1l diesel],MATCH(IF(OR(TblReferentiescoreT1321516174184[[#This Row],[2e energiebron]]="N.v.t.",TblReferentiescoreT1321516174184[[#This Row],[2e energiebron]]=""),TblReferentiescoreT1321516174184[[#This Row],[Energiebron]],TblReferentiescoreT1321516174184[[#This Row],[2e energiebron]]),TblBrandstof[Brandstof],0)))*
      IF(OR(TblReferentiescoreT1321516174184[[#This Row],[Motortype]]="Elektrisch",TblReferentiescoreT1321516174184[[#This Row],[Hybride]]="Ja"),TblHybride[Waardering hybride],1),"")</f>
        <v/>
      </c>
      <c r="O20" s="71" t="str">
        <f>IFERROR(TblReferentiescoreT1321516174184[[#This Row],[CO2-impact
'[kg CO2']]]*IF(INDEX(TblBrandstof[Waardering Euroniveau],MATCH(TblReferentiescoreT1321516174184[[#This Row],[Energiebron]],TblBrandstof[Brandstof],0)),VLOOKUP(TblReferentiescoreT1321516174184[[#This Row],[Motortype]],TblMotortypeT[],2,0),1),"")</f>
        <v/>
      </c>
      <c r="P20" s="73" t="str">
        <f>IF(TblReferentiescoreT1321516174184[[#This Row],[Slibtransport
van rwzi naar rwzi]]&lt;&gt;"",
    IF(TblReferentiescoreT1321516174184[[#This Row],[Gemiddeld
volume
per rit
'[ton']]]="","Gemiddelde vracht per volle rit niet gevuld",
    IF(TblReferentiescoreT1321516174184[[#This Row],[Afstand
per rit
'[km']]]="","Afstand per rit niet gevuld",
    IF(TblReferentiescoreT1321516174184[[#This Row],[Aantal
ritten]]="","Aantal ritten niet gevuld",""))),
  "")</f>
        <v/>
      </c>
    </row>
    <row r="21" spans="1:17" ht="15.75" customHeight="1" x14ac:dyDescent="0.2">
      <c r="A21" s="137" t="s">
        <v>213</v>
      </c>
      <c r="B21" s="136">
        <v>1689</v>
      </c>
      <c r="C21" s="64"/>
      <c r="D21" s="65">
        <v>36</v>
      </c>
      <c r="E21" s="82">
        <f t="shared" si="0"/>
        <v>47</v>
      </c>
      <c r="F21" s="83">
        <v>36.299999999999997</v>
      </c>
      <c r="G21" s="66"/>
      <c r="H21" s="67"/>
      <c r="I21" s="67"/>
      <c r="J21" s="68"/>
      <c r="K21" s="69"/>
      <c r="L21" s="70" t="str">
        <f>IFERROR(TblReferentiescoreT1321516174184[[#This Row],[Aantal
ritten]]*TblReferentiescoreT1321516174184[[#This Row],[Afstand
per rit
'[km']]]*TblReferentiescoreT1321516174184[[#This Row],[Gemiddeld
volume
per rit
'[ton']]]*VLOOKUP(TblReferentiescoreT1321516174184[[#This Row],[Type transportmiddel]],TblType[],2,0),"")</f>
        <v/>
      </c>
      <c r="M21" s="70" t="str">
        <f>IFERROR(TblReferentiescoreT1321516174184[[#This Row],[Energie-vraag (MJ)]]/stookwaarde_diesel/dichtheid_diesel*emissiefactor_diesel,"")</f>
        <v/>
      </c>
      <c r="N21" s="71" t="str">
        <f>IFERROR(
     TblReferentiescoreT1321516174184[[#This Row],[Referentie-score]]*
          ((100%-TblReferentiescoreT1321516174184[[#This Row],[Aandeel
2e energie
-bron]])*INDEX(TblBrandstof[CO2 uitstoot verg 1l diesel],MATCH(TblReferentiescoreT1321516174184[[#This Row],[Energiebron]],TblBrandstof[Brandstof],0))+
          TblReferentiescoreT1321516174184[[#This Row],[Aandeel
2e energie
-bron]]*INDEX(TblBrandstof[CO2 uitstoot verg 1l diesel],MATCH(IF(OR(TblReferentiescoreT1321516174184[[#This Row],[2e energiebron]]="N.v.t.",TblReferentiescoreT1321516174184[[#This Row],[2e energiebron]]=""),TblReferentiescoreT1321516174184[[#This Row],[Energiebron]],TblReferentiescoreT1321516174184[[#This Row],[2e energiebron]]),TblBrandstof[Brandstof],0)))*
      IF(OR(TblReferentiescoreT1321516174184[[#This Row],[Motortype]]="Elektrisch",TblReferentiescoreT1321516174184[[#This Row],[Hybride]]="Ja"),TblHybride[Waardering hybride],1),"")</f>
        <v/>
      </c>
      <c r="O21" s="71" t="str">
        <f>IFERROR(TblReferentiescoreT1321516174184[[#This Row],[CO2-impact
'[kg CO2']]]*IF(INDEX(TblBrandstof[Waardering Euroniveau],MATCH(TblReferentiescoreT1321516174184[[#This Row],[Energiebron]],TblBrandstof[Brandstof],0)),VLOOKUP(TblReferentiescoreT1321516174184[[#This Row],[Motortype]],TblMotortypeT[],2,0),1),"")</f>
        <v/>
      </c>
      <c r="P21" s="73" t="str">
        <f>IF(TblReferentiescoreT1321516174184[[#This Row],[Slibtransport
van rwzi naar rwzi]]&lt;&gt;"",
    IF(TblReferentiescoreT1321516174184[[#This Row],[Gemiddeld
volume
per rit
'[ton']]]="","Gemiddelde vracht per volle rit niet gevuld",
    IF(TblReferentiescoreT1321516174184[[#This Row],[Afstand
per rit
'[km']]]="","Afstand per rit niet gevuld",
    IF(TblReferentiescoreT1321516174184[[#This Row],[Aantal
ritten]]="","Aantal ritten niet gevuld",""))),
  "")</f>
        <v/>
      </c>
    </row>
    <row r="22" spans="1:17" ht="15.75" customHeight="1" x14ac:dyDescent="0.2">
      <c r="A22" s="137" t="s">
        <v>214</v>
      </c>
      <c r="B22" s="136">
        <v>4509</v>
      </c>
      <c r="C22" s="64"/>
      <c r="D22" s="65">
        <v>36</v>
      </c>
      <c r="E22" s="82">
        <f t="shared" si="0"/>
        <v>126</v>
      </c>
      <c r="F22" s="83">
        <v>25.3</v>
      </c>
      <c r="G22" s="66"/>
      <c r="H22" s="67"/>
      <c r="I22" s="67"/>
      <c r="J22" s="68"/>
      <c r="K22" s="69"/>
      <c r="L22" s="70" t="str">
        <f>IFERROR(TblReferentiescoreT1321516174184[[#This Row],[Aantal
ritten]]*TblReferentiescoreT1321516174184[[#This Row],[Afstand
per rit
'[km']]]*TblReferentiescoreT1321516174184[[#This Row],[Gemiddeld
volume
per rit
'[ton']]]*VLOOKUP(TblReferentiescoreT1321516174184[[#This Row],[Type transportmiddel]],TblType[],2,0),"")</f>
        <v/>
      </c>
      <c r="M22" s="70" t="str">
        <f>IFERROR(TblReferentiescoreT1321516174184[[#This Row],[Energie-vraag (MJ)]]/stookwaarde_diesel/dichtheid_diesel*emissiefactor_diesel,"")</f>
        <v/>
      </c>
      <c r="N22" s="71" t="str">
        <f>IFERROR(
     TblReferentiescoreT1321516174184[[#This Row],[Referentie-score]]*
          ((100%-TblReferentiescoreT1321516174184[[#This Row],[Aandeel
2e energie
-bron]])*INDEX(TblBrandstof[CO2 uitstoot verg 1l diesel],MATCH(TblReferentiescoreT1321516174184[[#This Row],[Energiebron]],TblBrandstof[Brandstof],0))+
          TblReferentiescoreT1321516174184[[#This Row],[Aandeel
2e energie
-bron]]*INDEX(TblBrandstof[CO2 uitstoot verg 1l diesel],MATCH(IF(OR(TblReferentiescoreT1321516174184[[#This Row],[2e energiebron]]="N.v.t.",TblReferentiescoreT1321516174184[[#This Row],[2e energiebron]]=""),TblReferentiescoreT1321516174184[[#This Row],[Energiebron]],TblReferentiescoreT1321516174184[[#This Row],[2e energiebron]]),TblBrandstof[Brandstof],0)))*
      IF(OR(TblReferentiescoreT1321516174184[[#This Row],[Motortype]]="Elektrisch",TblReferentiescoreT1321516174184[[#This Row],[Hybride]]="Ja"),TblHybride[Waardering hybride],1),"")</f>
        <v/>
      </c>
      <c r="O22" s="71" t="str">
        <f>IFERROR(TblReferentiescoreT1321516174184[[#This Row],[CO2-impact
'[kg CO2']]]*IF(INDEX(TblBrandstof[Waardering Euroniveau],MATCH(TblReferentiescoreT1321516174184[[#This Row],[Energiebron]],TblBrandstof[Brandstof],0)),VLOOKUP(TblReferentiescoreT1321516174184[[#This Row],[Motortype]],TblMotortypeT[],2,0),1),"")</f>
        <v/>
      </c>
      <c r="P22" s="73" t="str">
        <f>IF(TblReferentiescoreT1321516174184[[#This Row],[Slibtransport
van rwzi naar rwzi]]&lt;&gt;"",
    IF(TblReferentiescoreT1321516174184[[#This Row],[Gemiddeld
volume
per rit
'[ton']]]="","Gemiddelde vracht per volle rit niet gevuld",
    IF(TblReferentiescoreT1321516174184[[#This Row],[Afstand
per rit
'[km']]]="","Afstand per rit niet gevuld",
    IF(TblReferentiescoreT1321516174184[[#This Row],[Aantal
ritten]]="","Aantal ritten niet gevuld",""))),
  "")</f>
        <v/>
      </c>
    </row>
    <row r="23" spans="1:17" ht="15.75" customHeight="1" x14ac:dyDescent="0.2">
      <c r="A23" s="137" t="s">
        <v>215</v>
      </c>
      <c r="B23" s="136">
        <v>144</v>
      </c>
      <c r="C23" s="64"/>
      <c r="D23" s="65">
        <v>36</v>
      </c>
      <c r="E23" s="82">
        <f t="shared" si="0"/>
        <v>4</v>
      </c>
      <c r="F23" s="83">
        <v>13.7</v>
      </c>
      <c r="G23" s="66"/>
      <c r="H23" s="67"/>
      <c r="I23" s="67"/>
      <c r="J23" s="68"/>
      <c r="K23" s="69"/>
      <c r="L23" s="70" t="str">
        <f>IFERROR(TblReferentiescoreT1321516174184[[#This Row],[Aantal
ritten]]*TblReferentiescoreT1321516174184[[#This Row],[Afstand
per rit
'[km']]]*TblReferentiescoreT1321516174184[[#This Row],[Gemiddeld
volume
per rit
'[ton']]]*VLOOKUP(TblReferentiescoreT1321516174184[[#This Row],[Type transportmiddel]],TblType[],2,0),"")</f>
        <v/>
      </c>
      <c r="M23" s="70" t="str">
        <f>IFERROR(TblReferentiescoreT1321516174184[[#This Row],[Energie-vraag (MJ)]]/stookwaarde_diesel/dichtheid_diesel*emissiefactor_diesel,"")</f>
        <v/>
      </c>
      <c r="N23" s="71" t="str">
        <f>IFERROR(
     TblReferentiescoreT1321516174184[[#This Row],[Referentie-score]]*
          ((100%-TblReferentiescoreT1321516174184[[#This Row],[Aandeel
2e energie
-bron]])*INDEX(TblBrandstof[CO2 uitstoot verg 1l diesel],MATCH(TblReferentiescoreT1321516174184[[#This Row],[Energiebron]],TblBrandstof[Brandstof],0))+
          TblReferentiescoreT1321516174184[[#This Row],[Aandeel
2e energie
-bron]]*INDEX(TblBrandstof[CO2 uitstoot verg 1l diesel],MATCH(IF(OR(TblReferentiescoreT1321516174184[[#This Row],[2e energiebron]]="N.v.t.",TblReferentiescoreT1321516174184[[#This Row],[2e energiebron]]=""),TblReferentiescoreT1321516174184[[#This Row],[Energiebron]],TblReferentiescoreT1321516174184[[#This Row],[2e energiebron]]),TblBrandstof[Brandstof],0)))*
      IF(OR(TblReferentiescoreT1321516174184[[#This Row],[Motortype]]="Elektrisch",TblReferentiescoreT1321516174184[[#This Row],[Hybride]]="Ja"),TblHybride[Waardering hybride],1),"")</f>
        <v/>
      </c>
      <c r="O23" s="71" t="str">
        <f>IFERROR(TblReferentiescoreT1321516174184[[#This Row],[CO2-impact
'[kg CO2']]]*IF(INDEX(TblBrandstof[Waardering Euroniveau],MATCH(TblReferentiescoreT1321516174184[[#This Row],[Energiebron]],TblBrandstof[Brandstof],0)),VLOOKUP(TblReferentiescoreT1321516174184[[#This Row],[Motortype]],TblMotortypeT[],2,0),1),"")</f>
        <v/>
      </c>
      <c r="P23" s="73" t="str">
        <f>IF(TblReferentiescoreT1321516174184[[#This Row],[Slibtransport
van rwzi naar rwzi]]&lt;&gt;"",
    IF(TblReferentiescoreT1321516174184[[#This Row],[Gemiddeld
volume
per rit
'[ton']]]="","Gemiddelde vracht per volle rit niet gevuld",
    IF(TblReferentiescoreT1321516174184[[#This Row],[Afstand
per rit
'[km']]]="","Afstand per rit niet gevuld",
    IF(TblReferentiescoreT1321516174184[[#This Row],[Aantal
ritten]]="","Aantal ritten niet gevuld",""))),
  "")</f>
        <v/>
      </c>
    </row>
    <row r="24" spans="1:17" ht="15.75" customHeight="1" x14ac:dyDescent="0.2">
      <c r="A24" s="137" t="s">
        <v>217</v>
      </c>
      <c r="B24" s="136">
        <v>3765</v>
      </c>
      <c r="C24" s="64"/>
      <c r="D24" s="65">
        <v>36</v>
      </c>
      <c r="E24" s="82">
        <f t="shared" si="0"/>
        <v>105</v>
      </c>
      <c r="F24" s="83">
        <v>24.8</v>
      </c>
      <c r="G24" s="66"/>
      <c r="H24" s="67"/>
      <c r="I24" s="67"/>
      <c r="J24" s="68"/>
      <c r="K24" s="69"/>
      <c r="L24" s="70" t="str">
        <f>IFERROR(TblReferentiescoreT1321516174184[[#This Row],[Aantal
ritten]]*TblReferentiescoreT1321516174184[[#This Row],[Afstand
per rit
'[km']]]*TblReferentiescoreT1321516174184[[#This Row],[Gemiddeld
volume
per rit
'[ton']]]*VLOOKUP(TblReferentiescoreT1321516174184[[#This Row],[Type transportmiddel]],TblType[],2,0),"")</f>
        <v/>
      </c>
      <c r="M24" s="70" t="str">
        <f>IFERROR(TblReferentiescoreT1321516174184[[#This Row],[Energie-vraag (MJ)]]/stookwaarde_diesel/dichtheid_diesel*emissiefactor_diesel,"")</f>
        <v/>
      </c>
      <c r="N24" s="71" t="str">
        <f>IFERROR(
     TblReferentiescoreT1321516174184[[#This Row],[Referentie-score]]*
          ((100%-TblReferentiescoreT1321516174184[[#This Row],[Aandeel
2e energie
-bron]])*INDEX(TblBrandstof[CO2 uitstoot verg 1l diesel],MATCH(TblReferentiescoreT1321516174184[[#This Row],[Energiebron]],TblBrandstof[Brandstof],0))+
          TblReferentiescoreT1321516174184[[#This Row],[Aandeel
2e energie
-bron]]*INDEX(TblBrandstof[CO2 uitstoot verg 1l diesel],MATCH(IF(OR(TblReferentiescoreT1321516174184[[#This Row],[2e energiebron]]="N.v.t.",TblReferentiescoreT1321516174184[[#This Row],[2e energiebron]]=""),TblReferentiescoreT1321516174184[[#This Row],[Energiebron]],TblReferentiescoreT1321516174184[[#This Row],[2e energiebron]]),TblBrandstof[Brandstof],0)))*
      IF(OR(TblReferentiescoreT1321516174184[[#This Row],[Motortype]]="Elektrisch",TblReferentiescoreT1321516174184[[#This Row],[Hybride]]="Ja"),TblHybride[Waardering hybride],1),"")</f>
        <v/>
      </c>
      <c r="O24" s="71" t="str">
        <f>IFERROR(TblReferentiescoreT1321516174184[[#This Row],[CO2-impact
'[kg CO2']]]*IF(INDEX(TblBrandstof[Waardering Euroniveau],MATCH(TblReferentiescoreT1321516174184[[#This Row],[Energiebron]],TblBrandstof[Brandstof],0)),VLOOKUP(TblReferentiescoreT1321516174184[[#This Row],[Motortype]],TblMotortypeT[],2,0),1),"")</f>
        <v/>
      </c>
      <c r="P24" s="73" t="str">
        <f>IF(TblReferentiescoreT1321516174184[[#This Row],[Slibtransport
van rwzi naar rwzi]]&lt;&gt;"",
    IF(TblReferentiescoreT1321516174184[[#This Row],[Gemiddeld
volume
per rit
'[ton']]]="","Gemiddelde vracht per volle rit niet gevuld",
    IF(TblReferentiescoreT1321516174184[[#This Row],[Afstand
per rit
'[km']]]="","Afstand per rit niet gevuld",
    IF(TblReferentiescoreT1321516174184[[#This Row],[Aantal
ritten]]="","Aantal ritten niet gevuld",""))),
  "")</f>
        <v/>
      </c>
    </row>
    <row r="25" spans="1:17" ht="15.75" customHeight="1" thickBot="1" x14ac:dyDescent="0.25">
      <c r="A25" s="137" t="s">
        <v>216</v>
      </c>
      <c r="B25" s="136">
        <v>72</v>
      </c>
      <c r="C25" s="64"/>
      <c r="D25" s="65">
        <v>36</v>
      </c>
      <c r="E25" s="82">
        <f t="shared" si="0"/>
        <v>2</v>
      </c>
      <c r="F25" s="83">
        <v>35.9</v>
      </c>
      <c r="G25" s="66"/>
      <c r="H25" s="67"/>
      <c r="I25" s="67"/>
      <c r="J25" s="68"/>
      <c r="K25" s="69"/>
      <c r="L25" s="70" t="str">
        <f>IFERROR(TblReferentiescoreT1321516174184[[#This Row],[Aantal
ritten]]*TblReferentiescoreT1321516174184[[#This Row],[Afstand
per rit
'[km']]]*TblReferentiescoreT1321516174184[[#This Row],[Gemiddeld
volume
per rit
'[ton']]]*VLOOKUP(TblReferentiescoreT1321516174184[[#This Row],[Type transportmiddel]],TblType[],2,0),"")</f>
        <v/>
      </c>
      <c r="M25" s="70" t="str">
        <f>IFERROR(TblReferentiescoreT1321516174184[[#This Row],[Energie-vraag (MJ)]]/stookwaarde_diesel/dichtheid_diesel*emissiefactor_diesel,"")</f>
        <v/>
      </c>
      <c r="N25" s="71" t="str">
        <f>IFERROR(
     TblReferentiescoreT1321516174184[[#This Row],[Referentie-score]]*
          ((100%-TblReferentiescoreT1321516174184[[#This Row],[Aandeel
2e energie
-bron]])*INDEX(TblBrandstof[CO2 uitstoot verg 1l diesel],MATCH(TblReferentiescoreT1321516174184[[#This Row],[Energiebron]],TblBrandstof[Brandstof],0))+
          TblReferentiescoreT1321516174184[[#This Row],[Aandeel
2e energie
-bron]]*INDEX(TblBrandstof[CO2 uitstoot verg 1l diesel],MATCH(IF(OR(TblReferentiescoreT1321516174184[[#This Row],[2e energiebron]]="N.v.t.",TblReferentiescoreT1321516174184[[#This Row],[2e energiebron]]=""),TblReferentiescoreT1321516174184[[#This Row],[Energiebron]],TblReferentiescoreT1321516174184[[#This Row],[2e energiebron]]),TblBrandstof[Brandstof],0)))*
      IF(OR(TblReferentiescoreT1321516174184[[#This Row],[Motortype]]="Elektrisch",TblReferentiescoreT1321516174184[[#This Row],[Hybride]]="Ja"),TblHybride[Waardering hybride],1),"")</f>
        <v/>
      </c>
      <c r="O25" s="71" t="str">
        <f>IFERROR(TblReferentiescoreT1321516174184[[#This Row],[CO2-impact
'[kg CO2']]]*IF(INDEX(TblBrandstof[Waardering Euroniveau],MATCH(TblReferentiescoreT1321516174184[[#This Row],[Energiebron]],TblBrandstof[Brandstof],0)),VLOOKUP(TblReferentiescoreT1321516174184[[#This Row],[Motortype]],TblMotortypeT[],2,0),1),"")</f>
        <v/>
      </c>
      <c r="P25" s="73" t="str">
        <f>IF(TblReferentiescoreT1321516174184[[#This Row],[Slibtransport
van rwzi naar rwzi]]&lt;&gt;"",
    IF(TblReferentiescoreT1321516174184[[#This Row],[Gemiddeld
volume
per rit
'[ton']]]="","Gemiddelde vracht per volle rit niet gevuld",
    IF(TblReferentiescoreT1321516174184[[#This Row],[Afstand
per rit
'[km']]]="","Afstand per rit niet gevuld",
    IF(TblReferentiescoreT1321516174184[[#This Row],[Aantal
ritten]]="","Aantal ritten niet gevuld",""))),
  "")</f>
        <v/>
      </c>
    </row>
    <row r="26" spans="1:17" s="45" customFormat="1" ht="15.75" thickBot="1" x14ac:dyDescent="0.25">
      <c r="A26" s="46" t="s">
        <v>159</v>
      </c>
      <c r="B26" s="48">
        <f>SUBTOTAL(109,TblReferentiescoreT1321516174184[Gemiddeld
volume 
per jaar
'[ton']])</f>
        <v>114305</v>
      </c>
      <c r="C26" s="48"/>
      <c r="D26" s="48"/>
      <c r="E26" s="48"/>
      <c r="F26" s="48"/>
      <c r="G26" s="48"/>
      <c r="H26" s="48"/>
      <c r="I26" s="48"/>
      <c r="J26" s="48"/>
      <c r="K26" s="48"/>
      <c r="L26" s="47"/>
      <c r="M26" s="48">
        <f>SUBTOTAL(109,TblReferentiescoreT1321516174184[Referentie-score])</f>
        <v>0</v>
      </c>
      <c r="N26" s="79">
        <f>SUBTOTAL(109,TblReferentiescoreT1321516174184[CO2-impact
'[kg CO2']])</f>
        <v>0</v>
      </c>
      <c r="O26" s="79">
        <f>SUBTOTAL(109,TblReferentiescoreT1321516174184[Transport
score])</f>
        <v>0</v>
      </c>
      <c r="P26" s="48"/>
    </row>
    <row r="27" spans="1:17" x14ac:dyDescent="0.2">
      <c r="C27" s="74"/>
      <c r="D27" s="74"/>
      <c r="E27" s="75"/>
      <c r="F27" s="74"/>
      <c r="N27" s="54"/>
      <c r="O27" s="54" t="s">
        <v>197</v>
      </c>
    </row>
    <row r="28" spans="1:17" x14ac:dyDescent="0.2">
      <c r="Q28" s="49"/>
    </row>
    <row r="29" spans="1:17" x14ac:dyDescent="0.2">
      <c r="A29" s="50"/>
      <c r="B29" s="50"/>
      <c r="C29" s="76"/>
      <c r="D29" s="77"/>
      <c r="E29" s="85"/>
      <c r="F29" s="85"/>
      <c r="Q29" s="49"/>
    </row>
    <row r="30" spans="1:17" x14ac:dyDescent="0.2">
      <c r="A30" s="50"/>
      <c r="B30" s="50"/>
      <c r="C30" s="76"/>
      <c r="D30" s="77"/>
      <c r="E30" s="86"/>
      <c r="F30" s="85"/>
      <c r="Q30" s="51"/>
    </row>
    <row r="31" spans="1:17" x14ac:dyDescent="0.2">
      <c r="A31" s="50"/>
      <c r="B31" s="50"/>
      <c r="C31" s="78"/>
      <c r="D31" s="77"/>
      <c r="E31" s="85"/>
      <c r="F31" s="85"/>
    </row>
  </sheetData>
  <sheetProtection algorithmName="SHA-512" hashValue="gobcImb8xRpGNS8YpTLU1BnTbccx3rFha35VYm+f4kl2qca5ri1wcSpYUqFUTGp/CJIjceRvspvAOYcZ3+AP2Q==" saltValue="5lVl5RmnEaqNETSVax5G4w==" spinCount="100000" sheet="1" selectLockedCells="1"/>
  <mergeCells count="2">
    <mergeCell ref="B2:C2"/>
    <mergeCell ref="B3:C3"/>
  </mergeCells>
  <dataValidations count="7">
    <dataValidation type="whole" allowBlank="1" showInputMessage="1" showErrorMessage="1" prompt="Numerieke waarde" sqref="D6:F25" xr:uid="{96CD6094-D76B-46B6-839B-BE2A9ADEA4EF}">
      <formula1>1</formula1>
      <formula2>999999</formula2>
    </dataValidation>
    <dataValidation type="list" allowBlank="1" showInputMessage="1" showErrorMessage="1" sqref="K6:K25" xr:uid="{F1314459-61CB-4D58-9162-2DB25B318DDA}">
      <formula1>"Ja,Nee"</formula1>
    </dataValidation>
    <dataValidation type="decimal" allowBlank="1" showInputMessage="1" showErrorMessage="1" sqref="J6:J25" xr:uid="{721AB5BC-7E4C-4E2C-9686-2A6FB03F51A7}">
      <formula1>0</formula1>
      <formula2>1</formula2>
    </dataValidation>
    <dataValidation type="list" allowBlank="1" showInputMessage="1" showErrorMessage="1" sqref="G6:G25" xr:uid="{D9C0B5F5-F33C-4247-B9FC-F68BF8066044}">
      <formula1>motortypest</formula1>
    </dataValidation>
    <dataValidation type="list" allowBlank="1" showInputMessage="1" showErrorMessage="1" sqref="C6:C25" xr:uid="{04B30714-3430-4BC2-843F-9F86D46C7F21}">
      <formula1>types</formula1>
    </dataValidation>
    <dataValidation type="list" allowBlank="1" showInputMessage="1" showErrorMessage="1" sqref="I6:I25" xr:uid="{91BF0D72-627B-4394-A420-599100630E2A}">
      <formula1>INDIRECT(LEFT(SUBSTITUTE(SUBSTITUTE(H6," ","_"),"(","_"),10))</formula1>
    </dataValidation>
    <dataValidation type="list" allowBlank="1" showInputMessage="1" showErrorMessage="1" sqref="H6:H25" xr:uid="{8C98A963-04E0-4B93-91C1-1A11F7E9D936}">
      <formula1>INDIRECT(LEFT(G6,5))</formula1>
    </dataValidation>
  </dataValidations>
  <pageMargins left="0.25" right="0.25" top="0.75" bottom="0.75" header="0.3" footer="0.3"/>
  <pageSetup paperSize="9" scale="6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Button 1">
              <controlPr defaultSize="0" print="0" autoFill="0" autoPict="0" macro="[0]!export.export">
                <anchor moveWithCells="1" sizeWithCells="1">
                  <from>
                    <xdr:col>3</xdr:col>
                    <xdr:colOff>76200</xdr:colOff>
                    <xdr:row>1</xdr:row>
                    <xdr:rowOff>190500</xdr:rowOff>
                  </from>
                  <to>
                    <xdr:col>5</xdr:col>
                    <xdr:colOff>9525</xdr:colOff>
                    <xdr:row>3</xdr:row>
                    <xdr:rowOff>0</xdr:rowOff>
                  </to>
                </anchor>
              </controlPr>
            </control>
          </mc:Choice>
        </mc:AlternateContent>
      </controls>
    </mc:Choice>
  </mc:AlternateContent>
  <tableParts count="1">
    <tablePart r:id="rId5"/>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D5438-F7BF-4E87-99A7-C58756F4C3E4}">
  <sheetPr codeName="Blad18">
    <tabColor theme="8" tint="0.59999389629810485"/>
    <pageSetUpPr fitToPage="1"/>
  </sheetPr>
  <dimension ref="A1:Q31"/>
  <sheetViews>
    <sheetView showGridLines="0" zoomScale="70" zoomScaleNormal="70" workbookViewId="0">
      <selection activeCell="B2" sqref="B2:C2"/>
    </sheetView>
  </sheetViews>
  <sheetFormatPr defaultColWidth="11" defaultRowHeight="12.75" x14ac:dyDescent="0.2"/>
  <cols>
    <col min="1" max="1" width="28.625" style="52" customWidth="1"/>
    <col min="2" max="2" width="12.625" style="52" customWidth="1"/>
    <col min="3" max="3" width="32.625" style="52" customWidth="1"/>
    <col min="4" max="4" width="12.625" style="54" customWidth="1"/>
    <col min="5" max="6" width="12.625" style="52" customWidth="1"/>
    <col min="7" max="7" width="12.625" style="55" customWidth="1"/>
    <col min="8" max="9" width="20.625" style="52" customWidth="1"/>
    <col min="10" max="10" width="12.125" style="52" customWidth="1"/>
    <col min="11" max="11" width="9.125" style="55" customWidth="1"/>
    <col min="12" max="12" width="8.625" style="52" hidden="1" customWidth="1"/>
    <col min="13" max="13" width="10.875" style="52" hidden="1" customWidth="1"/>
    <col min="14" max="14" width="12.625" style="52" customWidth="1"/>
    <col min="15" max="15" width="12.625" style="52" hidden="1" customWidth="1"/>
    <col min="16" max="16" width="12.625" style="52" customWidth="1"/>
    <col min="17" max="17" width="36.375" style="52" customWidth="1"/>
    <col min="18" max="18" width="17.125" style="52" customWidth="1"/>
    <col min="19" max="16384" width="11" style="52"/>
  </cols>
  <sheetData>
    <row r="1" spans="1:17" ht="15.75" customHeight="1" x14ac:dyDescent="0.2">
      <c r="A1" s="53" t="s">
        <v>243</v>
      </c>
      <c r="B1" s="53"/>
    </row>
    <row r="2" spans="1:17" ht="15.75" customHeight="1" thickBot="1" x14ac:dyDescent="0.25">
      <c r="A2" s="152" t="s">
        <v>189</v>
      </c>
      <c r="B2" s="169"/>
      <c r="C2" s="173"/>
      <c r="D2" s="118" t="s">
        <v>266</v>
      </c>
    </row>
    <row r="3" spans="1:17" ht="15.75" customHeight="1" thickTop="1" thickBot="1" x14ac:dyDescent="0.25">
      <c r="A3" s="153" t="s">
        <v>190</v>
      </c>
      <c r="B3" s="171"/>
      <c r="C3" s="174"/>
    </row>
    <row r="4" spans="1:17" ht="15.75" customHeight="1" thickTop="1" x14ac:dyDescent="0.2">
      <c r="G4" s="58"/>
    </row>
    <row r="5" spans="1:17" ht="60" customHeight="1" x14ac:dyDescent="0.2">
      <c r="A5" s="59" t="s">
        <v>221</v>
      </c>
      <c r="B5" s="60" t="s">
        <v>225</v>
      </c>
      <c r="C5" s="91" t="s">
        <v>227</v>
      </c>
      <c r="D5" s="155" t="s">
        <v>224</v>
      </c>
      <c r="E5" s="84" t="s">
        <v>218</v>
      </c>
      <c r="F5" s="84" t="s">
        <v>219</v>
      </c>
      <c r="G5" s="156" t="s">
        <v>36</v>
      </c>
      <c r="H5" s="157" t="s">
        <v>173</v>
      </c>
      <c r="I5" s="158" t="s">
        <v>191</v>
      </c>
      <c r="J5" s="96" t="s">
        <v>226</v>
      </c>
      <c r="K5" s="97" t="s">
        <v>39</v>
      </c>
      <c r="L5" s="98" t="s">
        <v>184</v>
      </c>
      <c r="M5" s="98" t="s">
        <v>183</v>
      </c>
      <c r="N5" s="62" t="s">
        <v>222</v>
      </c>
      <c r="O5" s="60" t="s">
        <v>220</v>
      </c>
      <c r="P5" s="80" t="s">
        <v>223</v>
      </c>
      <c r="Q5" s="63"/>
    </row>
    <row r="6" spans="1:17" ht="15.75" customHeight="1" x14ac:dyDescent="0.2">
      <c r="A6" s="137" t="s">
        <v>198</v>
      </c>
      <c r="B6" s="136">
        <v>5122</v>
      </c>
      <c r="C6" s="64"/>
      <c r="D6" s="65">
        <v>36</v>
      </c>
      <c r="E6" s="82">
        <f t="shared" ref="E6:E25" si="0">CEILING(B6/D6,1)</f>
        <v>143</v>
      </c>
      <c r="F6" s="83">
        <v>25.8</v>
      </c>
      <c r="G6" s="66"/>
      <c r="H6" s="67" t="s">
        <v>188</v>
      </c>
      <c r="I6" s="67" t="s">
        <v>188</v>
      </c>
      <c r="J6" s="68"/>
      <c r="K6" s="69"/>
      <c r="L6" s="70" t="str">
        <f>IFERROR(TblReferentiescoreT13215161741848[[#This Row],[Aantal
ritten]]*TblReferentiescoreT13215161741848[[#This Row],[Afstand
per rit
'[km']]]*TblReferentiescoreT13215161741848[[#This Row],[Gemiddeld
volume
per rit
'[ton']]]*VLOOKUP(TblReferentiescoreT13215161741848[[#This Row],[Type transportmiddel]],TblType[],2,0),"")</f>
        <v/>
      </c>
      <c r="M6" s="70" t="str">
        <f>IFERROR(TblReferentiescoreT13215161741848[[#This Row],[Energie-vraag (MJ)]]/stookwaarde_diesel/dichtheid_diesel*emissiefactor_diesel,"")</f>
        <v/>
      </c>
      <c r="N6" s="71" t="str">
        <f>IFERROR(
     TblReferentiescoreT13215161741848[[#This Row],[Referentie-score]]*
          ((100%-TblReferentiescoreT13215161741848[[#This Row],[Aandeel
2e energie
-bron]])*INDEX(TblBrandstof[CO2 uitstoot verg 1l diesel],MATCH(TblReferentiescoreT13215161741848[[#This Row],[Energiebron]],TblBrandstof[Brandstof],0))+
          TblReferentiescoreT13215161741848[[#This Row],[Aandeel
2e energie
-bron]]*INDEX(TblBrandstof[CO2 uitstoot verg 1l diesel],MATCH(IF(OR(TblReferentiescoreT13215161741848[[#This Row],[2e energiebron]]="N.v.t.",TblReferentiescoreT13215161741848[[#This Row],[2e energiebron]]=""),TblReferentiescoreT13215161741848[[#This Row],[Energiebron]],TblReferentiescoreT13215161741848[[#This Row],[2e energiebron]]),TblBrandstof[Brandstof],0)))*
      IF(OR(TblReferentiescoreT13215161741848[[#This Row],[Motortype]]="Elektrisch",TblReferentiescoreT13215161741848[[#This Row],[Hybride]]="Ja"),TblHybride[Waardering hybride],1),"")</f>
        <v/>
      </c>
      <c r="O6" s="71" t="str">
        <f>IFERROR(TblReferentiescoreT13215161741848[[#This Row],[CO2-impact
'[kg CO2']]]*IF(INDEX(TblBrandstof[Waardering Euroniveau],MATCH(TblReferentiescoreT13215161741848[[#This Row],[Energiebron]],TblBrandstof[Brandstof],0)),VLOOKUP(TblReferentiescoreT13215161741848[[#This Row],[Motortype]],TblMotortypeT[],2,0),1),"")</f>
        <v/>
      </c>
      <c r="P6" s="72" t="str">
        <f>IF(TblReferentiescoreT13215161741848[[#This Row],[Slibtransport
van rwzi naar rwzi]]&lt;&gt;"",
    IF(TblReferentiescoreT13215161741848[[#This Row],[Gemiddeld
volume
per rit
'[ton']]]="","Gemiddelde vracht per volle rit niet gevuld",
    IF(TblReferentiescoreT13215161741848[[#This Row],[Afstand
per rit
'[km']]]="","Afstand per rit niet gevuld",
    IF(TblReferentiescoreT13215161741848[[#This Row],[Aantal
ritten]]="","Aantal ritten niet gevuld",""))),
  "")</f>
        <v/>
      </c>
    </row>
    <row r="7" spans="1:17" ht="15.75" customHeight="1" x14ac:dyDescent="0.2">
      <c r="A7" s="137" t="s">
        <v>199</v>
      </c>
      <c r="B7" s="136">
        <v>5104</v>
      </c>
      <c r="C7" s="64"/>
      <c r="D7" s="65">
        <v>36</v>
      </c>
      <c r="E7" s="82">
        <f t="shared" si="0"/>
        <v>142</v>
      </c>
      <c r="F7" s="83">
        <v>20</v>
      </c>
      <c r="G7" s="66"/>
      <c r="H7" s="67"/>
      <c r="I7" s="67"/>
      <c r="J7" s="68"/>
      <c r="K7" s="69"/>
      <c r="L7" s="70" t="str">
        <f>IFERROR(TblReferentiescoreT13215161741848[[#This Row],[Aantal
ritten]]*TblReferentiescoreT13215161741848[[#This Row],[Afstand
per rit
'[km']]]*TblReferentiescoreT13215161741848[[#This Row],[Gemiddeld
volume
per rit
'[ton']]]*VLOOKUP(TblReferentiescoreT13215161741848[[#This Row],[Type transportmiddel]],TblType[],2,0),"")</f>
        <v/>
      </c>
      <c r="M7" s="70" t="str">
        <f>IFERROR(TblReferentiescoreT13215161741848[[#This Row],[Energie-vraag (MJ)]]/stookwaarde_diesel/dichtheid_diesel*emissiefactor_diesel,"")</f>
        <v/>
      </c>
      <c r="N7" s="71" t="str">
        <f>IFERROR(
     TblReferentiescoreT13215161741848[[#This Row],[Referentie-score]]*
          ((100%-TblReferentiescoreT13215161741848[[#This Row],[Aandeel
2e energie
-bron]])*INDEX(TblBrandstof[CO2 uitstoot verg 1l diesel],MATCH(TblReferentiescoreT13215161741848[[#This Row],[Energiebron]],TblBrandstof[Brandstof],0))+
          TblReferentiescoreT13215161741848[[#This Row],[Aandeel
2e energie
-bron]]*INDEX(TblBrandstof[CO2 uitstoot verg 1l diesel],MATCH(IF(OR(TblReferentiescoreT13215161741848[[#This Row],[2e energiebron]]="N.v.t.",TblReferentiescoreT13215161741848[[#This Row],[2e energiebron]]=""),TblReferentiescoreT13215161741848[[#This Row],[Energiebron]],TblReferentiescoreT13215161741848[[#This Row],[2e energiebron]]),TblBrandstof[Brandstof],0)))*
      IF(OR(TblReferentiescoreT13215161741848[[#This Row],[Motortype]]="Elektrisch",TblReferentiescoreT13215161741848[[#This Row],[Hybride]]="Ja"),TblHybride[Waardering hybride],1),"")</f>
        <v/>
      </c>
      <c r="O7" s="71" t="str">
        <f>IFERROR(TblReferentiescoreT13215161741848[[#This Row],[CO2-impact
'[kg CO2']]]*IF(INDEX(TblBrandstof[Waardering Euroniveau],MATCH(TblReferentiescoreT13215161741848[[#This Row],[Energiebron]],TblBrandstof[Brandstof],0)),VLOOKUP(TblReferentiescoreT13215161741848[[#This Row],[Motortype]],TblMotortypeT[],2,0),1),"")</f>
        <v/>
      </c>
      <c r="P7" s="73" t="str">
        <f>IF(TblReferentiescoreT13215161741848[[#This Row],[Slibtransport
van rwzi naar rwzi]]&lt;&gt;"",
    IF(TblReferentiescoreT13215161741848[[#This Row],[Gemiddeld
volume
per rit
'[ton']]]="","Gemiddelde vracht per volle rit niet gevuld",
    IF(TblReferentiescoreT13215161741848[[#This Row],[Afstand
per rit
'[km']]]="","Afstand per rit niet gevuld",
    IF(TblReferentiescoreT13215161741848[[#This Row],[Aantal
ritten]]="","Aantal ritten niet gevuld",""))),
  "")</f>
        <v/>
      </c>
    </row>
    <row r="8" spans="1:17" ht="15.75" customHeight="1" x14ac:dyDescent="0.2">
      <c r="A8" s="137" t="s">
        <v>200</v>
      </c>
      <c r="B8" s="136">
        <v>22364</v>
      </c>
      <c r="C8" s="64"/>
      <c r="D8" s="65">
        <v>36</v>
      </c>
      <c r="E8" s="82">
        <f t="shared" si="0"/>
        <v>622</v>
      </c>
      <c r="F8" s="83">
        <v>16.899999999999999</v>
      </c>
      <c r="G8" s="66"/>
      <c r="H8" s="67"/>
      <c r="I8" s="67"/>
      <c r="J8" s="68"/>
      <c r="K8" s="69"/>
      <c r="L8" s="70" t="str">
        <f>IFERROR(TblReferentiescoreT13215161741848[[#This Row],[Aantal
ritten]]*TblReferentiescoreT13215161741848[[#This Row],[Afstand
per rit
'[km']]]*TblReferentiescoreT13215161741848[[#This Row],[Gemiddeld
volume
per rit
'[ton']]]*VLOOKUP(TblReferentiescoreT13215161741848[[#This Row],[Type transportmiddel]],TblType[],2,0),"")</f>
        <v/>
      </c>
      <c r="M8" s="70" t="str">
        <f>IFERROR(TblReferentiescoreT13215161741848[[#This Row],[Energie-vraag (MJ)]]/stookwaarde_diesel/dichtheid_diesel*emissiefactor_diesel,"")</f>
        <v/>
      </c>
      <c r="N8" s="71" t="str">
        <f>IFERROR(
     TblReferentiescoreT13215161741848[[#This Row],[Referentie-score]]*
          ((100%-TblReferentiescoreT13215161741848[[#This Row],[Aandeel
2e energie
-bron]])*INDEX(TblBrandstof[CO2 uitstoot verg 1l diesel],MATCH(TblReferentiescoreT13215161741848[[#This Row],[Energiebron]],TblBrandstof[Brandstof],0))+
          TblReferentiescoreT13215161741848[[#This Row],[Aandeel
2e energie
-bron]]*INDEX(TblBrandstof[CO2 uitstoot verg 1l diesel],MATCH(IF(OR(TblReferentiescoreT13215161741848[[#This Row],[2e energiebron]]="N.v.t.",TblReferentiescoreT13215161741848[[#This Row],[2e energiebron]]=""),TblReferentiescoreT13215161741848[[#This Row],[Energiebron]],TblReferentiescoreT13215161741848[[#This Row],[2e energiebron]]),TblBrandstof[Brandstof],0)))*
      IF(OR(TblReferentiescoreT13215161741848[[#This Row],[Motortype]]="Elektrisch",TblReferentiescoreT13215161741848[[#This Row],[Hybride]]="Ja"),TblHybride[Waardering hybride],1),"")</f>
        <v/>
      </c>
      <c r="O8" s="71" t="str">
        <f>IFERROR(TblReferentiescoreT13215161741848[[#This Row],[CO2-impact
'[kg CO2']]]*IF(INDEX(TblBrandstof[Waardering Euroniveau],MATCH(TblReferentiescoreT13215161741848[[#This Row],[Energiebron]],TblBrandstof[Brandstof],0)),VLOOKUP(TblReferentiescoreT13215161741848[[#This Row],[Motortype]],TblMotortypeT[],2,0),1),"")</f>
        <v/>
      </c>
      <c r="P8" s="73" t="str">
        <f>IF(TblReferentiescoreT13215161741848[[#This Row],[Slibtransport
van rwzi naar rwzi]]&lt;&gt;"",
    IF(TblReferentiescoreT13215161741848[[#This Row],[Gemiddeld
volume
per rit
'[ton']]]="","Gemiddelde vracht per volle rit niet gevuld",
    IF(TblReferentiescoreT13215161741848[[#This Row],[Afstand
per rit
'[km']]]="","Afstand per rit niet gevuld",
    IF(TblReferentiescoreT13215161741848[[#This Row],[Aantal
ritten]]="","Aantal ritten niet gevuld",""))),
  "")</f>
        <v/>
      </c>
    </row>
    <row r="9" spans="1:17" ht="15.75" customHeight="1" x14ac:dyDescent="0.2">
      <c r="A9" s="137" t="s">
        <v>201</v>
      </c>
      <c r="B9" s="136">
        <v>8265</v>
      </c>
      <c r="C9" s="64"/>
      <c r="D9" s="65">
        <v>36</v>
      </c>
      <c r="E9" s="82">
        <f t="shared" si="0"/>
        <v>230</v>
      </c>
      <c r="F9" s="83">
        <v>28.4</v>
      </c>
      <c r="G9" s="66"/>
      <c r="H9" s="67"/>
      <c r="I9" s="67"/>
      <c r="J9" s="68"/>
      <c r="K9" s="69"/>
      <c r="L9" s="70" t="str">
        <f>IFERROR(TblReferentiescoreT13215161741848[[#This Row],[Aantal
ritten]]*TblReferentiescoreT13215161741848[[#This Row],[Afstand
per rit
'[km']]]*TblReferentiescoreT13215161741848[[#This Row],[Gemiddeld
volume
per rit
'[ton']]]*VLOOKUP(TblReferentiescoreT13215161741848[[#This Row],[Type transportmiddel]],TblType[],2,0),"")</f>
        <v/>
      </c>
      <c r="M9" s="70" t="str">
        <f>IFERROR(TblReferentiescoreT13215161741848[[#This Row],[Energie-vraag (MJ)]]/stookwaarde_diesel/dichtheid_diesel*emissiefactor_diesel,"")</f>
        <v/>
      </c>
      <c r="N9" s="71" t="str">
        <f>IFERROR(
     TblReferentiescoreT13215161741848[[#This Row],[Referentie-score]]*
          ((100%-TblReferentiescoreT13215161741848[[#This Row],[Aandeel
2e energie
-bron]])*INDEX(TblBrandstof[CO2 uitstoot verg 1l diesel],MATCH(TblReferentiescoreT13215161741848[[#This Row],[Energiebron]],TblBrandstof[Brandstof],0))+
          TblReferentiescoreT13215161741848[[#This Row],[Aandeel
2e energie
-bron]]*INDEX(TblBrandstof[CO2 uitstoot verg 1l diesel],MATCH(IF(OR(TblReferentiescoreT13215161741848[[#This Row],[2e energiebron]]="N.v.t.",TblReferentiescoreT13215161741848[[#This Row],[2e energiebron]]=""),TblReferentiescoreT13215161741848[[#This Row],[Energiebron]],TblReferentiescoreT13215161741848[[#This Row],[2e energiebron]]),TblBrandstof[Brandstof],0)))*
      IF(OR(TblReferentiescoreT13215161741848[[#This Row],[Motortype]]="Elektrisch",TblReferentiescoreT13215161741848[[#This Row],[Hybride]]="Ja"),TblHybride[Waardering hybride],1),"")</f>
        <v/>
      </c>
      <c r="O9" s="71" t="str">
        <f>IFERROR(TblReferentiescoreT13215161741848[[#This Row],[CO2-impact
'[kg CO2']]]*IF(INDEX(TblBrandstof[Waardering Euroniveau],MATCH(TblReferentiescoreT13215161741848[[#This Row],[Energiebron]],TblBrandstof[Brandstof],0)),VLOOKUP(TblReferentiescoreT13215161741848[[#This Row],[Motortype]],TblMotortypeT[],2,0),1),"")</f>
        <v/>
      </c>
      <c r="P9" s="73" t="str">
        <f>IF(TblReferentiescoreT13215161741848[[#This Row],[Slibtransport
van rwzi naar rwzi]]&lt;&gt;"",
    IF(TblReferentiescoreT13215161741848[[#This Row],[Gemiddeld
volume
per rit
'[ton']]]="","Gemiddelde vracht per volle rit niet gevuld",
    IF(TblReferentiescoreT13215161741848[[#This Row],[Afstand
per rit
'[km']]]="","Afstand per rit niet gevuld",
    IF(TblReferentiescoreT13215161741848[[#This Row],[Aantal
ritten]]="","Aantal ritten niet gevuld",""))),
  "")</f>
        <v/>
      </c>
    </row>
    <row r="10" spans="1:17" ht="15.75" customHeight="1" x14ac:dyDescent="0.2">
      <c r="A10" s="137" t="s">
        <v>202</v>
      </c>
      <c r="B10" s="136">
        <v>4548</v>
      </c>
      <c r="C10" s="64"/>
      <c r="D10" s="65">
        <v>36</v>
      </c>
      <c r="E10" s="82">
        <f t="shared" si="0"/>
        <v>127</v>
      </c>
      <c r="F10" s="83">
        <v>8.4</v>
      </c>
      <c r="G10" s="66"/>
      <c r="H10" s="67"/>
      <c r="I10" s="67"/>
      <c r="J10" s="68"/>
      <c r="K10" s="69"/>
      <c r="L10" s="70" t="str">
        <f>IFERROR(TblReferentiescoreT13215161741848[[#This Row],[Aantal
ritten]]*TblReferentiescoreT13215161741848[[#This Row],[Afstand
per rit
'[km']]]*TblReferentiescoreT13215161741848[[#This Row],[Gemiddeld
volume
per rit
'[ton']]]*VLOOKUP(TblReferentiescoreT13215161741848[[#This Row],[Type transportmiddel]],TblType[],2,0),"")</f>
        <v/>
      </c>
      <c r="M10" s="70" t="str">
        <f>IFERROR(TblReferentiescoreT13215161741848[[#This Row],[Energie-vraag (MJ)]]/stookwaarde_diesel/dichtheid_diesel*emissiefactor_diesel,"")</f>
        <v/>
      </c>
      <c r="N10" s="71" t="str">
        <f>IFERROR(
     TblReferentiescoreT13215161741848[[#This Row],[Referentie-score]]*
          ((100%-TblReferentiescoreT13215161741848[[#This Row],[Aandeel
2e energie
-bron]])*INDEX(TblBrandstof[CO2 uitstoot verg 1l diesel],MATCH(TblReferentiescoreT13215161741848[[#This Row],[Energiebron]],TblBrandstof[Brandstof],0))+
          TblReferentiescoreT13215161741848[[#This Row],[Aandeel
2e energie
-bron]]*INDEX(TblBrandstof[CO2 uitstoot verg 1l diesel],MATCH(IF(OR(TblReferentiescoreT13215161741848[[#This Row],[2e energiebron]]="N.v.t.",TblReferentiescoreT13215161741848[[#This Row],[2e energiebron]]=""),TblReferentiescoreT13215161741848[[#This Row],[Energiebron]],TblReferentiescoreT13215161741848[[#This Row],[2e energiebron]]),TblBrandstof[Brandstof],0)))*
      IF(OR(TblReferentiescoreT13215161741848[[#This Row],[Motortype]]="Elektrisch",TblReferentiescoreT13215161741848[[#This Row],[Hybride]]="Ja"),TblHybride[Waardering hybride],1),"")</f>
        <v/>
      </c>
      <c r="O10" s="71" t="str">
        <f>IFERROR(TblReferentiescoreT13215161741848[[#This Row],[CO2-impact
'[kg CO2']]]*IF(INDEX(TblBrandstof[Waardering Euroniveau],MATCH(TblReferentiescoreT13215161741848[[#This Row],[Energiebron]],TblBrandstof[Brandstof],0)),VLOOKUP(TblReferentiescoreT13215161741848[[#This Row],[Motortype]],TblMotortypeT[],2,0),1),"")</f>
        <v/>
      </c>
      <c r="P10" s="73" t="str">
        <f>IF(TblReferentiescoreT13215161741848[[#This Row],[Slibtransport
van rwzi naar rwzi]]&lt;&gt;"",
    IF(TblReferentiescoreT13215161741848[[#This Row],[Gemiddeld
volume
per rit
'[ton']]]="","Gemiddelde vracht per volle rit niet gevuld",
    IF(TblReferentiescoreT13215161741848[[#This Row],[Afstand
per rit
'[km']]]="","Afstand per rit niet gevuld",
    IF(TblReferentiescoreT13215161741848[[#This Row],[Aantal
ritten]]="","Aantal ritten niet gevuld",""))),
  "")</f>
        <v/>
      </c>
    </row>
    <row r="11" spans="1:17" ht="15.75" customHeight="1" x14ac:dyDescent="0.2">
      <c r="A11" s="137" t="s">
        <v>203</v>
      </c>
      <c r="B11" s="136">
        <v>18525</v>
      </c>
      <c r="C11" s="64"/>
      <c r="D11" s="65">
        <v>36</v>
      </c>
      <c r="E11" s="82">
        <f t="shared" si="0"/>
        <v>515</v>
      </c>
      <c r="F11" s="83">
        <v>18.399999999999999</v>
      </c>
      <c r="G11" s="66"/>
      <c r="H11" s="67"/>
      <c r="I11" s="67"/>
      <c r="J11" s="68"/>
      <c r="K11" s="69"/>
      <c r="L11" s="70" t="str">
        <f>IFERROR(TblReferentiescoreT13215161741848[[#This Row],[Aantal
ritten]]*TblReferentiescoreT13215161741848[[#This Row],[Afstand
per rit
'[km']]]*TblReferentiescoreT13215161741848[[#This Row],[Gemiddeld
volume
per rit
'[ton']]]*VLOOKUP(TblReferentiescoreT13215161741848[[#This Row],[Type transportmiddel]],TblType[],2,0),"")</f>
        <v/>
      </c>
      <c r="M11" s="70" t="str">
        <f>IFERROR(TblReferentiescoreT13215161741848[[#This Row],[Energie-vraag (MJ)]]/stookwaarde_diesel/dichtheid_diesel*emissiefactor_diesel,"")</f>
        <v/>
      </c>
      <c r="N11" s="71" t="str">
        <f>IFERROR(
     TblReferentiescoreT13215161741848[[#This Row],[Referentie-score]]*
          ((100%-TblReferentiescoreT13215161741848[[#This Row],[Aandeel
2e energie
-bron]])*INDEX(TblBrandstof[CO2 uitstoot verg 1l diesel],MATCH(TblReferentiescoreT13215161741848[[#This Row],[Energiebron]],TblBrandstof[Brandstof],0))+
          TblReferentiescoreT13215161741848[[#This Row],[Aandeel
2e energie
-bron]]*INDEX(TblBrandstof[CO2 uitstoot verg 1l diesel],MATCH(IF(OR(TblReferentiescoreT13215161741848[[#This Row],[2e energiebron]]="N.v.t.",TblReferentiescoreT13215161741848[[#This Row],[2e energiebron]]=""),TblReferentiescoreT13215161741848[[#This Row],[Energiebron]],TblReferentiescoreT13215161741848[[#This Row],[2e energiebron]]),TblBrandstof[Brandstof],0)))*
      IF(OR(TblReferentiescoreT13215161741848[[#This Row],[Motortype]]="Elektrisch",TblReferentiescoreT13215161741848[[#This Row],[Hybride]]="Ja"),TblHybride[Waardering hybride],1),"")</f>
        <v/>
      </c>
      <c r="O11" s="71" t="str">
        <f>IFERROR(TblReferentiescoreT13215161741848[[#This Row],[CO2-impact
'[kg CO2']]]*IF(INDEX(TblBrandstof[Waardering Euroniveau],MATCH(TblReferentiescoreT13215161741848[[#This Row],[Energiebron]],TblBrandstof[Brandstof],0)),VLOOKUP(TblReferentiescoreT13215161741848[[#This Row],[Motortype]],TblMotortypeT[],2,0),1),"")</f>
        <v/>
      </c>
      <c r="P11" s="73" t="str">
        <f>IF(TblReferentiescoreT13215161741848[[#This Row],[Slibtransport
van rwzi naar rwzi]]&lt;&gt;"",
    IF(TblReferentiescoreT13215161741848[[#This Row],[Gemiddeld
volume
per rit
'[ton']]]="","Gemiddelde vracht per volle rit niet gevuld",
    IF(TblReferentiescoreT13215161741848[[#This Row],[Afstand
per rit
'[km']]]="","Afstand per rit niet gevuld",
    IF(TblReferentiescoreT13215161741848[[#This Row],[Aantal
ritten]]="","Aantal ritten niet gevuld",""))),
  "")</f>
        <v/>
      </c>
    </row>
    <row r="12" spans="1:17" ht="15.75" customHeight="1" x14ac:dyDescent="0.2">
      <c r="A12" s="137" t="s">
        <v>204</v>
      </c>
      <c r="B12" s="136">
        <v>17352</v>
      </c>
      <c r="C12" s="64"/>
      <c r="D12" s="65">
        <v>36</v>
      </c>
      <c r="E12" s="82">
        <f t="shared" si="0"/>
        <v>482</v>
      </c>
      <c r="F12" s="83">
        <v>31</v>
      </c>
      <c r="G12" s="66"/>
      <c r="H12" s="67"/>
      <c r="I12" s="67"/>
      <c r="J12" s="68"/>
      <c r="K12" s="69"/>
      <c r="L12" s="70" t="str">
        <f>IFERROR(TblReferentiescoreT13215161741848[[#This Row],[Aantal
ritten]]*TblReferentiescoreT13215161741848[[#This Row],[Afstand
per rit
'[km']]]*TblReferentiescoreT13215161741848[[#This Row],[Gemiddeld
volume
per rit
'[ton']]]*VLOOKUP(TblReferentiescoreT13215161741848[[#This Row],[Type transportmiddel]],TblType[],2,0),"")</f>
        <v/>
      </c>
      <c r="M12" s="70" t="str">
        <f>IFERROR(TblReferentiescoreT13215161741848[[#This Row],[Energie-vraag (MJ)]]/stookwaarde_diesel/dichtheid_diesel*emissiefactor_diesel,"")</f>
        <v/>
      </c>
      <c r="N12" s="71" t="str">
        <f>IFERROR(
     TblReferentiescoreT13215161741848[[#This Row],[Referentie-score]]*
          ((100%-TblReferentiescoreT13215161741848[[#This Row],[Aandeel
2e energie
-bron]])*INDEX(TblBrandstof[CO2 uitstoot verg 1l diesel],MATCH(TblReferentiescoreT13215161741848[[#This Row],[Energiebron]],TblBrandstof[Brandstof],0))+
          TblReferentiescoreT13215161741848[[#This Row],[Aandeel
2e energie
-bron]]*INDEX(TblBrandstof[CO2 uitstoot verg 1l diesel],MATCH(IF(OR(TblReferentiescoreT13215161741848[[#This Row],[2e energiebron]]="N.v.t.",TblReferentiescoreT13215161741848[[#This Row],[2e energiebron]]=""),TblReferentiescoreT13215161741848[[#This Row],[Energiebron]],TblReferentiescoreT13215161741848[[#This Row],[2e energiebron]]),TblBrandstof[Brandstof],0)))*
      IF(OR(TblReferentiescoreT13215161741848[[#This Row],[Motortype]]="Elektrisch",TblReferentiescoreT13215161741848[[#This Row],[Hybride]]="Ja"),TblHybride[Waardering hybride],1),"")</f>
        <v/>
      </c>
      <c r="O12" s="71" t="str">
        <f>IFERROR(TblReferentiescoreT13215161741848[[#This Row],[CO2-impact
'[kg CO2']]]*IF(INDEX(TblBrandstof[Waardering Euroniveau],MATCH(TblReferentiescoreT13215161741848[[#This Row],[Energiebron]],TblBrandstof[Brandstof],0)),VLOOKUP(TblReferentiescoreT13215161741848[[#This Row],[Motortype]],TblMotortypeT[],2,0),1),"")</f>
        <v/>
      </c>
      <c r="P12" s="73" t="str">
        <f>IF(TblReferentiescoreT13215161741848[[#This Row],[Slibtransport
van rwzi naar rwzi]]&lt;&gt;"",
    IF(TblReferentiescoreT13215161741848[[#This Row],[Gemiddeld
volume
per rit
'[ton']]]="","Gemiddelde vracht per volle rit niet gevuld",
    IF(TblReferentiescoreT13215161741848[[#This Row],[Afstand
per rit
'[km']]]="","Afstand per rit niet gevuld",
    IF(TblReferentiescoreT13215161741848[[#This Row],[Aantal
ritten]]="","Aantal ritten niet gevuld",""))),
  "")</f>
        <v/>
      </c>
    </row>
    <row r="13" spans="1:17" ht="15.75" customHeight="1" x14ac:dyDescent="0.2">
      <c r="A13" s="137" t="s">
        <v>205</v>
      </c>
      <c r="B13" s="136">
        <v>4125</v>
      </c>
      <c r="C13" s="64"/>
      <c r="D13" s="65">
        <v>36</v>
      </c>
      <c r="E13" s="82">
        <f t="shared" si="0"/>
        <v>115</v>
      </c>
      <c r="F13" s="83">
        <v>17.2</v>
      </c>
      <c r="G13" s="66"/>
      <c r="H13" s="67"/>
      <c r="I13" s="67"/>
      <c r="J13" s="68"/>
      <c r="K13" s="69"/>
      <c r="L13" s="70" t="str">
        <f>IFERROR(TblReferentiescoreT13215161741848[[#This Row],[Aantal
ritten]]*TblReferentiescoreT13215161741848[[#This Row],[Afstand
per rit
'[km']]]*TblReferentiescoreT13215161741848[[#This Row],[Gemiddeld
volume
per rit
'[ton']]]*VLOOKUP(TblReferentiescoreT13215161741848[[#This Row],[Type transportmiddel]],TblType[],2,0),"")</f>
        <v/>
      </c>
      <c r="M13" s="70" t="str">
        <f>IFERROR(TblReferentiescoreT13215161741848[[#This Row],[Energie-vraag (MJ)]]/stookwaarde_diesel/dichtheid_diesel*emissiefactor_diesel,"")</f>
        <v/>
      </c>
      <c r="N13" s="71" t="str">
        <f>IFERROR(
     TblReferentiescoreT13215161741848[[#This Row],[Referentie-score]]*
          ((100%-TblReferentiescoreT13215161741848[[#This Row],[Aandeel
2e energie
-bron]])*INDEX(TblBrandstof[CO2 uitstoot verg 1l diesel],MATCH(TblReferentiescoreT13215161741848[[#This Row],[Energiebron]],TblBrandstof[Brandstof],0))+
          TblReferentiescoreT13215161741848[[#This Row],[Aandeel
2e energie
-bron]]*INDEX(TblBrandstof[CO2 uitstoot verg 1l diesel],MATCH(IF(OR(TblReferentiescoreT13215161741848[[#This Row],[2e energiebron]]="N.v.t.",TblReferentiescoreT13215161741848[[#This Row],[2e energiebron]]=""),TblReferentiescoreT13215161741848[[#This Row],[Energiebron]],TblReferentiescoreT13215161741848[[#This Row],[2e energiebron]]),TblBrandstof[Brandstof],0)))*
      IF(OR(TblReferentiescoreT13215161741848[[#This Row],[Motortype]]="Elektrisch",TblReferentiescoreT13215161741848[[#This Row],[Hybride]]="Ja"),TblHybride[Waardering hybride],1),"")</f>
        <v/>
      </c>
      <c r="O13" s="71" t="str">
        <f>IFERROR(TblReferentiescoreT13215161741848[[#This Row],[CO2-impact
'[kg CO2']]]*IF(INDEX(TblBrandstof[Waardering Euroniveau],MATCH(TblReferentiescoreT13215161741848[[#This Row],[Energiebron]],TblBrandstof[Brandstof],0)),VLOOKUP(TblReferentiescoreT13215161741848[[#This Row],[Motortype]],TblMotortypeT[],2,0),1),"")</f>
        <v/>
      </c>
      <c r="P13" s="73" t="str">
        <f>IF(TblReferentiescoreT13215161741848[[#This Row],[Slibtransport
van rwzi naar rwzi]]&lt;&gt;"",
    IF(TblReferentiescoreT13215161741848[[#This Row],[Gemiddeld
volume
per rit
'[ton']]]="","Gemiddelde vracht per volle rit niet gevuld",
    IF(TblReferentiescoreT13215161741848[[#This Row],[Afstand
per rit
'[km']]]="","Afstand per rit niet gevuld",
    IF(TblReferentiescoreT13215161741848[[#This Row],[Aantal
ritten]]="","Aantal ritten niet gevuld",""))),
  "")</f>
        <v/>
      </c>
    </row>
    <row r="14" spans="1:17" ht="15.75" customHeight="1" x14ac:dyDescent="0.2">
      <c r="A14" s="137" t="s">
        <v>206</v>
      </c>
      <c r="B14" s="136">
        <v>1548</v>
      </c>
      <c r="C14" s="64"/>
      <c r="D14" s="65">
        <v>36</v>
      </c>
      <c r="E14" s="82">
        <f t="shared" si="0"/>
        <v>43</v>
      </c>
      <c r="F14" s="83">
        <v>29.8</v>
      </c>
      <c r="G14" s="66"/>
      <c r="H14" s="67"/>
      <c r="I14" s="67"/>
      <c r="J14" s="68"/>
      <c r="K14" s="69"/>
      <c r="L14" s="70" t="str">
        <f>IFERROR(TblReferentiescoreT13215161741848[[#This Row],[Aantal
ritten]]*TblReferentiescoreT13215161741848[[#This Row],[Afstand
per rit
'[km']]]*TblReferentiescoreT13215161741848[[#This Row],[Gemiddeld
volume
per rit
'[ton']]]*VLOOKUP(TblReferentiescoreT13215161741848[[#This Row],[Type transportmiddel]],TblType[],2,0),"")</f>
        <v/>
      </c>
      <c r="M14" s="70" t="str">
        <f>IFERROR(TblReferentiescoreT13215161741848[[#This Row],[Energie-vraag (MJ)]]/stookwaarde_diesel/dichtheid_diesel*emissiefactor_diesel,"")</f>
        <v/>
      </c>
      <c r="N14" s="71" t="str">
        <f>IFERROR(
     TblReferentiescoreT13215161741848[[#This Row],[Referentie-score]]*
          ((100%-TblReferentiescoreT13215161741848[[#This Row],[Aandeel
2e energie
-bron]])*INDEX(TblBrandstof[CO2 uitstoot verg 1l diesel],MATCH(TblReferentiescoreT13215161741848[[#This Row],[Energiebron]],TblBrandstof[Brandstof],0))+
          TblReferentiescoreT13215161741848[[#This Row],[Aandeel
2e energie
-bron]]*INDEX(TblBrandstof[CO2 uitstoot verg 1l diesel],MATCH(IF(OR(TblReferentiescoreT13215161741848[[#This Row],[2e energiebron]]="N.v.t.",TblReferentiescoreT13215161741848[[#This Row],[2e energiebron]]=""),TblReferentiescoreT13215161741848[[#This Row],[Energiebron]],TblReferentiescoreT13215161741848[[#This Row],[2e energiebron]]),TblBrandstof[Brandstof],0)))*
      IF(OR(TblReferentiescoreT13215161741848[[#This Row],[Motortype]]="Elektrisch",TblReferentiescoreT13215161741848[[#This Row],[Hybride]]="Ja"),TblHybride[Waardering hybride],1),"")</f>
        <v/>
      </c>
      <c r="O14" s="71" t="str">
        <f>IFERROR(TblReferentiescoreT13215161741848[[#This Row],[CO2-impact
'[kg CO2']]]*IF(INDEX(TblBrandstof[Waardering Euroniveau],MATCH(TblReferentiescoreT13215161741848[[#This Row],[Energiebron]],TblBrandstof[Brandstof],0)),VLOOKUP(TblReferentiescoreT13215161741848[[#This Row],[Motortype]],TblMotortypeT[],2,0),1),"")</f>
        <v/>
      </c>
      <c r="P14" s="73" t="str">
        <f>IF(TblReferentiescoreT13215161741848[[#This Row],[Slibtransport
van rwzi naar rwzi]]&lt;&gt;"",
    IF(TblReferentiescoreT13215161741848[[#This Row],[Gemiddeld
volume
per rit
'[ton']]]="","Gemiddelde vracht per volle rit niet gevuld",
    IF(TblReferentiescoreT13215161741848[[#This Row],[Afstand
per rit
'[km']]]="","Afstand per rit niet gevuld",
    IF(TblReferentiescoreT13215161741848[[#This Row],[Aantal
ritten]]="","Aantal ritten niet gevuld",""))),
  "")</f>
        <v/>
      </c>
    </row>
    <row r="15" spans="1:17" ht="15.75" customHeight="1" x14ac:dyDescent="0.2">
      <c r="A15" s="137" t="s">
        <v>207</v>
      </c>
      <c r="B15" s="136">
        <v>2595</v>
      </c>
      <c r="C15" s="64"/>
      <c r="D15" s="65">
        <v>36</v>
      </c>
      <c r="E15" s="82">
        <f t="shared" si="0"/>
        <v>73</v>
      </c>
      <c r="F15" s="83">
        <v>17.2</v>
      </c>
      <c r="G15" s="66"/>
      <c r="H15" s="67"/>
      <c r="I15" s="67"/>
      <c r="J15" s="68"/>
      <c r="K15" s="69"/>
      <c r="L15" s="70" t="str">
        <f>IFERROR(TblReferentiescoreT13215161741848[[#This Row],[Aantal
ritten]]*TblReferentiescoreT13215161741848[[#This Row],[Afstand
per rit
'[km']]]*TblReferentiescoreT13215161741848[[#This Row],[Gemiddeld
volume
per rit
'[ton']]]*VLOOKUP(TblReferentiescoreT13215161741848[[#This Row],[Type transportmiddel]],TblType[],2,0),"")</f>
        <v/>
      </c>
      <c r="M15" s="70" t="str">
        <f>IFERROR(TblReferentiescoreT13215161741848[[#This Row],[Energie-vraag (MJ)]]/stookwaarde_diesel/dichtheid_diesel*emissiefactor_diesel,"")</f>
        <v/>
      </c>
      <c r="N15" s="71" t="str">
        <f>IFERROR(
     TblReferentiescoreT13215161741848[[#This Row],[Referentie-score]]*
          ((100%-TblReferentiescoreT13215161741848[[#This Row],[Aandeel
2e energie
-bron]])*INDEX(TblBrandstof[CO2 uitstoot verg 1l diesel],MATCH(TblReferentiescoreT13215161741848[[#This Row],[Energiebron]],TblBrandstof[Brandstof],0))+
          TblReferentiescoreT13215161741848[[#This Row],[Aandeel
2e energie
-bron]]*INDEX(TblBrandstof[CO2 uitstoot verg 1l diesel],MATCH(IF(OR(TblReferentiescoreT13215161741848[[#This Row],[2e energiebron]]="N.v.t.",TblReferentiescoreT13215161741848[[#This Row],[2e energiebron]]=""),TblReferentiescoreT13215161741848[[#This Row],[Energiebron]],TblReferentiescoreT13215161741848[[#This Row],[2e energiebron]]),TblBrandstof[Brandstof],0)))*
      IF(OR(TblReferentiescoreT13215161741848[[#This Row],[Motortype]]="Elektrisch",TblReferentiescoreT13215161741848[[#This Row],[Hybride]]="Ja"),TblHybride[Waardering hybride],1),"")</f>
        <v/>
      </c>
      <c r="O15" s="71" t="str">
        <f>IFERROR(TblReferentiescoreT13215161741848[[#This Row],[CO2-impact
'[kg CO2']]]*IF(INDEX(TblBrandstof[Waardering Euroniveau],MATCH(TblReferentiescoreT13215161741848[[#This Row],[Energiebron]],TblBrandstof[Brandstof],0)),VLOOKUP(TblReferentiescoreT13215161741848[[#This Row],[Motortype]],TblMotortypeT[],2,0),1),"")</f>
        <v/>
      </c>
      <c r="P15" s="73" t="str">
        <f>IF(TblReferentiescoreT13215161741848[[#This Row],[Slibtransport
van rwzi naar rwzi]]&lt;&gt;"",
    IF(TblReferentiescoreT13215161741848[[#This Row],[Gemiddeld
volume
per rit
'[ton']]]="","Gemiddelde vracht per volle rit niet gevuld",
    IF(TblReferentiescoreT13215161741848[[#This Row],[Afstand
per rit
'[km']]]="","Afstand per rit niet gevuld",
    IF(TblReferentiescoreT13215161741848[[#This Row],[Aantal
ritten]]="","Aantal ritten niet gevuld",""))),
  "")</f>
        <v/>
      </c>
    </row>
    <row r="16" spans="1:17" ht="15.75" customHeight="1" x14ac:dyDescent="0.2">
      <c r="A16" s="137" t="s">
        <v>208</v>
      </c>
      <c r="B16" s="136">
        <v>3770</v>
      </c>
      <c r="C16" s="64"/>
      <c r="D16" s="65">
        <v>36</v>
      </c>
      <c r="E16" s="82">
        <f t="shared" si="0"/>
        <v>105</v>
      </c>
      <c r="F16" s="83">
        <v>33</v>
      </c>
      <c r="G16" s="66"/>
      <c r="H16" s="67"/>
      <c r="I16" s="67"/>
      <c r="J16" s="68"/>
      <c r="K16" s="69"/>
      <c r="L16" s="70" t="str">
        <f>IFERROR(TblReferentiescoreT13215161741848[[#This Row],[Aantal
ritten]]*TblReferentiescoreT13215161741848[[#This Row],[Afstand
per rit
'[km']]]*TblReferentiescoreT13215161741848[[#This Row],[Gemiddeld
volume
per rit
'[ton']]]*VLOOKUP(TblReferentiescoreT13215161741848[[#This Row],[Type transportmiddel]],TblType[],2,0),"")</f>
        <v/>
      </c>
      <c r="M16" s="70" t="str">
        <f>IFERROR(TblReferentiescoreT13215161741848[[#This Row],[Energie-vraag (MJ)]]/stookwaarde_diesel/dichtheid_diesel*emissiefactor_diesel,"")</f>
        <v/>
      </c>
      <c r="N16" s="71" t="str">
        <f>IFERROR(
     TblReferentiescoreT13215161741848[[#This Row],[Referentie-score]]*
          ((100%-TblReferentiescoreT13215161741848[[#This Row],[Aandeel
2e energie
-bron]])*INDEX(TblBrandstof[CO2 uitstoot verg 1l diesel],MATCH(TblReferentiescoreT13215161741848[[#This Row],[Energiebron]],TblBrandstof[Brandstof],0))+
          TblReferentiescoreT13215161741848[[#This Row],[Aandeel
2e energie
-bron]]*INDEX(TblBrandstof[CO2 uitstoot verg 1l diesel],MATCH(IF(OR(TblReferentiescoreT13215161741848[[#This Row],[2e energiebron]]="N.v.t.",TblReferentiescoreT13215161741848[[#This Row],[2e energiebron]]=""),TblReferentiescoreT13215161741848[[#This Row],[Energiebron]],TblReferentiescoreT13215161741848[[#This Row],[2e energiebron]]),TblBrandstof[Brandstof],0)))*
      IF(OR(TblReferentiescoreT13215161741848[[#This Row],[Motortype]]="Elektrisch",TblReferentiescoreT13215161741848[[#This Row],[Hybride]]="Ja"),TblHybride[Waardering hybride],1),"")</f>
        <v/>
      </c>
      <c r="O16" s="71" t="str">
        <f>IFERROR(TblReferentiescoreT13215161741848[[#This Row],[CO2-impact
'[kg CO2']]]*IF(INDEX(TblBrandstof[Waardering Euroniveau],MATCH(TblReferentiescoreT13215161741848[[#This Row],[Energiebron]],TblBrandstof[Brandstof],0)),VLOOKUP(TblReferentiescoreT13215161741848[[#This Row],[Motortype]],TblMotortypeT[],2,0),1),"")</f>
        <v/>
      </c>
      <c r="P16" s="73" t="str">
        <f>IF(TblReferentiescoreT13215161741848[[#This Row],[Slibtransport
van rwzi naar rwzi]]&lt;&gt;"",
    IF(TblReferentiescoreT13215161741848[[#This Row],[Gemiddeld
volume
per rit
'[ton']]]="","Gemiddelde vracht per volle rit niet gevuld",
    IF(TblReferentiescoreT13215161741848[[#This Row],[Afstand
per rit
'[km']]]="","Afstand per rit niet gevuld",
    IF(TblReferentiescoreT13215161741848[[#This Row],[Aantal
ritten]]="","Aantal ritten niet gevuld",""))),
  "")</f>
        <v/>
      </c>
    </row>
    <row r="17" spans="1:17" ht="15.75" customHeight="1" x14ac:dyDescent="0.2">
      <c r="A17" s="137" t="s">
        <v>209</v>
      </c>
      <c r="B17" s="136">
        <v>210</v>
      </c>
      <c r="C17" s="64"/>
      <c r="D17" s="65">
        <v>36</v>
      </c>
      <c r="E17" s="82">
        <f t="shared" si="0"/>
        <v>6</v>
      </c>
      <c r="F17" s="83">
        <v>39</v>
      </c>
      <c r="G17" s="66"/>
      <c r="H17" s="67"/>
      <c r="I17" s="67"/>
      <c r="J17" s="68"/>
      <c r="K17" s="69"/>
      <c r="L17" s="70" t="str">
        <f>IFERROR(TblReferentiescoreT13215161741848[[#This Row],[Aantal
ritten]]*TblReferentiescoreT13215161741848[[#This Row],[Afstand
per rit
'[km']]]*TblReferentiescoreT13215161741848[[#This Row],[Gemiddeld
volume
per rit
'[ton']]]*VLOOKUP(TblReferentiescoreT13215161741848[[#This Row],[Type transportmiddel]],TblType[],2,0),"")</f>
        <v/>
      </c>
      <c r="M17" s="70" t="str">
        <f>IFERROR(TblReferentiescoreT13215161741848[[#This Row],[Energie-vraag (MJ)]]/stookwaarde_diesel/dichtheid_diesel*emissiefactor_diesel,"")</f>
        <v/>
      </c>
      <c r="N17" s="71" t="str">
        <f>IFERROR(
     TblReferentiescoreT13215161741848[[#This Row],[Referentie-score]]*
          ((100%-TblReferentiescoreT13215161741848[[#This Row],[Aandeel
2e energie
-bron]])*INDEX(TblBrandstof[CO2 uitstoot verg 1l diesel],MATCH(TblReferentiescoreT13215161741848[[#This Row],[Energiebron]],TblBrandstof[Brandstof],0))+
          TblReferentiescoreT13215161741848[[#This Row],[Aandeel
2e energie
-bron]]*INDEX(TblBrandstof[CO2 uitstoot verg 1l diesel],MATCH(IF(OR(TblReferentiescoreT13215161741848[[#This Row],[2e energiebron]]="N.v.t.",TblReferentiescoreT13215161741848[[#This Row],[2e energiebron]]=""),TblReferentiescoreT13215161741848[[#This Row],[Energiebron]],TblReferentiescoreT13215161741848[[#This Row],[2e energiebron]]),TblBrandstof[Brandstof],0)))*
      IF(OR(TblReferentiescoreT13215161741848[[#This Row],[Motortype]]="Elektrisch",TblReferentiescoreT13215161741848[[#This Row],[Hybride]]="Ja"),TblHybride[Waardering hybride],1),"")</f>
        <v/>
      </c>
      <c r="O17" s="71" t="str">
        <f>IFERROR(TblReferentiescoreT13215161741848[[#This Row],[CO2-impact
'[kg CO2']]]*IF(INDEX(TblBrandstof[Waardering Euroniveau],MATCH(TblReferentiescoreT13215161741848[[#This Row],[Energiebron]],TblBrandstof[Brandstof],0)),VLOOKUP(TblReferentiescoreT13215161741848[[#This Row],[Motortype]],TblMotortypeT[],2,0),1),"")</f>
        <v/>
      </c>
      <c r="P17" s="73" t="str">
        <f>IF(TblReferentiescoreT13215161741848[[#This Row],[Slibtransport
van rwzi naar rwzi]]&lt;&gt;"",
    IF(TblReferentiescoreT13215161741848[[#This Row],[Gemiddeld
volume
per rit
'[ton']]]="","Gemiddelde vracht per volle rit niet gevuld",
    IF(TblReferentiescoreT13215161741848[[#This Row],[Afstand
per rit
'[km']]]="","Afstand per rit niet gevuld",
    IF(TblReferentiescoreT13215161741848[[#This Row],[Aantal
ritten]]="","Aantal ritten niet gevuld",""))),
  "")</f>
        <v/>
      </c>
    </row>
    <row r="18" spans="1:17" ht="15.75" customHeight="1" x14ac:dyDescent="0.2">
      <c r="A18" s="137" t="s">
        <v>210</v>
      </c>
      <c r="B18" s="136">
        <v>3420</v>
      </c>
      <c r="C18" s="64"/>
      <c r="D18" s="65">
        <v>36</v>
      </c>
      <c r="E18" s="82">
        <f t="shared" si="0"/>
        <v>95</v>
      </c>
      <c r="F18" s="83">
        <v>46.3</v>
      </c>
      <c r="G18" s="66"/>
      <c r="H18" s="67"/>
      <c r="I18" s="67"/>
      <c r="J18" s="68"/>
      <c r="K18" s="69"/>
      <c r="L18" s="70" t="str">
        <f>IFERROR(TblReferentiescoreT13215161741848[[#This Row],[Aantal
ritten]]*TblReferentiescoreT13215161741848[[#This Row],[Afstand
per rit
'[km']]]*TblReferentiescoreT13215161741848[[#This Row],[Gemiddeld
volume
per rit
'[ton']]]*VLOOKUP(TblReferentiescoreT13215161741848[[#This Row],[Type transportmiddel]],TblType[],2,0),"")</f>
        <v/>
      </c>
      <c r="M18" s="70" t="str">
        <f>IFERROR(TblReferentiescoreT13215161741848[[#This Row],[Energie-vraag (MJ)]]/stookwaarde_diesel/dichtheid_diesel*emissiefactor_diesel,"")</f>
        <v/>
      </c>
      <c r="N18" s="71" t="str">
        <f>IFERROR(
     TblReferentiescoreT13215161741848[[#This Row],[Referentie-score]]*
          ((100%-TblReferentiescoreT13215161741848[[#This Row],[Aandeel
2e energie
-bron]])*INDEX(TblBrandstof[CO2 uitstoot verg 1l diesel],MATCH(TblReferentiescoreT13215161741848[[#This Row],[Energiebron]],TblBrandstof[Brandstof],0))+
          TblReferentiescoreT13215161741848[[#This Row],[Aandeel
2e energie
-bron]]*INDEX(TblBrandstof[CO2 uitstoot verg 1l diesel],MATCH(IF(OR(TblReferentiescoreT13215161741848[[#This Row],[2e energiebron]]="N.v.t.",TblReferentiescoreT13215161741848[[#This Row],[2e energiebron]]=""),TblReferentiescoreT13215161741848[[#This Row],[Energiebron]],TblReferentiescoreT13215161741848[[#This Row],[2e energiebron]]),TblBrandstof[Brandstof],0)))*
      IF(OR(TblReferentiescoreT13215161741848[[#This Row],[Motortype]]="Elektrisch",TblReferentiescoreT13215161741848[[#This Row],[Hybride]]="Ja"),TblHybride[Waardering hybride],1),"")</f>
        <v/>
      </c>
      <c r="O18" s="71" t="str">
        <f>IFERROR(TblReferentiescoreT13215161741848[[#This Row],[CO2-impact
'[kg CO2']]]*IF(INDEX(TblBrandstof[Waardering Euroniveau],MATCH(TblReferentiescoreT13215161741848[[#This Row],[Energiebron]],TblBrandstof[Brandstof],0)),VLOOKUP(TblReferentiescoreT13215161741848[[#This Row],[Motortype]],TblMotortypeT[],2,0),1),"")</f>
        <v/>
      </c>
      <c r="P18" s="73" t="str">
        <f>IF(TblReferentiescoreT13215161741848[[#This Row],[Slibtransport
van rwzi naar rwzi]]&lt;&gt;"",
    IF(TblReferentiescoreT13215161741848[[#This Row],[Gemiddeld
volume
per rit
'[ton']]]="","Gemiddelde vracht per volle rit niet gevuld",
    IF(TblReferentiescoreT13215161741848[[#This Row],[Afstand
per rit
'[km']]]="","Afstand per rit niet gevuld",
    IF(TblReferentiescoreT13215161741848[[#This Row],[Aantal
ritten]]="","Aantal ritten niet gevuld",""))),
  "")</f>
        <v/>
      </c>
    </row>
    <row r="19" spans="1:17" ht="15.75" customHeight="1" x14ac:dyDescent="0.2">
      <c r="A19" s="137" t="s">
        <v>211</v>
      </c>
      <c r="B19" s="136">
        <v>2106</v>
      </c>
      <c r="C19" s="64"/>
      <c r="D19" s="65">
        <v>36</v>
      </c>
      <c r="E19" s="82">
        <f t="shared" si="0"/>
        <v>59</v>
      </c>
      <c r="F19" s="83">
        <v>18.3</v>
      </c>
      <c r="G19" s="66"/>
      <c r="H19" s="67"/>
      <c r="I19" s="67"/>
      <c r="J19" s="68"/>
      <c r="K19" s="69"/>
      <c r="L19" s="70" t="str">
        <f>IFERROR(TblReferentiescoreT13215161741848[[#This Row],[Aantal
ritten]]*TblReferentiescoreT13215161741848[[#This Row],[Afstand
per rit
'[km']]]*TblReferentiescoreT13215161741848[[#This Row],[Gemiddeld
volume
per rit
'[ton']]]*VLOOKUP(TblReferentiescoreT13215161741848[[#This Row],[Type transportmiddel]],TblType[],2,0),"")</f>
        <v/>
      </c>
      <c r="M19" s="70" t="str">
        <f>IFERROR(TblReferentiescoreT13215161741848[[#This Row],[Energie-vraag (MJ)]]/stookwaarde_diesel/dichtheid_diesel*emissiefactor_diesel,"")</f>
        <v/>
      </c>
      <c r="N19" s="71" t="str">
        <f>IFERROR(
     TblReferentiescoreT13215161741848[[#This Row],[Referentie-score]]*
          ((100%-TblReferentiescoreT13215161741848[[#This Row],[Aandeel
2e energie
-bron]])*INDEX(TblBrandstof[CO2 uitstoot verg 1l diesel],MATCH(TblReferentiescoreT13215161741848[[#This Row],[Energiebron]],TblBrandstof[Brandstof],0))+
          TblReferentiescoreT13215161741848[[#This Row],[Aandeel
2e energie
-bron]]*INDEX(TblBrandstof[CO2 uitstoot verg 1l diesel],MATCH(IF(OR(TblReferentiescoreT13215161741848[[#This Row],[2e energiebron]]="N.v.t.",TblReferentiescoreT13215161741848[[#This Row],[2e energiebron]]=""),TblReferentiescoreT13215161741848[[#This Row],[Energiebron]],TblReferentiescoreT13215161741848[[#This Row],[2e energiebron]]),TblBrandstof[Brandstof],0)))*
      IF(OR(TblReferentiescoreT13215161741848[[#This Row],[Motortype]]="Elektrisch",TblReferentiescoreT13215161741848[[#This Row],[Hybride]]="Ja"),TblHybride[Waardering hybride],1),"")</f>
        <v/>
      </c>
      <c r="O19" s="71" t="str">
        <f>IFERROR(TblReferentiescoreT13215161741848[[#This Row],[CO2-impact
'[kg CO2']]]*IF(INDEX(TblBrandstof[Waardering Euroniveau],MATCH(TblReferentiescoreT13215161741848[[#This Row],[Energiebron]],TblBrandstof[Brandstof],0)),VLOOKUP(TblReferentiescoreT13215161741848[[#This Row],[Motortype]],TblMotortypeT[],2,0),1),"")</f>
        <v/>
      </c>
      <c r="P19" s="73" t="str">
        <f>IF(TblReferentiescoreT13215161741848[[#This Row],[Slibtransport
van rwzi naar rwzi]]&lt;&gt;"",
    IF(TblReferentiescoreT13215161741848[[#This Row],[Gemiddeld
volume
per rit
'[ton']]]="","Gemiddelde vracht per volle rit niet gevuld",
    IF(TblReferentiescoreT13215161741848[[#This Row],[Afstand
per rit
'[km']]]="","Afstand per rit niet gevuld",
    IF(TblReferentiescoreT13215161741848[[#This Row],[Aantal
ritten]]="","Aantal ritten niet gevuld",""))),
  "")</f>
        <v/>
      </c>
    </row>
    <row r="20" spans="1:17" ht="15.75" customHeight="1" x14ac:dyDescent="0.2">
      <c r="A20" s="137" t="s">
        <v>212</v>
      </c>
      <c r="B20" s="136">
        <v>5072</v>
      </c>
      <c r="C20" s="64"/>
      <c r="D20" s="65">
        <v>36</v>
      </c>
      <c r="E20" s="82">
        <f t="shared" si="0"/>
        <v>141</v>
      </c>
      <c r="F20" s="83">
        <v>27.5</v>
      </c>
      <c r="G20" s="66"/>
      <c r="H20" s="67"/>
      <c r="I20" s="67"/>
      <c r="J20" s="68"/>
      <c r="K20" s="69"/>
      <c r="L20" s="70" t="str">
        <f>IFERROR(TblReferentiescoreT13215161741848[[#This Row],[Aantal
ritten]]*TblReferentiescoreT13215161741848[[#This Row],[Afstand
per rit
'[km']]]*TblReferentiescoreT13215161741848[[#This Row],[Gemiddeld
volume
per rit
'[ton']]]*VLOOKUP(TblReferentiescoreT13215161741848[[#This Row],[Type transportmiddel]],TblType[],2,0),"")</f>
        <v/>
      </c>
      <c r="M20" s="70" t="str">
        <f>IFERROR(TblReferentiescoreT13215161741848[[#This Row],[Energie-vraag (MJ)]]/stookwaarde_diesel/dichtheid_diesel*emissiefactor_diesel,"")</f>
        <v/>
      </c>
      <c r="N20" s="71" t="str">
        <f>IFERROR(
     TblReferentiescoreT13215161741848[[#This Row],[Referentie-score]]*
          ((100%-TblReferentiescoreT13215161741848[[#This Row],[Aandeel
2e energie
-bron]])*INDEX(TblBrandstof[CO2 uitstoot verg 1l diesel],MATCH(TblReferentiescoreT13215161741848[[#This Row],[Energiebron]],TblBrandstof[Brandstof],0))+
          TblReferentiescoreT13215161741848[[#This Row],[Aandeel
2e energie
-bron]]*INDEX(TblBrandstof[CO2 uitstoot verg 1l diesel],MATCH(IF(OR(TblReferentiescoreT13215161741848[[#This Row],[2e energiebron]]="N.v.t.",TblReferentiescoreT13215161741848[[#This Row],[2e energiebron]]=""),TblReferentiescoreT13215161741848[[#This Row],[Energiebron]],TblReferentiescoreT13215161741848[[#This Row],[2e energiebron]]),TblBrandstof[Brandstof],0)))*
      IF(OR(TblReferentiescoreT13215161741848[[#This Row],[Motortype]]="Elektrisch",TblReferentiescoreT13215161741848[[#This Row],[Hybride]]="Ja"),TblHybride[Waardering hybride],1),"")</f>
        <v/>
      </c>
      <c r="O20" s="71" t="str">
        <f>IFERROR(TblReferentiescoreT13215161741848[[#This Row],[CO2-impact
'[kg CO2']]]*IF(INDEX(TblBrandstof[Waardering Euroniveau],MATCH(TblReferentiescoreT13215161741848[[#This Row],[Energiebron]],TblBrandstof[Brandstof],0)),VLOOKUP(TblReferentiescoreT13215161741848[[#This Row],[Motortype]],TblMotortypeT[],2,0),1),"")</f>
        <v/>
      </c>
      <c r="P20" s="73" t="str">
        <f>IF(TblReferentiescoreT13215161741848[[#This Row],[Slibtransport
van rwzi naar rwzi]]&lt;&gt;"",
    IF(TblReferentiescoreT13215161741848[[#This Row],[Gemiddeld
volume
per rit
'[ton']]]="","Gemiddelde vracht per volle rit niet gevuld",
    IF(TblReferentiescoreT13215161741848[[#This Row],[Afstand
per rit
'[km']]]="","Afstand per rit niet gevuld",
    IF(TblReferentiescoreT13215161741848[[#This Row],[Aantal
ritten]]="","Aantal ritten niet gevuld",""))),
  "")</f>
        <v/>
      </c>
    </row>
    <row r="21" spans="1:17" ht="15.75" customHeight="1" x14ac:dyDescent="0.2">
      <c r="A21" s="137" t="s">
        <v>213</v>
      </c>
      <c r="B21" s="136">
        <v>1689</v>
      </c>
      <c r="C21" s="64"/>
      <c r="D21" s="65">
        <v>36</v>
      </c>
      <c r="E21" s="82">
        <f t="shared" si="0"/>
        <v>47</v>
      </c>
      <c r="F21" s="83">
        <v>36.299999999999997</v>
      </c>
      <c r="G21" s="66"/>
      <c r="H21" s="67"/>
      <c r="I21" s="67"/>
      <c r="J21" s="68"/>
      <c r="K21" s="69"/>
      <c r="L21" s="70" t="str">
        <f>IFERROR(TblReferentiescoreT13215161741848[[#This Row],[Aantal
ritten]]*TblReferentiescoreT13215161741848[[#This Row],[Afstand
per rit
'[km']]]*TblReferentiescoreT13215161741848[[#This Row],[Gemiddeld
volume
per rit
'[ton']]]*VLOOKUP(TblReferentiescoreT13215161741848[[#This Row],[Type transportmiddel]],TblType[],2,0),"")</f>
        <v/>
      </c>
      <c r="M21" s="70" t="str">
        <f>IFERROR(TblReferentiescoreT13215161741848[[#This Row],[Energie-vraag (MJ)]]/stookwaarde_diesel/dichtheid_diesel*emissiefactor_diesel,"")</f>
        <v/>
      </c>
      <c r="N21" s="71" t="str">
        <f>IFERROR(
     TblReferentiescoreT13215161741848[[#This Row],[Referentie-score]]*
          ((100%-TblReferentiescoreT13215161741848[[#This Row],[Aandeel
2e energie
-bron]])*INDEX(TblBrandstof[CO2 uitstoot verg 1l diesel],MATCH(TblReferentiescoreT13215161741848[[#This Row],[Energiebron]],TblBrandstof[Brandstof],0))+
          TblReferentiescoreT13215161741848[[#This Row],[Aandeel
2e energie
-bron]]*INDEX(TblBrandstof[CO2 uitstoot verg 1l diesel],MATCH(IF(OR(TblReferentiescoreT13215161741848[[#This Row],[2e energiebron]]="N.v.t.",TblReferentiescoreT13215161741848[[#This Row],[2e energiebron]]=""),TblReferentiescoreT13215161741848[[#This Row],[Energiebron]],TblReferentiescoreT13215161741848[[#This Row],[2e energiebron]]),TblBrandstof[Brandstof],0)))*
      IF(OR(TblReferentiescoreT13215161741848[[#This Row],[Motortype]]="Elektrisch",TblReferentiescoreT13215161741848[[#This Row],[Hybride]]="Ja"),TblHybride[Waardering hybride],1),"")</f>
        <v/>
      </c>
      <c r="O21" s="71" t="str">
        <f>IFERROR(TblReferentiescoreT13215161741848[[#This Row],[CO2-impact
'[kg CO2']]]*IF(INDEX(TblBrandstof[Waardering Euroniveau],MATCH(TblReferentiescoreT13215161741848[[#This Row],[Energiebron]],TblBrandstof[Brandstof],0)),VLOOKUP(TblReferentiescoreT13215161741848[[#This Row],[Motortype]],TblMotortypeT[],2,0),1),"")</f>
        <v/>
      </c>
      <c r="P21" s="73" t="str">
        <f>IF(TblReferentiescoreT13215161741848[[#This Row],[Slibtransport
van rwzi naar rwzi]]&lt;&gt;"",
    IF(TblReferentiescoreT13215161741848[[#This Row],[Gemiddeld
volume
per rit
'[ton']]]="","Gemiddelde vracht per volle rit niet gevuld",
    IF(TblReferentiescoreT13215161741848[[#This Row],[Afstand
per rit
'[km']]]="","Afstand per rit niet gevuld",
    IF(TblReferentiescoreT13215161741848[[#This Row],[Aantal
ritten]]="","Aantal ritten niet gevuld",""))),
  "")</f>
        <v/>
      </c>
    </row>
    <row r="22" spans="1:17" ht="15.75" customHeight="1" x14ac:dyDescent="0.2">
      <c r="A22" s="137" t="s">
        <v>214</v>
      </c>
      <c r="B22" s="136">
        <v>4509</v>
      </c>
      <c r="C22" s="64"/>
      <c r="D22" s="65">
        <v>36</v>
      </c>
      <c r="E22" s="82">
        <f t="shared" si="0"/>
        <v>126</v>
      </c>
      <c r="F22" s="83">
        <v>25.3</v>
      </c>
      <c r="G22" s="66"/>
      <c r="H22" s="67"/>
      <c r="I22" s="67"/>
      <c r="J22" s="68"/>
      <c r="K22" s="69"/>
      <c r="L22" s="70" t="str">
        <f>IFERROR(TblReferentiescoreT13215161741848[[#This Row],[Aantal
ritten]]*TblReferentiescoreT13215161741848[[#This Row],[Afstand
per rit
'[km']]]*TblReferentiescoreT13215161741848[[#This Row],[Gemiddeld
volume
per rit
'[ton']]]*VLOOKUP(TblReferentiescoreT13215161741848[[#This Row],[Type transportmiddel]],TblType[],2,0),"")</f>
        <v/>
      </c>
      <c r="M22" s="70" t="str">
        <f>IFERROR(TblReferentiescoreT13215161741848[[#This Row],[Energie-vraag (MJ)]]/stookwaarde_diesel/dichtheid_diesel*emissiefactor_diesel,"")</f>
        <v/>
      </c>
      <c r="N22" s="71" t="str">
        <f>IFERROR(
     TblReferentiescoreT13215161741848[[#This Row],[Referentie-score]]*
          ((100%-TblReferentiescoreT13215161741848[[#This Row],[Aandeel
2e energie
-bron]])*INDEX(TblBrandstof[CO2 uitstoot verg 1l diesel],MATCH(TblReferentiescoreT13215161741848[[#This Row],[Energiebron]],TblBrandstof[Brandstof],0))+
          TblReferentiescoreT13215161741848[[#This Row],[Aandeel
2e energie
-bron]]*INDEX(TblBrandstof[CO2 uitstoot verg 1l diesel],MATCH(IF(OR(TblReferentiescoreT13215161741848[[#This Row],[2e energiebron]]="N.v.t.",TblReferentiescoreT13215161741848[[#This Row],[2e energiebron]]=""),TblReferentiescoreT13215161741848[[#This Row],[Energiebron]],TblReferentiescoreT13215161741848[[#This Row],[2e energiebron]]),TblBrandstof[Brandstof],0)))*
      IF(OR(TblReferentiescoreT13215161741848[[#This Row],[Motortype]]="Elektrisch",TblReferentiescoreT13215161741848[[#This Row],[Hybride]]="Ja"),TblHybride[Waardering hybride],1),"")</f>
        <v/>
      </c>
      <c r="O22" s="71" t="str">
        <f>IFERROR(TblReferentiescoreT13215161741848[[#This Row],[CO2-impact
'[kg CO2']]]*IF(INDEX(TblBrandstof[Waardering Euroniveau],MATCH(TblReferentiescoreT13215161741848[[#This Row],[Energiebron]],TblBrandstof[Brandstof],0)),VLOOKUP(TblReferentiescoreT13215161741848[[#This Row],[Motortype]],TblMotortypeT[],2,0),1),"")</f>
        <v/>
      </c>
      <c r="P22" s="73" t="str">
        <f>IF(TblReferentiescoreT13215161741848[[#This Row],[Slibtransport
van rwzi naar rwzi]]&lt;&gt;"",
    IF(TblReferentiescoreT13215161741848[[#This Row],[Gemiddeld
volume
per rit
'[ton']]]="","Gemiddelde vracht per volle rit niet gevuld",
    IF(TblReferentiescoreT13215161741848[[#This Row],[Afstand
per rit
'[km']]]="","Afstand per rit niet gevuld",
    IF(TblReferentiescoreT13215161741848[[#This Row],[Aantal
ritten]]="","Aantal ritten niet gevuld",""))),
  "")</f>
        <v/>
      </c>
    </row>
    <row r="23" spans="1:17" ht="15.75" customHeight="1" x14ac:dyDescent="0.2">
      <c r="A23" s="137" t="s">
        <v>215</v>
      </c>
      <c r="B23" s="136">
        <v>144</v>
      </c>
      <c r="C23" s="64"/>
      <c r="D23" s="65">
        <v>36</v>
      </c>
      <c r="E23" s="82">
        <f t="shared" si="0"/>
        <v>4</v>
      </c>
      <c r="F23" s="83">
        <v>13.7</v>
      </c>
      <c r="G23" s="66"/>
      <c r="H23" s="67"/>
      <c r="I23" s="67"/>
      <c r="J23" s="68"/>
      <c r="K23" s="69"/>
      <c r="L23" s="70" t="str">
        <f>IFERROR(TblReferentiescoreT13215161741848[[#This Row],[Aantal
ritten]]*TblReferentiescoreT13215161741848[[#This Row],[Afstand
per rit
'[km']]]*TblReferentiescoreT13215161741848[[#This Row],[Gemiddeld
volume
per rit
'[ton']]]*VLOOKUP(TblReferentiescoreT13215161741848[[#This Row],[Type transportmiddel]],TblType[],2,0),"")</f>
        <v/>
      </c>
      <c r="M23" s="70" t="str">
        <f>IFERROR(TblReferentiescoreT13215161741848[[#This Row],[Energie-vraag (MJ)]]/stookwaarde_diesel/dichtheid_diesel*emissiefactor_diesel,"")</f>
        <v/>
      </c>
      <c r="N23" s="71" t="str">
        <f>IFERROR(
     TblReferentiescoreT13215161741848[[#This Row],[Referentie-score]]*
          ((100%-TblReferentiescoreT13215161741848[[#This Row],[Aandeel
2e energie
-bron]])*INDEX(TblBrandstof[CO2 uitstoot verg 1l diesel],MATCH(TblReferentiescoreT13215161741848[[#This Row],[Energiebron]],TblBrandstof[Brandstof],0))+
          TblReferentiescoreT13215161741848[[#This Row],[Aandeel
2e energie
-bron]]*INDEX(TblBrandstof[CO2 uitstoot verg 1l diesel],MATCH(IF(OR(TblReferentiescoreT13215161741848[[#This Row],[2e energiebron]]="N.v.t.",TblReferentiescoreT13215161741848[[#This Row],[2e energiebron]]=""),TblReferentiescoreT13215161741848[[#This Row],[Energiebron]],TblReferentiescoreT13215161741848[[#This Row],[2e energiebron]]),TblBrandstof[Brandstof],0)))*
      IF(OR(TblReferentiescoreT13215161741848[[#This Row],[Motortype]]="Elektrisch",TblReferentiescoreT13215161741848[[#This Row],[Hybride]]="Ja"),TblHybride[Waardering hybride],1),"")</f>
        <v/>
      </c>
      <c r="O23" s="71" t="str">
        <f>IFERROR(TblReferentiescoreT13215161741848[[#This Row],[CO2-impact
'[kg CO2']]]*IF(INDEX(TblBrandstof[Waardering Euroniveau],MATCH(TblReferentiescoreT13215161741848[[#This Row],[Energiebron]],TblBrandstof[Brandstof],0)),VLOOKUP(TblReferentiescoreT13215161741848[[#This Row],[Motortype]],TblMotortypeT[],2,0),1),"")</f>
        <v/>
      </c>
      <c r="P23" s="73" t="str">
        <f>IF(TblReferentiescoreT13215161741848[[#This Row],[Slibtransport
van rwzi naar rwzi]]&lt;&gt;"",
    IF(TblReferentiescoreT13215161741848[[#This Row],[Gemiddeld
volume
per rit
'[ton']]]="","Gemiddelde vracht per volle rit niet gevuld",
    IF(TblReferentiescoreT13215161741848[[#This Row],[Afstand
per rit
'[km']]]="","Afstand per rit niet gevuld",
    IF(TblReferentiescoreT13215161741848[[#This Row],[Aantal
ritten]]="","Aantal ritten niet gevuld",""))),
  "")</f>
        <v/>
      </c>
    </row>
    <row r="24" spans="1:17" ht="15.75" customHeight="1" x14ac:dyDescent="0.2">
      <c r="A24" s="137" t="s">
        <v>217</v>
      </c>
      <c r="B24" s="136">
        <v>3765</v>
      </c>
      <c r="C24" s="64"/>
      <c r="D24" s="65">
        <v>36</v>
      </c>
      <c r="E24" s="82">
        <f t="shared" si="0"/>
        <v>105</v>
      </c>
      <c r="F24" s="83">
        <v>24.8</v>
      </c>
      <c r="G24" s="66"/>
      <c r="H24" s="67"/>
      <c r="I24" s="67"/>
      <c r="J24" s="68"/>
      <c r="K24" s="69"/>
      <c r="L24" s="70" t="str">
        <f>IFERROR(TblReferentiescoreT13215161741848[[#This Row],[Aantal
ritten]]*TblReferentiescoreT13215161741848[[#This Row],[Afstand
per rit
'[km']]]*TblReferentiescoreT13215161741848[[#This Row],[Gemiddeld
volume
per rit
'[ton']]]*VLOOKUP(TblReferentiescoreT13215161741848[[#This Row],[Type transportmiddel]],TblType[],2,0),"")</f>
        <v/>
      </c>
      <c r="M24" s="70" t="str">
        <f>IFERROR(TblReferentiescoreT13215161741848[[#This Row],[Energie-vraag (MJ)]]/stookwaarde_diesel/dichtheid_diesel*emissiefactor_diesel,"")</f>
        <v/>
      </c>
      <c r="N24" s="71" t="str">
        <f>IFERROR(
     TblReferentiescoreT13215161741848[[#This Row],[Referentie-score]]*
          ((100%-TblReferentiescoreT13215161741848[[#This Row],[Aandeel
2e energie
-bron]])*INDEX(TblBrandstof[CO2 uitstoot verg 1l diesel],MATCH(TblReferentiescoreT13215161741848[[#This Row],[Energiebron]],TblBrandstof[Brandstof],0))+
          TblReferentiescoreT13215161741848[[#This Row],[Aandeel
2e energie
-bron]]*INDEX(TblBrandstof[CO2 uitstoot verg 1l diesel],MATCH(IF(OR(TblReferentiescoreT13215161741848[[#This Row],[2e energiebron]]="N.v.t.",TblReferentiescoreT13215161741848[[#This Row],[2e energiebron]]=""),TblReferentiescoreT13215161741848[[#This Row],[Energiebron]],TblReferentiescoreT13215161741848[[#This Row],[2e energiebron]]),TblBrandstof[Brandstof],0)))*
      IF(OR(TblReferentiescoreT13215161741848[[#This Row],[Motortype]]="Elektrisch",TblReferentiescoreT13215161741848[[#This Row],[Hybride]]="Ja"),TblHybride[Waardering hybride],1),"")</f>
        <v/>
      </c>
      <c r="O24" s="71" t="str">
        <f>IFERROR(TblReferentiescoreT13215161741848[[#This Row],[CO2-impact
'[kg CO2']]]*IF(INDEX(TblBrandstof[Waardering Euroniveau],MATCH(TblReferentiescoreT13215161741848[[#This Row],[Energiebron]],TblBrandstof[Brandstof],0)),VLOOKUP(TblReferentiescoreT13215161741848[[#This Row],[Motortype]],TblMotortypeT[],2,0),1),"")</f>
        <v/>
      </c>
      <c r="P24" s="73" t="str">
        <f>IF(TblReferentiescoreT13215161741848[[#This Row],[Slibtransport
van rwzi naar rwzi]]&lt;&gt;"",
    IF(TblReferentiescoreT13215161741848[[#This Row],[Gemiddeld
volume
per rit
'[ton']]]="","Gemiddelde vracht per volle rit niet gevuld",
    IF(TblReferentiescoreT13215161741848[[#This Row],[Afstand
per rit
'[km']]]="","Afstand per rit niet gevuld",
    IF(TblReferentiescoreT13215161741848[[#This Row],[Aantal
ritten]]="","Aantal ritten niet gevuld",""))),
  "")</f>
        <v/>
      </c>
    </row>
    <row r="25" spans="1:17" ht="15.75" customHeight="1" thickBot="1" x14ac:dyDescent="0.25">
      <c r="A25" s="137" t="s">
        <v>216</v>
      </c>
      <c r="B25" s="136">
        <v>72</v>
      </c>
      <c r="C25" s="64"/>
      <c r="D25" s="65">
        <v>36</v>
      </c>
      <c r="E25" s="82">
        <f t="shared" si="0"/>
        <v>2</v>
      </c>
      <c r="F25" s="83">
        <v>35.9</v>
      </c>
      <c r="G25" s="66"/>
      <c r="H25" s="67"/>
      <c r="I25" s="67"/>
      <c r="J25" s="68"/>
      <c r="K25" s="69"/>
      <c r="L25" s="70" t="str">
        <f>IFERROR(TblReferentiescoreT13215161741848[[#This Row],[Aantal
ritten]]*TblReferentiescoreT13215161741848[[#This Row],[Afstand
per rit
'[km']]]*TblReferentiescoreT13215161741848[[#This Row],[Gemiddeld
volume
per rit
'[ton']]]*VLOOKUP(TblReferentiescoreT13215161741848[[#This Row],[Type transportmiddel]],TblType[],2,0),"")</f>
        <v/>
      </c>
      <c r="M25" s="70" t="str">
        <f>IFERROR(TblReferentiescoreT13215161741848[[#This Row],[Energie-vraag (MJ)]]/stookwaarde_diesel/dichtheid_diesel*emissiefactor_diesel,"")</f>
        <v/>
      </c>
      <c r="N25" s="71" t="str">
        <f>IFERROR(
     TblReferentiescoreT13215161741848[[#This Row],[Referentie-score]]*
          ((100%-TblReferentiescoreT13215161741848[[#This Row],[Aandeel
2e energie
-bron]])*INDEX(TblBrandstof[CO2 uitstoot verg 1l diesel],MATCH(TblReferentiescoreT13215161741848[[#This Row],[Energiebron]],TblBrandstof[Brandstof],0))+
          TblReferentiescoreT13215161741848[[#This Row],[Aandeel
2e energie
-bron]]*INDEX(TblBrandstof[CO2 uitstoot verg 1l diesel],MATCH(IF(OR(TblReferentiescoreT13215161741848[[#This Row],[2e energiebron]]="N.v.t.",TblReferentiescoreT13215161741848[[#This Row],[2e energiebron]]=""),TblReferentiescoreT13215161741848[[#This Row],[Energiebron]],TblReferentiescoreT13215161741848[[#This Row],[2e energiebron]]),TblBrandstof[Brandstof],0)))*
      IF(OR(TblReferentiescoreT13215161741848[[#This Row],[Motortype]]="Elektrisch",TblReferentiescoreT13215161741848[[#This Row],[Hybride]]="Ja"),TblHybride[Waardering hybride],1),"")</f>
        <v/>
      </c>
      <c r="O25" s="71" t="str">
        <f>IFERROR(TblReferentiescoreT13215161741848[[#This Row],[CO2-impact
'[kg CO2']]]*IF(INDEX(TblBrandstof[Waardering Euroniveau],MATCH(TblReferentiescoreT13215161741848[[#This Row],[Energiebron]],TblBrandstof[Brandstof],0)),VLOOKUP(TblReferentiescoreT13215161741848[[#This Row],[Motortype]],TblMotortypeT[],2,0),1),"")</f>
        <v/>
      </c>
      <c r="P25" s="73" t="str">
        <f>IF(TblReferentiescoreT13215161741848[[#This Row],[Slibtransport
van rwzi naar rwzi]]&lt;&gt;"",
    IF(TblReferentiescoreT13215161741848[[#This Row],[Gemiddeld
volume
per rit
'[ton']]]="","Gemiddelde vracht per volle rit niet gevuld",
    IF(TblReferentiescoreT13215161741848[[#This Row],[Afstand
per rit
'[km']]]="","Afstand per rit niet gevuld",
    IF(TblReferentiescoreT13215161741848[[#This Row],[Aantal
ritten]]="","Aantal ritten niet gevuld",""))),
  "")</f>
        <v/>
      </c>
    </row>
    <row r="26" spans="1:17" s="45" customFormat="1" ht="15.75" thickBot="1" x14ac:dyDescent="0.25">
      <c r="A26" s="46" t="s">
        <v>159</v>
      </c>
      <c r="B26" s="48">
        <f>SUBTOTAL(109,TblReferentiescoreT13215161741848[Gemiddeld
volume 
per jaar
'[ton']])</f>
        <v>114305</v>
      </c>
      <c r="C26" s="48"/>
      <c r="D26" s="48"/>
      <c r="E26" s="48"/>
      <c r="F26" s="48"/>
      <c r="G26" s="48"/>
      <c r="H26" s="48"/>
      <c r="I26" s="48"/>
      <c r="J26" s="48"/>
      <c r="K26" s="48"/>
      <c r="L26" s="47"/>
      <c r="M26" s="48">
        <f>SUBTOTAL(109,TblReferentiescoreT13215161741848[Referentie-score])</f>
        <v>0</v>
      </c>
      <c r="N26" s="79">
        <f>SUBTOTAL(109,TblReferentiescoreT13215161741848[CO2-impact
'[kg CO2']])</f>
        <v>0</v>
      </c>
      <c r="O26" s="79">
        <f>SUBTOTAL(109,TblReferentiescoreT13215161741848[Transport
score])</f>
        <v>0</v>
      </c>
      <c r="P26" s="48"/>
    </row>
    <row r="27" spans="1:17" x14ac:dyDescent="0.2">
      <c r="C27" s="74"/>
      <c r="D27" s="74"/>
      <c r="E27" s="75"/>
      <c r="F27" s="74"/>
      <c r="N27" s="54"/>
      <c r="O27" s="54" t="s">
        <v>197</v>
      </c>
    </row>
    <row r="28" spans="1:17" x14ac:dyDescent="0.2">
      <c r="Q28" s="49"/>
    </row>
    <row r="29" spans="1:17" x14ac:dyDescent="0.2">
      <c r="A29" s="50"/>
      <c r="B29" s="50"/>
      <c r="C29" s="85"/>
      <c r="D29" s="49"/>
      <c r="E29" s="85"/>
      <c r="F29" s="85"/>
      <c r="Q29" s="49"/>
    </row>
    <row r="30" spans="1:17" x14ac:dyDescent="0.2">
      <c r="A30" s="50"/>
      <c r="B30" s="50"/>
      <c r="C30" s="85"/>
      <c r="D30" s="49"/>
      <c r="E30" s="86"/>
      <c r="F30" s="85"/>
      <c r="Q30" s="51"/>
    </row>
    <row r="31" spans="1:17" x14ac:dyDescent="0.2">
      <c r="A31" s="50"/>
      <c r="B31" s="50"/>
      <c r="C31" s="154"/>
      <c r="D31" s="49"/>
      <c r="E31" s="85"/>
      <c r="F31" s="85"/>
    </row>
  </sheetData>
  <sheetProtection algorithmName="SHA-512" hashValue="RWbL9mwhGGbjpHEmOoYIjGs4UJfy92scGq+Cvn62+M2ryl9/kgoLvfV1aP0EA0jwkR0LqPOLoR1df8sDfQB0cA==" saltValue="VMc4PL4nYXB1kKI4CLN03g==" spinCount="100000" sheet="1" selectLockedCells="1"/>
  <mergeCells count="2">
    <mergeCell ref="B2:C2"/>
    <mergeCell ref="B3:C3"/>
  </mergeCells>
  <dataValidations count="7">
    <dataValidation type="list" allowBlank="1" showInputMessage="1" showErrorMessage="1" sqref="H6:H25" xr:uid="{8CD75A86-B692-4FF7-B48F-A44C364E03C1}">
      <formula1>INDIRECT(LEFT(G6,5))</formula1>
    </dataValidation>
    <dataValidation type="list" allowBlank="1" showInputMessage="1" showErrorMessage="1" sqref="I6:I25" xr:uid="{45882E9D-BE72-4DE8-A000-6FEA24CBDB3F}">
      <formula1>INDIRECT(LEFT(SUBSTITUTE(SUBSTITUTE(H6," ","_"),"(","_"),10))</formula1>
    </dataValidation>
    <dataValidation type="list" allowBlank="1" showInputMessage="1" showErrorMessage="1" sqref="C6:C25" xr:uid="{D6027C10-ED4B-4B43-AC8B-00668C602BA3}">
      <formula1>types</formula1>
    </dataValidation>
    <dataValidation type="list" allowBlank="1" showInputMessage="1" showErrorMessage="1" sqref="G6:G25" xr:uid="{BA902D16-FBDD-4365-8687-0AF22BBDD6B8}">
      <formula1>motortypest</formula1>
    </dataValidation>
    <dataValidation type="decimal" allowBlank="1" showInputMessage="1" showErrorMessage="1" sqref="J6:J25" xr:uid="{13F0C842-4FAC-4CEE-9694-510A0D7EFA35}">
      <formula1>0</formula1>
      <formula2>1</formula2>
    </dataValidation>
    <dataValidation type="list" allowBlank="1" showInputMessage="1" showErrorMessage="1" sqref="K6:K25" xr:uid="{B1A79339-F9BD-456E-9160-CEA3B367A13D}">
      <formula1>"Ja,Nee"</formula1>
    </dataValidation>
    <dataValidation type="whole" allowBlank="1" showInputMessage="1" showErrorMessage="1" prompt="Numerieke waarde" sqref="D6:F25" xr:uid="{1F4C77EC-663A-4B5E-A564-36FB465D86FE}">
      <formula1>1</formula1>
      <formula2>999999</formula2>
    </dataValidation>
  </dataValidations>
  <pageMargins left="0.25" right="0.25" top="0.75" bottom="0.75" header="0.3" footer="0.3"/>
  <pageSetup paperSize="9" scale="7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2769" r:id="rId4" name="Button 1">
              <controlPr defaultSize="0" print="0" autoFill="0" autoPict="0" macro="[0]!export.export">
                <anchor moveWithCells="1" sizeWithCells="1">
                  <from>
                    <xdr:col>3</xdr:col>
                    <xdr:colOff>76200</xdr:colOff>
                    <xdr:row>1</xdr:row>
                    <xdr:rowOff>190500</xdr:rowOff>
                  </from>
                  <to>
                    <xdr:col>5</xdr:col>
                    <xdr:colOff>9525</xdr:colOff>
                    <xdr:row>3</xdr:row>
                    <xdr:rowOff>0</xdr:rowOff>
                  </to>
                </anchor>
              </controlPr>
            </control>
          </mc:Choice>
        </mc:AlternateContent>
      </controls>
    </mc:Choice>
  </mc:AlternateContent>
  <tableParts count="1">
    <tablePart r:id="rId5"/>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9CFE6-92BB-4B2A-B06D-7B1DB9E84BEC}">
  <sheetPr codeName="Blad19">
    <tabColor theme="8" tint="0.59999389629810485"/>
    <pageSetUpPr fitToPage="1"/>
  </sheetPr>
  <dimension ref="A1:Q31"/>
  <sheetViews>
    <sheetView showGridLines="0" zoomScale="70" zoomScaleNormal="70" workbookViewId="0">
      <selection activeCell="B2" sqref="B2:C2"/>
    </sheetView>
  </sheetViews>
  <sheetFormatPr defaultColWidth="11" defaultRowHeight="12.75" x14ac:dyDescent="0.2"/>
  <cols>
    <col min="1" max="1" width="28.625" style="52" customWidth="1"/>
    <col min="2" max="2" width="12.625" style="52" customWidth="1"/>
    <col min="3" max="3" width="32.625" style="52" customWidth="1"/>
    <col min="4" max="4" width="12.625" style="54" customWidth="1"/>
    <col min="5" max="6" width="12.625" style="52" customWidth="1"/>
    <col min="7" max="7" width="12.625" style="55" customWidth="1"/>
    <col min="8" max="9" width="20.625" style="52" customWidth="1"/>
    <col min="10" max="10" width="12.125" style="52" customWidth="1"/>
    <col min="11" max="11" width="9.125" style="55" customWidth="1"/>
    <col min="12" max="12" width="8.625" style="52" hidden="1" customWidth="1"/>
    <col min="13" max="13" width="10.875" style="52" hidden="1" customWidth="1"/>
    <col min="14" max="14" width="12.625" style="52" customWidth="1"/>
    <col min="15" max="15" width="12.625" style="52" hidden="1" customWidth="1"/>
    <col min="16" max="16" width="12.625" style="52" customWidth="1"/>
    <col min="17" max="17" width="36.375" style="52" customWidth="1"/>
    <col min="18" max="18" width="17.125" style="52" customWidth="1"/>
    <col min="19" max="16384" width="11" style="52"/>
  </cols>
  <sheetData>
    <row r="1" spans="1:17" ht="15.75" customHeight="1" x14ac:dyDescent="0.2">
      <c r="A1" s="53" t="s">
        <v>242</v>
      </c>
      <c r="B1" s="53"/>
    </row>
    <row r="2" spans="1:17" ht="15.75" customHeight="1" thickBot="1" x14ac:dyDescent="0.25">
      <c r="A2" s="152" t="s">
        <v>189</v>
      </c>
      <c r="B2" s="169"/>
      <c r="C2" s="173"/>
      <c r="D2" s="118" t="s">
        <v>266</v>
      </c>
    </row>
    <row r="3" spans="1:17" ht="15.75" customHeight="1" thickTop="1" thickBot="1" x14ac:dyDescent="0.25">
      <c r="A3" s="153" t="s">
        <v>190</v>
      </c>
      <c r="B3" s="171"/>
      <c r="C3" s="174"/>
    </row>
    <row r="4" spans="1:17" ht="15.75" customHeight="1" thickTop="1" x14ac:dyDescent="0.2">
      <c r="G4" s="58"/>
    </row>
    <row r="5" spans="1:17" ht="60" customHeight="1" x14ac:dyDescent="0.2">
      <c r="A5" s="59" t="s">
        <v>221</v>
      </c>
      <c r="B5" s="60" t="s">
        <v>225</v>
      </c>
      <c r="C5" s="91" t="s">
        <v>227</v>
      </c>
      <c r="D5" s="155" t="s">
        <v>224</v>
      </c>
      <c r="E5" s="84" t="s">
        <v>218</v>
      </c>
      <c r="F5" s="84" t="s">
        <v>219</v>
      </c>
      <c r="G5" s="156" t="s">
        <v>36</v>
      </c>
      <c r="H5" s="157" t="s">
        <v>173</v>
      </c>
      <c r="I5" s="158" t="s">
        <v>191</v>
      </c>
      <c r="J5" s="96" t="s">
        <v>226</v>
      </c>
      <c r="K5" s="97" t="s">
        <v>39</v>
      </c>
      <c r="L5" s="59" t="s">
        <v>184</v>
      </c>
      <c r="M5" s="59" t="s">
        <v>183</v>
      </c>
      <c r="N5" s="62" t="s">
        <v>222</v>
      </c>
      <c r="O5" s="60" t="s">
        <v>220</v>
      </c>
      <c r="P5" s="80" t="s">
        <v>223</v>
      </c>
      <c r="Q5" s="63"/>
    </row>
    <row r="6" spans="1:17" ht="15.75" customHeight="1" x14ac:dyDescent="0.2">
      <c r="A6" s="137" t="s">
        <v>198</v>
      </c>
      <c r="B6" s="136">
        <v>5122</v>
      </c>
      <c r="C6" s="64"/>
      <c r="D6" s="65">
        <v>36</v>
      </c>
      <c r="E6" s="82">
        <f t="shared" ref="E6:E25" si="0">CEILING(B6/D6,1)</f>
        <v>143</v>
      </c>
      <c r="F6" s="83">
        <v>25.8</v>
      </c>
      <c r="G6" s="66"/>
      <c r="H6" s="67" t="s">
        <v>188</v>
      </c>
      <c r="I6" s="67" t="s">
        <v>188</v>
      </c>
      <c r="J6" s="68"/>
      <c r="K6" s="69"/>
      <c r="L6" s="70" t="str">
        <f>IFERROR(TblReferentiescoreT1321516174184813[[#This Row],[Aantal
ritten]]*TblReferentiescoreT1321516174184813[[#This Row],[Afstand
per rit
'[km']]]*TblReferentiescoreT1321516174184813[[#This Row],[Gemiddeld
volume
per rit
'[ton']]]*VLOOKUP(TblReferentiescoreT1321516174184813[[#This Row],[Type transportmiddel]],TblType[],2,0),"")</f>
        <v/>
      </c>
      <c r="M6" s="70" t="str">
        <f>IFERROR(TblReferentiescoreT1321516174184813[[#This Row],[Energie-vraag (MJ)]]/stookwaarde_diesel/dichtheid_diesel*emissiefactor_diesel,"")</f>
        <v/>
      </c>
      <c r="N6" s="71" t="str">
        <f>IFERROR(
     TblReferentiescoreT1321516174184813[[#This Row],[Referentie-score]]*
          ((100%-TblReferentiescoreT1321516174184813[[#This Row],[Aandeel
2e energie
-bron]])*INDEX(TblBrandstof[CO2 uitstoot verg 1l diesel],MATCH(TblReferentiescoreT1321516174184813[[#This Row],[Energiebron]],TblBrandstof[Brandstof],0))+
          TblReferentiescoreT1321516174184813[[#This Row],[Aandeel
2e energie
-bron]]*INDEX(TblBrandstof[CO2 uitstoot verg 1l diesel],MATCH(IF(OR(TblReferentiescoreT1321516174184813[[#This Row],[2e energiebron]]="N.v.t.",TblReferentiescoreT1321516174184813[[#This Row],[2e energiebron]]=""),TblReferentiescoreT1321516174184813[[#This Row],[Energiebron]],TblReferentiescoreT1321516174184813[[#This Row],[2e energiebron]]),TblBrandstof[Brandstof],0)))*
      IF(OR(TblReferentiescoreT1321516174184813[[#This Row],[Motortype]]="Elektrisch",TblReferentiescoreT1321516174184813[[#This Row],[Hybride]]="Ja"),TblHybride[Waardering hybride],1),"")</f>
        <v/>
      </c>
      <c r="O6" s="71" t="str">
        <f>IFERROR(TblReferentiescoreT1321516174184813[[#This Row],[CO2-impact
'[kg CO2']]]*IF(INDEX(TblBrandstof[Waardering Euroniveau],MATCH(TblReferentiescoreT1321516174184813[[#This Row],[Energiebron]],TblBrandstof[Brandstof],0)),VLOOKUP(TblReferentiescoreT1321516174184813[[#This Row],[Motortype]],TblMotortypeT[],2,0),1),"")</f>
        <v/>
      </c>
      <c r="P6" s="72" t="str">
        <f>IF(TblReferentiescoreT1321516174184813[[#This Row],[Slibtransport
van rwzi naar rwzi]]&lt;&gt;"",
    IF(TblReferentiescoreT1321516174184813[[#This Row],[Gemiddeld
volume
per rit
'[ton']]]="","Gemiddelde vracht per volle rit niet gevuld",
    IF(TblReferentiescoreT1321516174184813[[#This Row],[Afstand
per rit
'[km']]]="","Afstand per rit niet gevuld",
    IF(TblReferentiescoreT1321516174184813[[#This Row],[Aantal
ritten]]="","Aantal ritten niet gevuld",""))),
  "")</f>
        <v/>
      </c>
    </row>
    <row r="7" spans="1:17" ht="15.75" customHeight="1" x14ac:dyDescent="0.2">
      <c r="A7" s="137" t="s">
        <v>199</v>
      </c>
      <c r="B7" s="136">
        <v>5104</v>
      </c>
      <c r="C7" s="64"/>
      <c r="D7" s="65">
        <v>36</v>
      </c>
      <c r="E7" s="82">
        <f t="shared" si="0"/>
        <v>142</v>
      </c>
      <c r="F7" s="83">
        <v>20</v>
      </c>
      <c r="G7" s="66"/>
      <c r="H7" s="67"/>
      <c r="I7" s="67"/>
      <c r="J7" s="68"/>
      <c r="K7" s="69"/>
      <c r="L7" s="70" t="str">
        <f>IFERROR(TblReferentiescoreT1321516174184813[[#This Row],[Aantal
ritten]]*TblReferentiescoreT1321516174184813[[#This Row],[Afstand
per rit
'[km']]]*TblReferentiescoreT1321516174184813[[#This Row],[Gemiddeld
volume
per rit
'[ton']]]*VLOOKUP(TblReferentiescoreT1321516174184813[[#This Row],[Type transportmiddel]],TblType[],2,0),"")</f>
        <v/>
      </c>
      <c r="M7" s="70" t="str">
        <f>IFERROR(TblReferentiescoreT1321516174184813[[#This Row],[Energie-vraag (MJ)]]/stookwaarde_diesel/dichtheid_diesel*emissiefactor_diesel,"")</f>
        <v/>
      </c>
      <c r="N7" s="71" t="str">
        <f>IFERROR(
     TblReferentiescoreT1321516174184813[[#This Row],[Referentie-score]]*
          ((100%-TblReferentiescoreT1321516174184813[[#This Row],[Aandeel
2e energie
-bron]])*INDEX(TblBrandstof[CO2 uitstoot verg 1l diesel],MATCH(TblReferentiescoreT1321516174184813[[#This Row],[Energiebron]],TblBrandstof[Brandstof],0))+
          TblReferentiescoreT1321516174184813[[#This Row],[Aandeel
2e energie
-bron]]*INDEX(TblBrandstof[CO2 uitstoot verg 1l diesel],MATCH(IF(OR(TblReferentiescoreT1321516174184813[[#This Row],[2e energiebron]]="N.v.t.",TblReferentiescoreT1321516174184813[[#This Row],[2e energiebron]]=""),TblReferentiescoreT1321516174184813[[#This Row],[Energiebron]],TblReferentiescoreT1321516174184813[[#This Row],[2e energiebron]]),TblBrandstof[Brandstof],0)))*
      IF(OR(TblReferentiescoreT1321516174184813[[#This Row],[Motortype]]="Elektrisch",TblReferentiescoreT1321516174184813[[#This Row],[Hybride]]="Ja"),TblHybride[Waardering hybride],1),"")</f>
        <v/>
      </c>
      <c r="O7" s="71" t="str">
        <f>IFERROR(TblReferentiescoreT1321516174184813[[#This Row],[CO2-impact
'[kg CO2']]]*IF(INDEX(TblBrandstof[Waardering Euroniveau],MATCH(TblReferentiescoreT1321516174184813[[#This Row],[Energiebron]],TblBrandstof[Brandstof],0)),VLOOKUP(TblReferentiescoreT1321516174184813[[#This Row],[Motortype]],TblMotortypeT[],2,0),1),"")</f>
        <v/>
      </c>
      <c r="P7" s="73" t="str">
        <f>IF(TblReferentiescoreT1321516174184813[[#This Row],[Slibtransport
van rwzi naar rwzi]]&lt;&gt;"",
    IF(TblReferentiescoreT1321516174184813[[#This Row],[Gemiddeld
volume
per rit
'[ton']]]="","Gemiddelde vracht per volle rit niet gevuld",
    IF(TblReferentiescoreT1321516174184813[[#This Row],[Afstand
per rit
'[km']]]="","Afstand per rit niet gevuld",
    IF(TblReferentiescoreT1321516174184813[[#This Row],[Aantal
ritten]]="","Aantal ritten niet gevuld",""))),
  "")</f>
        <v/>
      </c>
    </row>
    <row r="8" spans="1:17" ht="15.75" customHeight="1" x14ac:dyDescent="0.2">
      <c r="A8" s="137" t="s">
        <v>200</v>
      </c>
      <c r="B8" s="136">
        <v>22364</v>
      </c>
      <c r="C8" s="64"/>
      <c r="D8" s="65">
        <v>36</v>
      </c>
      <c r="E8" s="82">
        <f t="shared" si="0"/>
        <v>622</v>
      </c>
      <c r="F8" s="83">
        <v>16.899999999999999</v>
      </c>
      <c r="G8" s="66"/>
      <c r="H8" s="67"/>
      <c r="I8" s="67"/>
      <c r="J8" s="68"/>
      <c r="K8" s="69"/>
      <c r="L8" s="70" t="str">
        <f>IFERROR(TblReferentiescoreT1321516174184813[[#This Row],[Aantal
ritten]]*TblReferentiescoreT1321516174184813[[#This Row],[Afstand
per rit
'[km']]]*TblReferentiescoreT1321516174184813[[#This Row],[Gemiddeld
volume
per rit
'[ton']]]*VLOOKUP(TblReferentiescoreT1321516174184813[[#This Row],[Type transportmiddel]],TblType[],2,0),"")</f>
        <v/>
      </c>
      <c r="M8" s="70" t="str">
        <f>IFERROR(TblReferentiescoreT1321516174184813[[#This Row],[Energie-vraag (MJ)]]/stookwaarde_diesel/dichtheid_diesel*emissiefactor_diesel,"")</f>
        <v/>
      </c>
      <c r="N8" s="71" t="str">
        <f>IFERROR(
     TblReferentiescoreT1321516174184813[[#This Row],[Referentie-score]]*
          ((100%-TblReferentiescoreT1321516174184813[[#This Row],[Aandeel
2e energie
-bron]])*INDEX(TblBrandstof[CO2 uitstoot verg 1l diesel],MATCH(TblReferentiescoreT1321516174184813[[#This Row],[Energiebron]],TblBrandstof[Brandstof],0))+
          TblReferentiescoreT1321516174184813[[#This Row],[Aandeel
2e energie
-bron]]*INDEX(TblBrandstof[CO2 uitstoot verg 1l diesel],MATCH(IF(OR(TblReferentiescoreT1321516174184813[[#This Row],[2e energiebron]]="N.v.t.",TblReferentiescoreT1321516174184813[[#This Row],[2e energiebron]]=""),TblReferentiescoreT1321516174184813[[#This Row],[Energiebron]],TblReferentiescoreT1321516174184813[[#This Row],[2e energiebron]]),TblBrandstof[Brandstof],0)))*
      IF(OR(TblReferentiescoreT1321516174184813[[#This Row],[Motortype]]="Elektrisch",TblReferentiescoreT1321516174184813[[#This Row],[Hybride]]="Ja"),TblHybride[Waardering hybride],1),"")</f>
        <v/>
      </c>
      <c r="O8" s="71" t="str">
        <f>IFERROR(TblReferentiescoreT1321516174184813[[#This Row],[CO2-impact
'[kg CO2']]]*IF(INDEX(TblBrandstof[Waardering Euroniveau],MATCH(TblReferentiescoreT1321516174184813[[#This Row],[Energiebron]],TblBrandstof[Brandstof],0)),VLOOKUP(TblReferentiescoreT1321516174184813[[#This Row],[Motortype]],TblMotortypeT[],2,0),1),"")</f>
        <v/>
      </c>
      <c r="P8" s="73" t="str">
        <f>IF(TblReferentiescoreT1321516174184813[[#This Row],[Slibtransport
van rwzi naar rwzi]]&lt;&gt;"",
    IF(TblReferentiescoreT1321516174184813[[#This Row],[Gemiddeld
volume
per rit
'[ton']]]="","Gemiddelde vracht per volle rit niet gevuld",
    IF(TblReferentiescoreT1321516174184813[[#This Row],[Afstand
per rit
'[km']]]="","Afstand per rit niet gevuld",
    IF(TblReferentiescoreT1321516174184813[[#This Row],[Aantal
ritten]]="","Aantal ritten niet gevuld",""))),
  "")</f>
        <v/>
      </c>
    </row>
    <row r="9" spans="1:17" ht="15.75" customHeight="1" x14ac:dyDescent="0.2">
      <c r="A9" s="137" t="s">
        <v>201</v>
      </c>
      <c r="B9" s="136">
        <v>8265</v>
      </c>
      <c r="C9" s="64"/>
      <c r="D9" s="65">
        <v>36</v>
      </c>
      <c r="E9" s="82">
        <f t="shared" si="0"/>
        <v>230</v>
      </c>
      <c r="F9" s="83">
        <v>28.4</v>
      </c>
      <c r="G9" s="66"/>
      <c r="H9" s="67"/>
      <c r="I9" s="67"/>
      <c r="J9" s="68"/>
      <c r="K9" s="69"/>
      <c r="L9" s="70" t="str">
        <f>IFERROR(TblReferentiescoreT1321516174184813[[#This Row],[Aantal
ritten]]*TblReferentiescoreT1321516174184813[[#This Row],[Afstand
per rit
'[km']]]*TblReferentiescoreT1321516174184813[[#This Row],[Gemiddeld
volume
per rit
'[ton']]]*VLOOKUP(TblReferentiescoreT1321516174184813[[#This Row],[Type transportmiddel]],TblType[],2,0),"")</f>
        <v/>
      </c>
      <c r="M9" s="70" t="str">
        <f>IFERROR(TblReferentiescoreT1321516174184813[[#This Row],[Energie-vraag (MJ)]]/stookwaarde_diesel/dichtheid_diesel*emissiefactor_diesel,"")</f>
        <v/>
      </c>
      <c r="N9" s="71" t="str">
        <f>IFERROR(
     TblReferentiescoreT1321516174184813[[#This Row],[Referentie-score]]*
          ((100%-TblReferentiescoreT1321516174184813[[#This Row],[Aandeel
2e energie
-bron]])*INDEX(TblBrandstof[CO2 uitstoot verg 1l diesel],MATCH(TblReferentiescoreT1321516174184813[[#This Row],[Energiebron]],TblBrandstof[Brandstof],0))+
          TblReferentiescoreT1321516174184813[[#This Row],[Aandeel
2e energie
-bron]]*INDEX(TblBrandstof[CO2 uitstoot verg 1l diesel],MATCH(IF(OR(TblReferentiescoreT1321516174184813[[#This Row],[2e energiebron]]="N.v.t.",TblReferentiescoreT1321516174184813[[#This Row],[2e energiebron]]=""),TblReferentiescoreT1321516174184813[[#This Row],[Energiebron]],TblReferentiescoreT1321516174184813[[#This Row],[2e energiebron]]),TblBrandstof[Brandstof],0)))*
      IF(OR(TblReferentiescoreT1321516174184813[[#This Row],[Motortype]]="Elektrisch",TblReferentiescoreT1321516174184813[[#This Row],[Hybride]]="Ja"),TblHybride[Waardering hybride],1),"")</f>
        <v/>
      </c>
      <c r="O9" s="71" t="str">
        <f>IFERROR(TblReferentiescoreT1321516174184813[[#This Row],[CO2-impact
'[kg CO2']]]*IF(INDEX(TblBrandstof[Waardering Euroniveau],MATCH(TblReferentiescoreT1321516174184813[[#This Row],[Energiebron]],TblBrandstof[Brandstof],0)),VLOOKUP(TblReferentiescoreT1321516174184813[[#This Row],[Motortype]],TblMotortypeT[],2,0),1),"")</f>
        <v/>
      </c>
      <c r="P9" s="73" t="str">
        <f>IF(TblReferentiescoreT1321516174184813[[#This Row],[Slibtransport
van rwzi naar rwzi]]&lt;&gt;"",
    IF(TblReferentiescoreT1321516174184813[[#This Row],[Gemiddeld
volume
per rit
'[ton']]]="","Gemiddelde vracht per volle rit niet gevuld",
    IF(TblReferentiescoreT1321516174184813[[#This Row],[Afstand
per rit
'[km']]]="","Afstand per rit niet gevuld",
    IF(TblReferentiescoreT1321516174184813[[#This Row],[Aantal
ritten]]="","Aantal ritten niet gevuld",""))),
  "")</f>
        <v/>
      </c>
    </row>
    <row r="10" spans="1:17" ht="15.75" customHeight="1" x14ac:dyDescent="0.2">
      <c r="A10" s="137" t="s">
        <v>202</v>
      </c>
      <c r="B10" s="136">
        <v>4548</v>
      </c>
      <c r="C10" s="64"/>
      <c r="D10" s="65">
        <v>36</v>
      </c>
      <c r="E10" s="82">
        <f t="shared" si="0"/>
        <v>127</v>
      </c>
      <c r="F10" s="83">
        <v>8.4</v>
      </c>
      <c r="G10" s="66"/>
      <c r="H10" s="67"/>
      <c r="I10" s="67"/>
      <c r="J10" s="68"/>
      <c r="K10" s="69"/>
      <c r="L10" s="70" t="str">
        <f>IFERROR(TblReferentiescoreT1321516174184813[[#This Row],[Aantal
ritten]]*TblReferentiescoreT1321516174184813[[#This Row],[Afstand
per rit
'[km']]]*TblReferentiescoreT1321516174184813[[#This Row],[Gemiddeld
volume
per rit
'[ton']]]*VLOOKUP(TblReferentiescoreT1321516174184813[[#This Row],[Type transportmiddel]],TblType[],2,0),"")</f>
        <v/>
      </c>
      <c r="M10" s="70" t="str">
        <f>IFERROR(TblReferentiescoreT1321516174184813[[#This Row],[Energie-vraag (MJ)]]/stookwaarde_diesel/dichtheid_diesel*emissiefactor_diesel,"")</f>
        <v/>
      </c>
      <c r="N10" s="71" t="str">
        <f>IFERROR(
     TblReferentiescoreT1321516174184813[[#This Row],[Referentie-score]]*
          ((100%-TblReferentiescoreT1321516174184813[[#This Row],[Aandeel
2e energie
-bron]])*INDEX(TblBrandstof[CO2 uitstoot verg 1l diesel],MATCH(TblReferentiescoreT1321516174184813[[#This Row],[Energiebron]],TblBrandstof[Brandstof],0))+
          TblReferentiescoreT1321516174184813[[#This Row],[Aandeel
2e energie
-bron]]*INDEX(TblBrandstof[CO2 uitstoot verg 1l diesel],MATCH(IF(OR(TblReferentiescoreT1321516174184813[[#This Row],[2e energiebron]]="N.v.t.",TblReferentiescoreT1321516174184813[[#This Row],[2e energiebron]]=""),TblReferentiescoreT1321516174184813[[#This Row],[Energiebron]],TblReferentiescoreT1321516174184813[[#This Row],[2e energiebron]]),TblBrandstof[Brandstof],0)))*
      IF(OR(TblReferentiescoreT1321516174184813[[#This Row],[Motortype]]="Elektrisch",TblReferentiescoreT1321516174184813[[#This Row],[Hybride]]="Ja"),TblHybride[Waardering hybride],1),"")</f>
        <v/>
      </c>
      <c r="O10" s="71" t="str">
        <f>IFERROR(TblReferentiescoreT1321516174184813[[#This Row],[CO2-impact
'[kg CO2']]]*IF(INDEX(TblBrandstof[Waardering Euroniveau],MATCH(TblReferentiescoreT1321516174184813[[#This Row],[Energiebron]],TblBrandstof[Brandstof],0)),VLOOKUP(TblReferentiescoreT1321516174184813[[#This Row],[Motortype]],TblMotortypeT[],2,0),1),"")</f>
        <v/>
      </c>
      <c r="P10" s="73" t="str">
        <f>IF(TblReferentiescoreT1321516174184813[[#This Row],[Slibtransport
van rwzi naar rwzi]]&lt;&gt;"",
    IF(TblReferentiescoreT1321516174184813[[#This Row],[Gemiddeld
volume
per rit
'[ton']]]="","Gemiddelde vracht per volle rit niet gevuld",
    IF(TblReferentiescoreT1321516174184813[[#This Row],[Afstand
per rit
'[km']]]="","Afstand per rit niet gevuld",
    IF(TblReferentiescoreT1321516174184813[[#This Row],[Aantal
ritten]]="","Aantal ritten niet gevuld",""))),
  "")</f>
        <v/>
      </c>
    </row>
    <row r="11" spans="1:17" ht="15.75" customHeight="1" x14ac:dyDescent="0.2">
      <c r="A11" s="137" t="s">
        <v>203</v>
      </c>
      <c r="B11" s="136">
        <v>18525</v>
      </c>
      <c r="C11" s="64"/>
      <c r="D11" s="65">
        <v>36</v>
      </c>
      <c r="E11" s="82">
        <f t="shared" si="0"/>
        <v>515</v>
      </c>
      <c r="F11" s="83">
        <v>18.399999999999999</v>
      </c>
      <c r="G11" s="66"/>
      <c r="H11" s="67"/>
      <c r="I11" s="67"/>
      <c r="J11" s="68"/>
      <c r="K11" s="69"/>
      <c r="L11" s="70" t="str">
        <f>IFERROR(TblReferentiescoreT1321516174184813[[#This Row],[Aantal
ritten]]*TblReferentiescoreT1321516174184813[[#This Row],[Afstand
per rit
'[km']]]*TblReferentiescoreT1321516174184813[[#This Row],[Gemiddeld
volume
per rit
'[ton']]]*VLOOKUP(TblReferentiescoreT1321516174184813[[#This Row],[Type transportmiddel]],TblType[],2,0),"")</f>
        <v/>
      </c>
      <c r="M11" s="70" t="str">
        <f>IFERROR(TblReferentiescoreT1321516174184813[[#This Row],[Energie-vraag (MJ)]]/stookwaarde_diesel/dichtheid_diesel*emissiefactor_diesel,"")</f>
        <v/>
      </c>
      <c r="N11" s="71" t="str">
        <f>IFERROR(
     TblReferentiescoreT1321516174184813[[#This Row],[Referentie-score]]*
          ((100%-TblReferentiescoreT1321516174184813[[#This Row],[Aandeel
2e energie
-bron]])*INDEX(TblBrandstof[CO2 uitstoot verg 1l diesel],MATCH(TblReferentiescoreT1321516174184813[[#This Row],[Energiebron]],TblBrandstof[Brandstof],0))+
          TblReferentiescoreT1321516174184813[[#This Row],[Aandeel
2e energie
-bron]]*INDEX(TblBrandstof[CO2 uitstoot verg 1l diesel],MATCH(IF(OR(TblReferentiescoreT1321516174184813[[#This Row],[2e energiebron]]="N.v.t.",TblReferentiescoreT1321516174184813[[#This Row],[2e energiebron]]=""),TblReferentiescoreT1321516174184813[[#This Row],[Energiebron]],TblReferentiescoreT1321516174184813[[#This Row],[2e energiebron]]),TblBrandstof[Brandstof],0)))*
      IF(OR(TblReferentiescoreT1321516174184813[[#This Row],[Motortype]]="Elektrisch",TblReferentiescoreT1321516174184813[[#This Row],[Hybride]]="Ja"),TblHybride[Waardering hybride],1),"")</f>
        <v/>
      </c>
      <c r="O11" s="71" t="str">
        <f>IFERROR(TblReferentiescoreT1321516174184813[[#This Row],[CO2-impact
'[kg CO2']]]*IF(INDEX(TblBrandstof[Waardering Euroniveau],MATCH(TblReferentiescoreT1321516174184813[[#This Row],[Energiebron]],TblBrandstof[Brandstof],0)),VLOOKUP(TblReferentiescoreT1321516174184813[[#This Row],[Motortype]],TblMotortypeT[],2,0),1),"")</f>
        <v/>
      </c>
      <c r="P11" s="73" t="str">
        <f>IF(TblReferentiescoreT1321516174184813[[#This Row],[Slibtransport
van rwzi naar rwzi]]&lt;&gt;"",
    IF(TblReferentiescoreT1321516174184813[[#This Row],[Gemiddeld
volume
per rit
'[ton']]]="","Gemiddelde vracht per volle rit niet gevuld",
    IF(TblReferentiescoreT1321516174184813[[#This Row],[Afstand
per rit
'[km']]]="","Afstand per rit niet gevuld",
    IF(TblReferentiescoreT1321516174184813[[#This Row],[Aantal
ritten]]="","Aantal ritten niet gevuld",""))),
  "")</f>
        <v/>
      </c>
    </row>
    <row r="12" spans="1:17" ht="15.75" customHeight="1" x14ac:dyDescent="0.2">
      <c r="A12" s="137" t="s">
        <v>204</v>
      </c>
      <c r="B12" s="136">
        <v>17352</v>
      </c>
      <c r="C12" s="64"/>
      <c r="D12" s="65">
        <v>36</v>
      </c>
      <c r="E12" s="82">
        <f t="shared" si="0"/>
        <v>482</v>
      </c>
      <c r="F12" s="83">
        <v>31</v>
      </c>
      <c r="G12" s="66"/>
      <c r="H12" s="67"/>
      <c r="I12" s="67"/>
      <c r="J12" s="68"/>
      <c r="K12" s="69"/>
      <c r="L12" s="70" t="str">
        <f>IFERROR(TblReferentiescoreT1321516174184813[[#This Row],[Aantal
ritten]]*TblReferentiescoreT1321516174184813[[#This Row],[Afstand
per rit
'[km']]]*TblReferentiescoreT1321516174184813[[#This Row],[Gemiddeld
volume
per rit
'[ton']]]*VLOOKUP(TblReferentiescoreT1321516174184813[[#This Row],[Type transportmiddel]],TblType[],2,0),"")</f>
        <v/>
      </c>
      <c r="M12" s="70" t="str">
        <f>IFERROR(TblReferentiescoreT1321516174184813[[#This Row],[Energie-vraag (MJ)]]/stookwaarde_diesel/dichtheid_diesel*emissiefactor_diesel,"")</f>
        <v/>
      </c>
      <c r="N12" s="71" t="str">
        <f>IFERROR(
     TblReferentiescoreT1321516174184813[[#This Row],[Referentie-score]]*
          ((100%-TblReferentiescoreT1321516174184813[[#This Row],[Aandeel
2e energie
-bron]])*INDEX(TblBrandstof[CO2 uitstoot verg 1l diesel],MATCH(TblReferentiescoreT1321516174184813[[#This Row],[Energiebron]],TblBrandstof[Brandstof],0))+
          TblReferentiescoreT1321516174184813[[#This Row],[Aandeel
2e energie
-bron]]*INDEX(TblBrandstof[CO2 uitstoot verg 1l diesel],MATCH(IF(OR(TblReferentiescoreT1321516174184813[[#This Row],[2e energiebron]]="N.v.t.",TblReferentiescoreT1321516174184813[[#This Row],[2e energiebron]]=""),TblReferentiescoreT1321516174184813[[#This Row],[Energiebron]],TblReferentiescoreT1321516174184813[[#This Row],[2e energiebron]]),TblBrandstof[Brandstof],0)))*
      IF(OR(TblReferentiescoreT1321516174184813[[#This Row],[Motortype]]="Elektrisch",TblReferentiescoreT1321516174184813[[#This Row],[Hybride]]="Ja"),TblHybride[Waardering hybride],1),"")</f>
        <v/>
      </c>
      <c r="O12" s="71" t="str">
        <f>IFERROR(TblReferentiescoreT1321516174184813[[#This Row],[CO2-impact
'[kg CO2']]]*IF(INDEX(TblBrandstof[Waardering Euroniveau],MATCH(TblReferentiescoreT1321516174184813[[#This Row],[Energiebron]],TblBrandstof[Brandstof],0)),VLOOKUP(TblReferentiescoreT1321516174184813[[#This Row],[Motortype]],TblMotortypeT[],2,0),1),"")</f>
        <v/>
      </c>
      <c r="P12" s="73" t="str">
        <f>IF(TblReferentiescoreT1321516174184813[[#This Row],[Slibtransport
van rwzi naar rwzi]]&lt;&gt;"",
    IF(TblReferentiescoreT1321516174184813[[#This Row],[Gemiddeld
volume
per rit
'[ton']]]="","Gemiddelde vracht per volle rit niet gevuld",
    IF(TblReferentiescoreT1321516174184813[[#This Row],[Afstand
per rit
'[km']]]="","Afstand per rit niet gevuld",
    IF(TblReferentiescoreT1321516174184813[[#This Row],[Aantal
ritten]]="","Aantal ritten niet gevuld",""))),
  "")</f>
        <v/>
      </c>
    </row>
    <row r="13" spans="1:17" ht="15.75" customHeight="1" x14ac:dyDescent="0.2">
      <c r="A13" s="137" t="s">
        <v>205</v>
      </c>
      <c r="B13" s="136">
        <v>4125</v>
      </c>
      <c r="C13" s="64"/>
      <c r="D13" s="65">
        <v>36</v>
      </c>
      <c r="E13" s="82">
        <f t="shared" si="0"/>
        <v>115</v>
      </c>
      <c r="F13" s="83">
        <v>17.2</v>
      </c>
      <c r="G13" s="66"/>
      <c r="H13" s="67"/>
      <c r="I13" s="67"/>
      <c r="J13" s="68"/>
      <c r="K13" s="69"/>
      <c r="L13" s="70" t="str">
        <f>IFERROR(TblReferentiescoreT1321516174184813[[#This Row],[Aantal
ritten]]*TblReferentiescoreT1321516174184813[[#This Row],[Afstand
per rit
'[km']]]*TblReferentiescoreT1321516174184813[[#This Row],[Gemiddeld
volume
per rit
'[ton']]]*VLOOKUP(TblReferentiescoreT1321516174184813[[#This Row],[Type transportmiddel]],TblType[],2,0),"")</f>
        <v/>
      </c>
      <c r="M13" s="70" t="str">
        <f>IFERROR(TblReferentiescoreT1321516174184813[[#This Row],[Energie-vraag (MJ)]]/stookwaarde_diesel/dichtheid_diesel*emissiefactor_diesel,"")</f>
        <v/>
      </c>
      <c r="N13" s="71" t="str">
        <f>IFERROR(
     TblReferentiescoreT1321516174184813[[#This Row],[Referentie-score]]*
          ((100%-TblReferentiescoreT1321516174184813[[#This Row],[Aandeel
2e energie
-bron]])*INDEX(TblBrandstof[CO2 uitstoot verg 1l diesel],MATCH(TblReferentiescoreT1321516174184813[[#This Row],[Energiebron]],TblBrandstof[Brandstof],0))+
          TblReferentiescoreT1321516174184813[[#This Row],[Aandeel
2e energie
-bron]]*INDEX(TblBrandstof[CO2 uitstoot verg 1l diesel],MATCH(IF(OR(TblReferentiescoreT1321516174184813[[#This Row],[2e energiebron]]="N.v.t.",TblReferentiescoreT1321516174184813[[#This Row],[2e energiebron]]=""),TblReferentiescoreT1321516174184813[[#This Row],[Energiebron]],TblReferentiescoreT1321516174184813[[#This Row],[2e energiebron]]),TblBrandstof[Brandstof],0)))*
      IF(OR(TblReferentiescoreT1321516174184813[[#This Row],[Motortype]]="Elektrisch",TblReferentiescoreT1321516174184813[[#This Row],[Hybride]]="Ja"),TblHybride[Waardering hybride],1),"")</f>
        <v/>
      </c>
      <c r="O13" s="71" t="str">
        <f>IFERROR(TblReferentiescoreT1321516174184813[[#This Row],[CO2-impact
'[kg CO2']]]*IF(INDEX(TblBrandstof[Waardering Euroniveau],MATCH(TblReferentiescoreT1321516174184813[[#This Row],[Energiebron]],TblBrandstof[Brandstof],0)),VLOOKUP(TblReferentiescoreT1321516174184813[[#This Row],[Motortype]],TblMotortypeT[],2,0),1),"")</f>
        <v/>
      </c>
      <c r="P13" s="73" t="str">
        <f>IF(TblReferentiescoreT1321516174184813[[#This Row],[Slibtransport
van rwzi naar rwzi]]&lt;&gt;"",
    IF(TblReferentiescoreT1321516174184813[[#This Row],[Gemiddeld
volume
per rit
'[ton']]]="","Gemiddelde vracht per volle rit niet gevuld",
    IF(TblReferentiescoreT1321516174184813[[#This Row],[Afstand
per rit
'[km']]]="","Afstand per rit niet gevuld",
    IF(TblReferentiescoreT1321516174184813[[#This Row],[Aantal
ritten]]="","Aantal ritten niet gevuld",""))),
  "")</f>
        <v/>
      </c>
    </row>
    <row r="14" spans="1:17" ht="15.75" customHeight="1" x14ac:dyDescent="0.2">
      <c r="A14" s="137" t="s">
        <v>206</v>
      </c>
      <c r="B14" s="136">
        <v>1548</v>
      </c>
      <c r="C14" s="64"/>
      <c r="D14" s="65">
        <v>36</v>
      </c>
      <c r="E14" s="82">
        <f t="shared" si="0"/>
        <v>43</v>
      </c>
      <c r="F14" s="83">
        <v>29.8</v>
      </c>
      <c r="G14" s="66"/>
      <c r="H14" s="67"/>
      <c r="I14" s="67"/>
      <c r="J14" s="68"/>
      <c r="K14" s="69"/>
      <c r="L14" s="70" t="str">
        <f>IFERROR(TblReferentiescoreT1321516174184813[[#This Row],[Aantal
ritten]]*TblReferentiescoreT1321516174184813[[#This Row],[Afstand
per rit
'[km']]]*TblReferentiescoreT1321516174184813[[#This Row],[Gemiddeld
volume
per rit
'[ton']]]*VLOOKUP(TblReferentiescoreT1321516174184813[[#This Row],[Type transportmiddel]],TblType[],2,0),"")</f>
        <v/>
      </c>
      <c r="M14" s="70" t="str">
        <f>IFERROR(TblReferentiescoreT1321516174184813[[#This Row],[Energie-vraag (MJ)]]/stookwaarde_diesel/dichtheid_diesel*emissiefactor_diesel,"")</f>
        <v/>
      </c>
      <c r="N14" s="71" t="str">
        <f>IFERROR(
     TblReferentiescoreT1321516174184813[[#This Row],[Referentie-score]]*
          ((100%-TblReferentiescoreT1321516174184813[[#This Row],[Aandeel
2e energie
-bron]])*INDEX(TblBrandstof[CO2 uitstoot verg 1l diesel],MATCH(TblReferentiescoreT1321516174184813[[#This Row],[Energiebron]],TblBrandstof[Brandstof],0))+
          TblReferentiescoreT1321516174184813[[#This Row],[Aandeel
2e energie
-bron]]*INDEX(TblBrandstof[CO2 uitstoot verg 1l diesel],MATCH(IF(OR(TblReferentiescoreT1321516174184813[[#This Row],[2e energiebron]]="N.v.t.",TblReferentiescoreT1321516174184813[[#This Row],[2e energiebron]]=""),TblReferentiescoreT1321516174184813[[#This Row],[Energiebron]],TblReferentiescoreT1321516174184813[[#This Row],[2e energiebron]]),TblBrandstof[Brandstof],0)))*
      IF(OR(TblReferentiescoreT1321516174184813[[#This Row],[Motortype]]="Elektrisch",TblReferentiescoreT1321516174184813[[#This Row],[Hybride]]="Ja"),TblHybride[Waardering hybride],1),"")</f>
        <v/>
      </c>
      <c r="O14" s="71" t="str">
        <f>IFERROR(TblReferentiescoreT1321516174184813[[#This Row],[CO2-impact
'[kg CO2']]]*IF(INDEX(TblBrandstof[Waardering Euroniveau],MATCH(TblReferentiescoreT1321516174184813[[#This Row],[Energiebron]],TblBrandstof[Brandstof],0)),VLOOKUP(TblReferentiescoreT1321516174184813[[#This Row],[Motortype]],TblMotortypeT[],2,0),1),"")</f>
        <v/>
      </c>
      <c r="P14" s="73" t="str">
        <f>IF(TblReferentiescoreT1321516174184813[[#This Row],[Slibtransport
van rwzi naar rwzi]]&lt;&gt;"",
    IF(TblReferentiescoreT1321516174184813[[#This Row],[Gemiddeld
volume
per rit
'[ton']]]="","Gemiddelde vracht per volle rit niet gevuld",
    IF(TblReferentiescoreT1321516174184813[[#This Row],[Afstand
per rit
'[km']]]="","Afstand per rit niet gevuld",
    IF(TblReferentiescoreT1321516174184813[[#This Row],[Aantal
ritten]]="","Aantal ritten niet gevuld",""))),
  "")</f>
        <v/>
      </c>
    </row>
    <row r="15" spans="1:17" ht="15.75" customHeight="1" x14ac:dyDescent="0.2">
      <c r="A15" s="137" t="s">
        <v>207</v>
      </c>
      <c r="B15" s="136">
        <v>2595</v>
      </c>
      <c r="C15" s="64"/>
      <c r="D15" s="65">
        <v>36</v>
      </c>
      <c r="E15" s="82">
        <f t="shared" si="0"/>
        <v>73</v>
      </c>
      <c r="F15" s="83">
        <v>17.2</v>
      </c>
      <c r="G15" s="66"/>
      <c r="H15" s="67"/>
      <c r="I15" s="67"/>
      <c r="J15" s="68"/>
      <c r="K15" s="69"/>
      <c r="L15" s="70" t="str">
        <f>IFERROR(TblReferentiescoreT1321516174184813[[#This Row],[Aantal
ritten]]*TblReferentiescoreT1321516174184813[[#This Row],[Afstand
per rit
'[km']]]*TblReferentiescoreT1321516174184813[[#This Row],[Gemiddeld
volume
per rit
'[ton']]]*VLOOKUP(TblReferentiescoreT1321516174184813[[#This Row],[Type transportmiddel]],TblType[],2,0),"")</f>
        <v/>
      </c>
      <c r="M15" s="70" t="str">
        <f>IFERROR(TblReferentiescoreT1321516174184813[[#This Row],[Energie-vraag (MJ)]]/stookwaarde_diesel/dichtheid_diesel*emissiefactor_diesel,"")</f>
        <v/>
      </c>
      <c r="N15" s="71" t="str">
        <f>IFERROR(
     TblReferentiescoreT1321516174184813[[#This Row],[Referentie-score]]*
          ((100%-TblReferentiescoreT1321516174184813[[#This Row],[Aandeel
2e energie
-bron]])*INDEX(TblBrandstof[CO2 uitstoot verg 1l diesel],MATCH(TblReferentiescoreT1321516174184813[[#This Row],[Energiebron]],TblBrandstof[Brandstof],0))+
          TblReferentiescoreT1321516174184813[[#This Row],[Aandeel
2e energie
-bron]]*INDEX(TblBrandstof[CO2 uitstoot verg 1l diesel],MATCH(IF(OR(TblReferentiescoreT1321516174184813[[#This Row],[2e energiebron]]="N.v.t.",TblReferentiescoreT1321516174184813[[#This Row],[2e energiebron]]=""),TblReferentiescoreT1321516174184813[[#This Row],[Energiebron]],TblReferentiescoreT1321516174184813[[#This Row],[2e energiebron]]),TblBrandstof[Brandstof],0)))*
      IF(OR(TblReferentiescoreT1321516174184813[[#This Row],[Motortype]]="Elektrisch",TblReferentiescoreT1321516174184813[[#This Row],[Hybride]]="Ja"),TblHybride[Waardering hybride],1),"")</f>
        <v/>
      </c>
      <c r="O15" s="71" t="str">
        <f>IFERROR(TblReferentiescoreT1321516174184813[[#This Row],[CO2-impact
'[kg CO2']]]*IF(INDEX(TblBrandstof[Waardering Euroniveau],MATCH(TblReferentiescoreT1321516174184813[[#This Row],[Energiebron]],TblBrandstof[Brandstof],0)),VLOOKUP(TblReferentiescoreT1321516174184813[[#This Row],[Motortype]],TblMotortypeT[],2,0),1),"")</f>
        <v/>
      </c>
      <c r="P15" s="73" t="str">
        <f>IF(TblReferentiescoreT1321516174184813[[#This Row],[Slibtransport
van rwzi naar rwzi]]&lt;&gt;"",
    IF(TblReferentiescoreT1321516174184813[[#This Row],[Gemiddeld
volume
per rit
'[ton']]]="","Gemiddelde vracht per volle rit niet gevuld",
    IF(TblReferentiescoreT1321516174184813[[#This Row],[Afstand
per rit
'[km']]]="","Afstand per rit niet gevuld",
    IF(TblReferentiescoreT1321516174184813[[#This Row],[Aantal
ritten]]="","Aantal ritten niet gevuld",""))),
  "")</f>
        <v/>
      </c>
    </row>
    <row r="16" spans="1:17" ht="15.75" customHeight="1" x14ac:dyDescent="0.2">
      <c r="A16" s="137" t="s">
        <v>208</v>
      </c>
      <c r="B16" s="136">
        <v>3770</v>
      </c>
      <c r="C16" s="64"/>
      <c r="D16" s="65">
        <v>36</v>
      </c>
      <c r="E16" s="82">
        <f t="shared" si="0"/>
        <v>105</v>
      </c>
      <c r="F16" s="83">
        <v>33</v>
      </c>
      <c r="G16" s="66"/>
      <c r="H16" s="67"/>
      <c r="I16" s="67"/>
      <c r="J16" s="68"/>
      <c r="K16" s="69"/>
      <c r="L16" s="70" t="str">
        <f>IFERROR(TblReferentiescoreT1321516174184813[[#This Row],[Aantal
ritten]]*TblReferentiescoreT1321516174184813[[#This Row],[Afstand
per rit
'[km']]]*TblReferentiescoreT1321516174184813[[#This Row],[Gemiddeld
volume
per rit
'[ton']]]*VLOOKUP(TblReferentiescoreT1321516174184813[[#This Row],[Type transportmiddel]],TblType[],2,0),"")</f>
        <v/>
      </c>
      <c r="M16" s="70" t="str">
        <f>IFERROR(TblReferentiescoreT1321516174184813[[#This Row],[Energie-vraag (MJ)]]/stookwaarde_diesel/dichtheid_diesel*emissiefactor_diesel,"")</f>
        <v/>
      </c>
      <c r="N16" s="71" t="str">
        <f>IFERROR(
     TblReferentiescoreT1321516174184813[[#This Row],[Referentie-score]]*
          ((100%-TblReferentiescoreT1321516174184813[[#This Row],[Aandeel
2e energie
-bron]])*INDEX(TblBrandstof[CO2 uitstoot verg 1l diesel],MATCH(TblReferentiescoreT1321516174184813[[#This Row],[Energiebron]],TblBrandstof[Brandstof],0))+
          TblReferentiescoreT1321516174184813[[#This Row],[Aandeel
2e energie
-bron]]*INDEX(TblBrandstof[CO2 uitstoot verg 1l diesel],MATCH(IF(OR(TblReferentiescoreT1321516174184813[[#This Row],[2e energiebron]]="N.v.t.",TblReferentiescoreT1321516174184813[[#This Row],[2e energiebron]]=""),TblReferentiescoreT1321516174184813[[#This Row],[Energiebron]],TblReferentiescoreT1321516174184813[[#This Row],[2e energiebron]]),TblBrandstof[Brandstof],0)))*
      IF(OR(TblReferentiescoreT1321516174184813[[#This Row],[Motortype]]="Elektrisch",TblReferentiescoreT1321516174184813[[#This Row],[Hybride]]="Ja"),TblHybride[Waardering hybride],1),"")</f>
        <v/>
      </c>
      <c r="O16" s="71" t="str">
        <f>IFERROR(TblReferentiescoreT1321516174184813[[#This Row],[CO2-impact
'[kg CO2']]]*IF(INDEX(TblBrandstof[Waardering Euroniveau],MATCH(TblReferentiescoreT1321516174184813[[#This Row],[Energiebron]],TblBrandstof[Brandstof],0)),VLOOKUP(TblReferentiescoreT1321516174184813[[#This Row],[Motortype]],TblMotortypeT[],2,0),1),"")</f>
        <v/>
      </c>
      <c r="P16" s="73" t="str">
        <f>IF(TblReferentiescoreT1321516174184813[[#This Row],[Slibtransport
van rwzi naar rwzi]]&lt;&gt;"",
    IF(TblReferentiescoreT1321516174184813[[#This Row],[Gemiddeld
volume
per rit
'[ton']]]="","Gemiddelde vracht per volle rit niet gevuld",
    IF(TblReferentiescoreT1321516174184813[[#This Row],[Afstand
per rit
'[km']]]="","Afstand per rit niet gevuld",
    IF(TblReferentiescoreT1321516174184813[[#This Row],[Aantal
ritten]]="","Aantal ritten niet gevuld",""))),
  "")</f>
        <v/>
      </c>
    </row>
    <row r="17" spans="1:17" ht="15.75" customHeight="1" x14ac:dyDescent="0.2">
      <c r="A17" s="137" t="s">
        <v>209</v>
      </c>
      <c r="B17" s="136">
        <v>210</v>
      </c>
      <c r="C17" s="64"/>
      <c r="D17" s="65">
        <v>36</v>
      </c>
      <c r="E17" s="82">
        <f t="shared" si="0"/>
        <v>6</v>
      </c>
      <c r="F17" s="83">
        <v>39</v>
      </c>
      <c r="G17" s="66"/>
      <c r="H17" s="67"/>
      <c r="I17" s="67"/>
      <c r="J17" s="68"/>
      <c r="K17" s="69"/>
      <c r="L17" s="70" t="str">
        <f>IFERROR(TblReferentiescoreT1321516174184813[[#This Row],[Aantal
ritten]]*TblReferentiescoreT1321516174184813[[#This Row],[Afstand
per rit
'[km']]]*TblReferentiescoreT1321516174184813[[#This Row],[Gemiddeld
volume
per rit
'[ton']]]*VLOOKUP(TblReferentiescoreT1321516174184813[[#This Row],[Type transportmiddel]],TblType[],2,0),"")</f>
        <v/>
      </c>
      <c r="M17" s="70" t="str">
        <f>IFERROR(TblReferentiescoreT1321516174184813[[#This Row],[Energie-vraag (MJ)]]/stookwaarde_diesel/dichtheid_diesel*emissiefactor_diesel,"")</f>
        <v/>
      </c>
      <c r="N17" s="71" t="str">
        <f>IFERROR(
     TblReferentiescoreT1321516174184813[[#This Row],[Referentie-score]]*
          ((100%-TblReferentiescoreT1321516174184813[[#This Row],[Aandeel
2e energie
-bron]])*INDEX(TblBrandstof[CO2 uitstoot verg 1l diesel],MATCH(TblReferentiescoreT1321516174184813[[#This Row],[Energiebron]],TblBrandstof[Brandstof],0))+
          TblReferentiescoreT1321516174184813[[#This Row],[Aandeel
2e energie
-bron]]*INDEX(TblBrandstof[CO2 uitstoot verg 1l diesel],MATCH(IF(OR(TblReferentiescoreT1321516174184813[[#This Row],[2e energiebron]]="N.v.t.",TblReferentiescoreT1321516174184813[[#This Row],[2e energiebron]]=""),TblReferentiescoreT1321516174184813[[#This Row],[Energiebron]],TblReferentiescoreT1321516174184813[[#This Row],[2e energiebron]]),TblBrandstof[Brandstof],0)))*
      IF(OR(TblReferentiescoreT1321516174184813[[#This Row],[Motortype]]="Elektrisch",TblReferentiescoreT1321516174184813[[#This Row],[Hybride]]="Ja"),TblHybride[Waardering hybride],1),"")</f>
        <v/>
      </c>
      <c r="O17" s="71" t="str">
        <f>IFERROR(TblReferentiescoreT1321516174184813[[#This Row],[CO2-impact
'[kg CO2']]]*IF(INDEX(TblBrandstof[Waardering Euroniveau],MATCH(TblReferentiescoreT1321516174184813[[#This Row],[Energiebron]],TblBrandstof[Brandstof],0)),VLOOKUP(TblReferentiescoreT1321516174184813[[#This Row],[Motortype]],TblMotortypeT[],2,0),1),"")</f>
        <v/>
      </c>
      <c r="P17" s="73" t="str">
        <f>IF(TblReferentiescoreT1321516174184813[[#This Row],[Slibtransport
van rwzi naar rwzi]]&lt;&gt;"",
    IF(TblReferentiescoreT1321516174184813[[#This Row],[Gemiddeld
volume
per rit
'[ton']]]="","Gemiddelde vracht per volle rit niet gevuld",
    IF(TblReferentiescoreT1321516174184813[[#This Row],[Afstand
per rit
'[km']]]="","Afstand per rit niet gevuld",
    IF(TblReferentiescoreT1321516174184813[[#This Row],[Aantal
ritten]]="","Aantal ritten niet gevuld",""))),
  "")</f>
        <v/>
      </c>
    </row>
    <row r="18" spans="1:17" ht="15.75" customHeight="1" x14ac:dyDescent="0.2">
      <c r="A18" s="137" t="s">
        <v>210</v>
      </c>
      <c r="B18" s="136">
        <v>3420</v>
      </c>
      <c r="C18" s="64"/>
      <c r="D18" s="65">
        <v>36</v>
      </c>
      <c r="E18" s="82">
        <f t="shared" si="0"/>
        <v>95</v>
      </c>
      <c r="F18" s="83">
        <v>46.3</v>
      </c>
      <c r="G18" s="66"/>
      <c r="H18" s="67"/>
      <c r="I18" s="67"/>
      <c r="J18" s="68"/>
      <c r="K18" s="69"/>
      <c r="L18" s="70" t="str">
        <f>IFERROR(TblReferentiescoreT1321516174184813[[#This Row],[Aantal
ritten]]*TblReferentiescoreT1321516174184813[[#This Row],[Afstand
per rit
'[km']]]*TblReferentiescoreT1321516174184813[[#This Row],[Gemiddeld
volume
per rit
'[ton']]]*VLOOKUP(TblReferentiescoreT1321516174184813[[#This Row],[Type transportmiddel]],TblType[],2,0),"")</f>
        <v/>
      </c>
      <c r="M18" s="70" t="str">
        <f>IFERROR(TblReferentiescoreT1321516174184813[[#This Row],[Energie-vraag (MJ)]]/stookwaarde_diesel/dichtheid_diesel*emissiefactor_diesel,"")</f>
        <v/>
      </c>
      <c r="N18" s="71" t="str">
        <f>IFERROR(
     TblReferentiescoreT1321516174184813[[#This Row],[Referentie-score]]*
          ((100%-TblReferentiescoreT1321516174184813[[#This Row],[Aandeel
2e energie
-bron]])*INDEX(TblBrandstof[CO2 uitstoot verg 1l diesel],MATCH(TblReferentiescoreT1321516174184813[[#This Row],[Energiebron]],TblBrandstof[Brandstof],0))+
          TblReferentiescoreT1321516174184813[[#This Row],[Aandeel
2e energie
-bron]]*INDEX(TblBrandstof[CO2 uitstoot verg 1l diesel],MATCH(IF(OR(TblReferentiescoreT1321516174184813[[#This Row],[2e energiebron]]="N.v.t.",TblReferentiescoreT1321516174184813[[#This Row],[2e energiebron]]=""),TblReferentiescoreT1321516174184813[[#This Row],[Energiebron]],TblReferentiescoreT1321516174184813[[#This Row],[2e energiebron]]),TblBrandstof[Brandstof],0)))*
      IF(OR(TblReferentiescoreT1321516174184813[[#This Row],[Motortype]]="Elektrisch",TblReferentiescoreT1321516174184813[[#This Row],[Hybride]]="Ja"),TblHybride[Waardering hybride],1),"")</f>
        <v/>
      </c>
      <c r="O18" s="71" t="str">
        <f>IFERROR(TblReferentiescoreT1321516174184813[[#This Row],[CO2-impact
'[kg CO2']]]*IF(INDEX(TblBrandstof[Waardering Euroniveau],MATCH(TblReferentiescoreT1321516174184813[[#This Row],[Energiebron]],TblBrandstof[Brandstof],0)),VLOOKUP(TblReferentiescoreT1321516174184813[[#This Row],[Motortype]],TblMotortypeT[],2,0),1),"")</f>
        <v/>
      </c>
      <c r="P18" s="73" t="str">
        <f>IF(TblReferentiescoreT1321516174184813[[#This Row],[Slibtransport
van rwzi naar rwzi]]&lt;&gt;"",
    IF(TblReferentiescoreT1321516174184813[[#This Row],[Gemiddeld
volume
per rit
'[ton']]]="","Gemiddelde vracht per volle rit niet gevuld",
    IF(TblReferentiescoreT1321516174184813[[#This Row],[Afstand
per rit
'[km']]]="","Afstand per rit niet gevuld",
    IF(TblReferentiescoreT1321516174184813[[#This Row],[Aantal
ritten]]="","Aantal ritten niet gevuld",""))),
  "")</f>
        <v/>
      </c>
    </row>
    <row r="19" spans="1:17" ht="15.75" customHeight="1" x14ac:dyDescent="0.2">
      <c r="A19" s="137" t="s">
        <v>211</v>
      </c>
      <c r="B19" s="136">
        <v>2106</v>
      </c>
      <c r="C19" s="64"/>
      <c r="D19" s="65">
        <v>36</v>
      </c>
      <c r="E19" s="82">
        <f t="shared" si="0"/>
        <v>59</v>
      </c>
      <c r="F19" s="83">
        <v>18.3</v>
      </c>
      <c r="G19" s="66"/>
      <c r="H19" s="67"/>
      <c r="I19" s="67"/>
      <c r="J19" s="68"/>
      <c r="K19" s="69"/>
      <c r="L19" s="70" t="str">
        <f>IFERROR(TblReferentiescoreT1321516174184813[[#This Row],[Aantal
ritten]]*TblReferentiescoreT1321516174184813[[#This Row],[Afstand
per rit
'[km']]]*TblReferentiescoreT1321516174184813[[#This Row],[Gemiddeld
volume
per rit
'[ton']]]*VLOOKUP(TblReferentiescoreT1321516174184813[[#This Row],[Type transportmiddel]],TblType[],2,0),"")</f>
        <v/>
      </c>
      <c r="M19" s="70" t="str">
        <f>IFERROR(TblReferentiescoreT1321516174184813[[#This Row],[Energie-vraag (MJ)]]/stookwaarde_diesel/dichtheid_diesel*emissiefactor_diesel,"")</f>
        <v/>
      </c>
      <c r="N19" s="71" t="str">
        <f>IFERROR(
     TblReferentiescoreT1321516174184813[[#This Row],[Referentie-score]]*
          ((100%-TblReferentiescoreT1321516174184813[[#This Row],[Aandeel
2e energie
-bron]])*INDEX(TblBrandstof[CO2 uitstoot verg 1l diesel],MATCH(TblReferentiescoreT1321516174184813[[#This Row],[Energiebron]],TblBrandstof[Brandstof],0))+
          TblReferentiescoreT1321516174184813[[#This Row],[Aandeel
2e energie
-bron]]*INDEX(TblBrandstof[CO2 uitstoot verg 1l diesel],MATCH(IF(OR(TblReferentiescoreT1321516174184813[[#This Row],[2e energiebron]]="N.v.t.",TblReferentiescoreT1321516174184813[[#This Row],[2e energiebron]]=""),TblReferentiescoreT1321516174184813[[#This Row],[Energiebron]],TblReferentiescoreT1321516174184813[[#This Row],[2e energiebron]]),TblBrandstof[Brandstof],0)))*
      IF(OR(TblReferentiescoreT1321516174184813[[#This Row],[Motortype]]="Elektrisch",TblReferentiescoreT1321516174184813[[#This Row],[Hybride]]="Ja"),TblHybride[Waardering hybride],1),"")</f>
        <v/>
      </c>
      <c r="O19" s="71" t="str">
        <f>IFERROR(TblReferentiescoreT1321516174184813[[#This Row],[CO2-impact
'[kg CO2']]]*IF(INDEX(TblBrandstof[Waardering Euroniveau],MATCH(TblReferentiescoreT1321516174184813[[#This Row],[Energiebron]],TblBrandstof[Brandstof],0)),VLOOKUP(TblReferentiescoreT1321516174184813[[#This Row],[Motortype]],TblMotortypeT[],2,0),1),"")</f>
        <v/>
      </c>
      <c r="P19" s="73" t="str">
        <f>IF(TblReferentiescoreT1321516174184813[[#This Row],[Slibtransport
van rwzi naar rwzi]]&lt;&gt;"",
    IF(TblReferentiescoreT1321516174184813[[#This Row],[Gemiddeld
volume
per rit
'[ton']]]="","Gemiddelde vracht per volle rit niet gevuld",
    IF(TblReferentiescoreT1321516174184813[[#This Row],[Afstand
per rit
'[km']]]="","Afstand per rit niet gevuld",
    IF(TblReferentiescoreT1321516174184813[[#This Row],[Aantal
ritten]]="","Aantal ritten niet gevuld",""))),
  "")</f>
        <v/>
      </c>
    </row>
    <row r="20" spans="1:17" ht="15.75" customHeight="1" x14ac:dyDescent="0.2">
      <c r="A20" s="137" t="s">
        <v>212</v>
      </c>
      <c r="B20" s="136">
        <v>5072</v>
      </c>
      <c r="C20" s="64"/>
      <c r="D20" s="65">
        <v>36</v>
      </c>
      <c r="E20" s="82">
        <f t="shared" si="0"/>
        <v>141</v>
      </c>
      <c r="F20" s="83">
        <v>27.5</v>
      </c>
      <c r="G20" s="66"/>
      <c r="H20" s="67"/>
      <c r="I20" s="67"/>
      <c r="J20" s="68"/>
      <c r="K20" s="69"/>
      <c r="L20" s="70" t="str">
        <f>IFERROR(TblReferentiescoreT1321516174184813[[#This Row],[Aantal
ritten]]*TblReferentiescoreT1321516174184813[[#This Row],[Afstand
per rit
'[km']]]*TblReferentiescoreT1321516174184813[[#This Row],[Gemiddeld
volume
per rit
'[ton']]]*VLOOKUP(TblReferentiescoreT1321516174184813[[#This Row],[Type transportmiddel]],TblType[],2,0),"")</f>
        <v/>
      </c>
      <c r="M20" s="70" t="str">
        <f>IFERROR(TblReferentiescoreT1321516174184813[[#This Row],[Energie-vraag (MJ)]]/stookwaarde_diesel/dichtheid_diesel*emissiefactor_diesel,"")</f>
        <v/>
      </c>
      <c r="N20" s="71" t="str">
        <f>IFERROR(
     TblReferentiescoreT1321516174184813[[#This Row],[Referentie-score]]*
          ((100%-TblReferentiescoreT1321516174184813[[#This Row],[Aandeel
2e energie
-bron]])*INDEX(TblBrandstof[CO2 uitstoot verg 1l diesel],MATCH(TblReferentiescoreT1321516174184813[[#This Row],[Energiebron]],TblBrandstof[Brandstof],0))+
          TblReferentiescoreT1321516174184813[[#This Row],[Aandeel
2e energie
-bron]]*INDEX(TblBrandstof[CO2 uitstoot verg 1l diesel],MATCH(IF(OR(TblReferentiescoreT1321516174184813[[#This Row],[2e energiebron]]="N.v.t.",TblReferentiescoreT1321516174184813[[#This Row],[2e energiebron]]=""),TblReferentiescoreT1321516174184813[[#This Row],[Energiebron]],TblReferentiescoreT1321516174184813[[#This Row],[2e energiebron]]),TblBrandstof[Brandstof],0)))*
      IF(OR(TblReferentiescoreT1321516174184813[[#This Row],[Motortype]]="Elektrisch",TblReferentiescoreT1321516174184813[[#This Row],[Hybride]]="Ja"),TblHybride[Waardering hybride],1),"")</f>
        <v/>
      </c>
      <c r="O20" s="71" t="str">
        <f>IFERROR(TblReferentiescoreT1321516174184813[[#This Row],[CO2-impact
'[kg CO2']]]*IF(INDEX(TblBrandstof[Waardering Euroniveau],MATCH(TblReferentiescoreT1321516174184813[[#This Row],[Energiebron]],TblBrandstof[Brandstof],0)),VLOOKUP(TblReferentiescoreT1321516174184813[[#This Row],[Motortype]],TblMotortypeT[],2,0),1),"")</f>
        <v/>
      </c>
      <c r="P20" s="73" t="str">
        <f>IF(TblReferentiescoreT1321516174184813[[#This Row],[Slibtransport
van rwzi naar rwzi]]&lt;&gt;"",
    IF(TblReferentiescoreT1321516174184813[[#This Row],[Gemiddeld
volume
per rit
'[ton']]]="","Gemiddelde vracht per volle rit niet gevuld",
    IF(TblReferentiescoreT1321516174184813[[#This Row],[Afstand
per rit
'[km']]]="","Afstand per rit niet gevuld",
    IF(TblReferentiescoreT1321516174184813[[#This Row],[Aantal
ritten]]="","Aantal ritten niet gevuld",""))),
  "")</f>
        <v/>
      </c>
    </row>
    <row r="21" spans="1:17" ht="15.75" customHeight="1" x14ac:dyDescent="0.2">
      <c r="A21" s="137" t="s">
        <v>213</v>
      </c>
      <c r="B21" s="136">
        <v>1689</v>
      </c>
      <c r="C21" s="64"/>
      <c r="D21" s="65">
        <v>36</v>
      </c>
      <c r="E21" s="82">
        <f t="shared" si="0"/>
        <v>47</v>
      </c>
      <c r="F21" s="83">
        <v>36.299999999999997</v>
      </c>
      <c r="G21" s="66"/>
      <c r="H21" s="67"/>
      <c r="I21" s="67"/>
      <c r="J21" s="68"/>
      <c r="K21" s="69"/>
      <c r="L21" s="70" t="str">
        <f>IFERROR(TblReferentiescoreT1321516174184813[[#This Row],[Aantal
ritten]]*TblReferentiescoreT1321516174184813[[#This Row],[Afstand
per rit
'[km']]]*TblReferentiescoreT1321516174184813[[#This Row],[Gemiddeld
volume
per rit
'[ton']]]*VLOOKUP(TblReferentiescoreT1321516174184813[[#This Row],[Type transportmiddel]],TblType[],2,0),"")</f>
        <v/>
      </c>
      <c r="M21" s="70" t="str">
        <f>IFERROR(TblReferentiescoreT1321516174184813[[#This Row],[Energie-vraag (MJ)]]/stookwaarde_diesel/dichtheid_diesel*emissiefactor_diesel,"")</f>
        <v/>
      </c>
      <c r="N21" s="71" t="str">
        <f>IFERROR(
     TblReferentiescoreT1321516174184813[[#This Row],[Referentie-score]]*
          ((100%-TblReferentiescoreT1321516174184813[[#This Row],[Aandeel
2e energie
-bron]])*INDEX(TblBrandstof[CO2 uitstoot verg 1l diesel],MATCH(TblReferentiescoreT1321516174184813[[#This Row],[Energiebron]],TblBrandstof[Brandstof],0))+
          TblReferentiescoreT1321516174184813[[#This Row],[Aandeel
2e energie
-bron]]*INDEX(TblBrandstof[CO2 uitstoot verg 1l diesel],MATCH(IF(OR(TblReferentiescoreT1321516174184813[[#This Row],[2e energiebron]]="N.v.t.",TblReferentiescoreT1321516174184813[[#This Row],[2e energiebron]]=""),TblReferentiescoreT1321516174184813[[#This Row],[Energiebron]],TblReferentiescoreT1321516174184813[[#This Row],[2e energiebron]]),TblBrandstof[Brandstof],0)))*
      IF(OR(TblReferentiescoreT1321516174184813[[#This Row],[Motortype]]="Elektrisch",TblReferentiescoreT1321516174184813[[#This Row],[Hybride]]="Ja"),TblHybride[Waardering hybride],1),"")</f>
        <v/>
      </c>
      <c r="O21" s="71" t="str">
        <f>IFERROR(TblReferentiescoreT1321516174184813[[#This Row],[CO2-impact
'[kg CO2']]]*IF(INDEX(TblBrandstof[Waardering Euroniveau],MATCH(TblReferentiescoreT1321516174184813[[#This Row],[Energiebron]],TblBrandstof[Brandstof],0)),VLOOKUP(TblReferentiescoreT1321516174184813[[#This Row],[Motortype]],TblMotortypeT[],2,0),1),"")</f>
        <v/>
      </c>
      <c r="P21" s="73" t="str">
        <f>IF(TblReferentiescoreT1321516174184813[[#This Row],[Slibtransport
van rwzi naar rwzi]]&lt;&gt;"",
    IF(TblReferentiescoreT1321516174184813[[#This Row],[Gemiddeld
volume
per rit
'[ton']]]="","Gemiddelde vracht per volle rit niet gevuld",
    IF(TblReferentiescoreT1321516174184813[[#This Row],[Afstand
per rit
'[km']]]="","Afstand per rit niet gevuld",
    IF(TblReferentiescoreT1321516174184813[[#This Row],[Aantal
ritten]]="","Aantal ritten niet gevuld",""))),
  "")</f>
        <v/>
      </c>
    </row>
    <row r="22" spans="1:17" ht="15.75" customHeight="1" x14ac:dyDescent="0.2">
      <c r="A22" s="137" t="s">
        <v>214</v>
      </c>
      <c r="B22" s="136">
        <v>4509</v>
      </c>
      <c r="C22" s="64"/>
      <c r="D22" s="65">
        <v>36</v>
      </c>
      <c r="E22" s="82">
        <f t="shared" si="0"/>
        <v>126</v>
      </c>
      <c r="F22" s="83">
        <v>25.3</v>
      </c>
      <c r="G22" s="66"/>
      <c r="H22" s="67"/>
      <c r="I22" s="67"/>
      <c r="J22" s="68"/>
      <c r="K22" s="69"/>
      <c r="L22" s="70" t="str">
        <f>IFERROR(TblReferentiescoreT1321516174184813[[#This Row],[Aantal
ritten]]*TblReferentiescoreT1321516174184813[[#This Row],[Afstand
per rit
'[km']]]*TblReferentiescoreT1321516174184813[[#This Row],[Gemiddeld
volume
per rit
'[ton']]]*VLOOKUP(TblReferentiescoreT1321516174184813[[#This Row],[Type transportmiddel]],TblType[],2,0),"")</f>
        <v/>
      </c>
      <c r="M22" s="70" t="str">
        <f>IFERROR(TblReferentiescoreT1321516174184813[[#This Row],[Energie-vraag (MJ)]]/stookwaarde_diesel/dichtheid_diesel*emissiefactor_diesel,"")</f>
        <v/>
      </c>
      <c r="N22" s="71" t="str">
        <f>IFERROR(
     TblReferentiescoreT1321516174184813[[#This Row],[Referentie-score]]*
          ((100%-TblReferentiescoreT1321516174184813[[#This Row],[Aandeel
2e energie
-bron]])*INDEX(TblBrandstof[CO2 uitstoot verg 1l diesel],MATCH(TblReferentiescoreT1321516174184813[[#This Row],[Energiebron]],TblBrandstof[Brandstof],0))+
          TblReferentiescoreT1321516174184813[[#This Row],[Aandeel
2e energie
-bron]]*INDEX(TblBrandstof[CO2 uitstoot verg 1l diesel],MATCH(IF(OR(TblReferentiescoreT1321516174184813[[#This Row],[2e energiebron]]="N.v.t.",TblReferentiescoreT1321516174184813[[#This Row],[2e energiebron]]=""),TblReferentiescoreT1321516174184813[[#This Row],[Energiebron]],TblReferentiescoreT1321516174184813[[#This Row],[2e energiebron]]),TblBrandstof[Brandstof],0)))*
      IF(OR(TblReferentiescoreT1321516174184813[[#This Row],[Motortype]]="Elektrisch",TblReferentiescoreT1321516174184813[[#This Row],[Hybride]]="Ja"),TblHybride[Waardering hybride],1),"")</f>
        <v/>
      </c>
      <c r="O22" s="71" t="str">
        <f>IFERROR(TblReferentiescoreT1321516174184813[[#This Row],[CO2-impact
'[kg CO2']]]*IF(INDEX(TblBrandstof[Waardering Euroniveau],MATCH(TblReferentiescoreT1321516174184813[[#This Row],[Energiebron]],TblBrandstof[Brandstof],0)),VLOOKUP(TblReferentiescoreT1321516174184813[[#This Row],[Motortype]],TblMotortypeT[],2,0),1),"")</f>
        <v/>
      </c>
      <c r="P22" s="73" t="str">
        <f>IF(TblReferentiescoreT1321516174184813[[#This Row],[Slibtransport
van rwzi naar rwzi]]&lt;&gt;"",
    IF(TblReferentiescoreT1321516174184813[[#This Row],[Gemiddeld
volume
per rit
'[ton']]]="","Gemiddelde vracht per volle rit niet gevuld",
    IF(TblReferentiescoreT1321516174184813[[#This Row],[Afstand
per rit
'[km']]]="","Afstand per rit niet gevuld",
    IF(TblReferentiescoreT1321516174184813[[#This Row],[Aantal
ritten]]="","Aantal ritten niet gevuld",""))),
  "")</f>
        <v/>
      </c>
    </row>
    <row r="23" spans="1:17" ht="15.75" customHeight="1" x14ac:dyDescent="0.2">
      <c r="A23" s="137" t="s">
        <v>215</v>
      </c>
      <c r="B23" s="136">
        <v>144</v>
      </c>
      <c r="C23" s="64"/>
      <c r="D23" s="65">
        <v>36</v>
      </c>
      <c r="E23" s="82">
        <f t="shared" si="0"/>
        <v>4</v>
      </c>
      <c r="F23" s="83">
        <v>13.7</v>
      </c>
      <c r="G23" s="66"/>
      <c r="H23" s="67"/>
      <c r="I23" s="67"/>
      <c r="J23" s="68"/>
      <c r="K23" s="69"/>
      <c r="L23" s="70" t="str">
        <f>IFERROR(TblReferentiescoreT1321516174184813[[#This Row],[Aantal
ritten]]*TblReferentiescoreT1321516174184813[[#This Row],[Afstand
per rit
'[km']]]*TblReferentiescoreT1321516174184813[[#This Row],[Gemiddeld
volume
per rit
'[ton']]]*VLOOKUP(TblReferentiescoreT1321516174184813[[#This Row],[Type transportmiddel]],TblType[],2,0),"")</f>
        <v/>
      </c>
      <c r="M23" s="70" t="str">
        <f>IFERROR(TblReferentiescoreT1321516174184813[[#This Row],[Energie-vraag (MJ)]]/stookwaarde_diesel/dichtheid_diesel*emissiefactor_diesel,"")</f>
        <v/>
      </c>
      <c r="N23" s="71" t="str">
        <f>IFERROR(
     TblReferentiescoreT1321516174184813[[#This Row],[Referentie-score]]*
          ((100%-TblReferentiescoreT1321516174184813[[#This Row],[Aandeel
2e energie
-bron]])*INDEX(TblBrandstof[CO2 uitstoot verg 1l diesel],MATCH(TblReferentiescoreT1321516174184813[[#This Row],[Energiebron]],TblBrandstof[Brandstof],0))+
          TblReferentiescoreT1321516174184813[[#This Row],[Aandeel
2e energie
-bron]]*INDEX(TblBrandstof[CO2 uitstoot verg 1l diesel],MATCH(IF(OR(TblReferentiescoreT1321516174184813[[#This Row],[2e energiebron]]="N.v.t.",TblReferentiescoreT1321516174184813[[#This Row],[2e energiebron]]=""),TblReferentiescoreT1321516174184813[[#This Row],[Energiebron]],TblReferentiescoreT1321516174184813[[#This Row],[2e energiebron]]),TblBrandstof[Brandstof],0)))*
      IF(OR(TblReferentiescoreT1321516174184813[[#This Row],[Motortype]]="Elektrisch",TblReferentiescoreT1321516174184813[[#This Row],[Hybride]]="Ja"),TblHybride[Waardering hybride],1),"")</f>
        <v/>
      </c>
      <c r="O23" s="71" t="str">
        <f>IFERROR(TblReferentiescoreT1321516174184813[[#This Row],[CO2-impact
'[kg CO2']]]*IF(INDEX(TblBrandstof[Waardering Euroniveau],MATCH(TblReferentiescoreT1321516174184813[[#This Row],[Energiebron]],TblBrandstof[Brandstof],0)),VLOOKUP(TblReferentiescoreT1321516174184813[[#This Row],[Motortype]],TblMotortypeT[],2,0),1),"")</f>
        <v/>
      </c>
      <c r="P23" s="73" t="str">
        <f>IF(TblReferentiescoreT1321516174184813[[#This Row],[Slibtransport
van rwzi naar rwzi]]&lt;&gt;"",
    IF(TblReferentiescoreT1321516174184813[[#This Row],[Gemiddeld
volume
per rit
'[ton']]]="","Gemiddelde vracht per volle rit niet gevuld",
    IF(TblReferentiescoreT1321516174184813[[#This Row],[Afstand
per rit
'[km']]]="","Afstand per rit niet gevuld",
    IF(TblReferentiescoreT1321516174184813[[#This Row],[Aantal
ritten]]="","Aantal ritten niet gevuld",""))),
  "")</f>
        <v/>
      </c>
    </row>
    <row r="24" spans="1:17" ht="15.75" customHeight="1" x14ac:dyDescent="0.2">
      <c r="A24" s="137" t="s">
        <v>217</v>
      </c>
      <c r="B24" s="136">
        <v>3765</v>
      </c>
      <c r="C24" s="64"/>
      <c r="D24" s="65">
        <v>36</v>
      </c>
      <c r="E24" s="82">
        <f t="shared" si="0"/>
        <v>105</v>
      </c>
      <c r="F24" s="83">
        <v>24.8</v>
      </c>
      <c r="G24" s="66"/>
      <c r="H24" s="67"/>
      <c r="I24" s="67"/>
      <c r="J24" s="68"/>
      <c r="K24" s="69"/>
      <c r="L24" s="70" t="str">
        <f>IFERROR(TblReferentiescoreT1321516174184813[[#This Row],[Aantal
ritten]]*TblReferentiescoreT1321516174184813[[#This Row],[Afstand
per rit
'[km']]]*TblReferentiescoreT1321516174184813[[#This Row],[Gemiddeld
volume
per rit
'[ton']]]*VLOOKUP(TblReferentiescoreT1321516174184813[[#This Row],[Type transportmiddel]],TblType[],2,0),"")</f>
        <v/>
      </c>
      <c r="M24" s="70" t="str">
        <f>IFERROR(TblReferentiescoreT1321516174184813[[#This Row],[Energie-vraag (MJ)]]/stookwaarde_diesel/dichtheid_diesel*emissiefactor_diesel,"")</f>
        <v/>
      </c>
      <c r="N24" s="71" t="str">
        <f>IFERROR(
     TblReferentiescoreT1321516174184813[[#This Row],[Referentie-score]]*
          ((100%-TblReferentiescoreT1321516174184813[[#This Row],[Aandeel
2e energie
-bron]])*INDEX(TblBrandstof[CO2 uitstoot verg 1l diesel],MATCH(TblReferentiescoreT1321516174184813[[#This Row],[Energiebron]],TblBrandstof[Brandstof],0))+
          TblReferentiescoreT1321516174184813[[#This Row],[Aandeel
2e energie
-bron]]*INDEX(TblBrandstof[CO2 uitstoot verg 1l diesel],MATCH(IF(OR(TblReferentiescoreT1321516174184813[[#This Row],[2e energiebron]]="N.v.t.",TblReferentiescoreT1321516174184813[[#This Row],[2e energiebron]]=""),TblReferentiescoreT1321516174184813[[#This Row],[Energiebron]],TblReferentiescoreT1321516174184813[[#This Row],[2e energiebron]]),TblBrandstof[Brandstof],0)))*
      IF(OR(TblReferentiescoreT1321516174184813[[#This Row],[Motortype]]="Elektrisch",TblReferentiescoreT1321516174184813[[#This Row],[Hybride]]="Ja"),TblHybride[Waardering hybride],1),"")</f>
        <v/>
      </c>
      <c r="O24" s="71" t="str">
        <f>IFERROR(TblReferentiescoreT1321516174184813[[#This Row],[CO2-impact
'[kg CO2']]]*IF(INDEX(TblBrandstof[Waardering Euroniveau],MATCH(TblReferentiescoreT1321516174184813[[#This Row],[Energiebron]],TblBrandstof[Brandstof],0)),VLOOKUP(TblReferentiescoreT1321516174184813[[#This Row],[Motortype]],TblMotortypeT[],2,0),1),"")</f>
        <v/>
      </c>
      <c r="P24" s="73" t="str">
        <f>IF(TblReferentiescoreT1321516174184813[[#This Row],[Slibtransport
van rwzi naar rwzi]]&lt;&gt;"",
    IF(TblReferentiescoreT1321516174184813[[#This Row],[Gemiddeld
volume
per rit
'[ton']]]="","Gemiddelde vracht per volle rit niet gevuld",
    IF(TblReferentiescoreT1321516174184813[[#This Row],[Afstand
per rit
'[km']]]="","Afstand per rit niet gevuld",
    IF(TblReferentiescoreT1321516174184813[[#This Row],[Aantal
ritten]]="","Aantal ritten niet gevuld",""))),
  "")</f>
        <v/>
      </c>
    </row>
    <row r="25" spans="1:17" ht="15.75" customHeight="1" thickBot="1" x14ac:dyDescent="0.25">
      <c r="A25" s="137" t="s">
        <v>216</v>
      </c>
      <c r="B25" s="136">
        <v>72</v>
      </c>
      <c r="C25" s="64"/>
      <c r="D25" s="65">
        <v>36</v>
      </c>
      <c r="E25" s="82">
        <f t="shared" si="0"/>
        <v>2</v>
      </c>
      <c r="F25" s="83">
        <v>35.9</v>
      </c>
      <c r="G25" s="66"/>
      <c r="H25" s="67"/>
      <c r="I25" s="67"/>
      <c r="J25" s="68"/>
      <c r="K25" s="69"/>
      <c r="L25" s="70" t="str">
        <f>IFERROR(TblReferentiescoreT1321516174184813[[#This Row],[Aantal
ritten]]*TblReferentiescoreT1321516174184813[[#This Row],[Afstand
per rit
'[km']]]*TblReferentiescoreT1321516174184813[[#This Row],[Gemiddeld
volume
per rit
'[ton']]]*VLOOKUP(TblReferentiescoreT1321516174184813[[#This Row],[Type transportmiddel]],TblType[],2,0),"")</f>
        <v/>
      </c>
      <c r="M25" s="70" t="str">
        <f>IFERROR(TblReferentiescoreT1321516174184813[[#This Row],[Energie-vraag (MJ)]]/stookwaarde_diesel/dichtheid_diesel*emissiefactor_diesel,"")</f>
        <v/>
      </c>
      <c r="N25" s="71" t="str">
        <f>IFERROR(
     TblReferentiescoreT1321516174184813[[#This Row],[Referentie-score]]*
          ((100%-TblReferentiescoreT1321516174184813[[#This Row],[Aandeel
2e energie
-bron]])*INDEX(TblBrandstof[CO2 uitstoot verg 1l diesel],MATCH(TblReferentiescoreT1321516174184813[[#This Row],[Energiebron]],TblBrandstof[Brandstof],0))+
          TblReferentiescoreT1321516174184813[[#This Row],[Aandeel
2e energie
-bron]]*INDEX(TblBrandstof[CO2 uitstoot verg 1l diesel],MATCH(IF(OR(TblReferentiescoreT1321516174184813[[#This Row],[2e energiebron]]="N.v.t.",TblReferentiescoreT1321516174184813[[#This Row],[2e energiebron]]=""),TblReferentiescoreT1321516174184813[[#This Row],[Energiebron]],TblReferentiescoreT1321516174184813[[#This Row],[2e energiebron]]),TblBrandstof[Brandstof],0)))*
      IF(OR(TblReferentiescoreT1321516174184813[[#This Row],[Motortype]]="Elektrisch",TblReferentiescoreT1321516174184813[[#This Row],[Hybride]]="Ja"),TblHybride[Waardering hybride],1),"")</f>
        <v/>
      </c>
      <c r="O25" s="71" t="str">
        <f>IFERROR(TblReferentiescoreT1321516174184813[[#This Row],[CO2-impact
'[kg CO2']]]*IF(INDEX(TblBrandstof[Waardering Euroniveau],MATCH(TblReferentiescoreT1321516174184813[[#This Row],[Energiebron]],TblBrandstof[Brandstof],0)),VLOOKUP(TblReferentiescoreT1321516174184813[[#This Row],[Motortype]],TblMotortypeT[],2,0),1),"")</f>
        <v/>
      </c>
      <c r="P25" s="73" t="str">
        <f>IF(TblReferentiescoreT1321516174184813[[#This Row],[Slibtransport
van rwzi naar rwzi]]&lt;&gt;"",
    IF(TblReferentiescoreT1321516174184813[[#This Row],[Gemiddeld
volume
per rit
'[ton']]]="","Gemiddelde vracht per volle rit niet gevuld",
    IF(TblReferentiescoreT1321516174184813[[#This Row],[Afstand
per rit
'[km']]]="","Afstand per rit niet gevuld",
    IF(TblReferentiescoreT1321516174184813[[#This Row],[Aantal
ritten]]="","Aantal ritten niet gevuld",""))),
  "")</f>
        <v/>
      </c>
    </row>
    <row r="26" spans="1:17" s="45" customFormat="1" ht="15.75" thickBot="1" x14ac:dyDescent="0.25">
      <c r="A26" s="46" t="s">
        <v>159</v>
      </c>
      <c r="B26" s="48">
        <f>SUBTOTAL(109,TblReferentiescoreT1321516174184813[Gemiddeld
volume 
per jaar
'[ton']])</f>
        <v>114305</v>
      </c>
      <c r="C26" s="48"/>
      <c r="D26" s="48"/>
      <c r="E26" s="48"/>
      <c r="F26" s="48"/>
      <c r="G26" s="48"/>
      <c r="H26" s="48"/>
      <c r="I26" s="48"/>
      <c r="J26" s="48"/>
      <c r="K26" s="48"/>
      <c r="L26" s="47"/>
      <c r="M26" s="48">
        <f>SUBTOTAL(109,TblReferentiescoreT1321516174184813[Referentie-score])</f>
        <v>0</v>
      </c>
      <c r="N26" s="79">
        <f>SUBTOTAL(109,TblReferentiescoreT1321516174184813[CO2-impact
'[kg CO2']])</f>
        <v>0</v>
      </c>
      <c r="O26" s="79">
        <f>SUBTOTAL(109,TblReferentiescoreT1321516174184813[Transport
score])</f>
        <v>0</v>
      </c>
      <c r="P26" s="48"/>
    </row>
    <row r="27" spans="1:17" x14ac:dyDescent="0.2">
      <c r="C27" s="74"/>
      <c r="D27" s="74"/>
      <c r="E27" s="75"/>
      <c r="F27" s="74"/>
      <c r="N27" s="54"/>
      <c r="O27" s="54" t="s">
        <v>197</v>
      </c>
    </row>
    <row r="28" spans="1:17" x14ac:dyDescent="0.2">
      <c r="Q28" s="49"/>
    </row>
    <row r="29" spans="1:17" x14ac:dyDescent="0.2">
      <c r="A29" s="50"/>
      <c r="B29" s="50"/>
      <c r="C29" s="85"/>
      <c r="D29" s="49"/>
      <c r="E29" s="85"/>
      <c r="F29" s="85"/>
      <c r="Q29" s="49"/>
    </row>
    <row r="30" spans="1:17" x14ac:dyDescent="0.2">
      <c r="A30" s="50"/>
      <c r="B30" s="50"/>
      <c r="C30" s="85"/>
      <c r="D30" s="49"/>
      <c r="E30" s="86"/>
      <c r="F30" s="85"/>
      <c r="Q30" s="51"/>
    </row>
    <row r="31" spans="1:17" x14ac:dyDescent="0.2">
      <c r="A31" s="50"/>
      <c r="B31" s="50"/>
      <c r="C31" s="154"/>
      <c r="D31" s="49"/>
      <c r="E31" s="85"/>
      <c r="F31" s="85"/>
    </row>
  </sheetData>
  <sheetProtection algorithmName="SHA-512" hashValue="IUjzQ2hgES3GdX8+IKdc+S222InUk/LoHQuYlP+NF8FzXRq0ersw2Z5L97Wl4mtWUTNJveMslQGvlPNb3pCJGA==" saltValue="aHGdmVESg3BCIKciHO709g==" spinCount="100000" sheet="1" selectLockedCells="1"/>
  <mergeCells count="2">
    <mergeCell ref="B2:C2"/>
    <mergeCell ref="B3:C3"/>
  </mergeCells>
  <dataValidations count="7">
    <dataValidation type="whole" allowBlank="1" showInputMessage="1" showErrorMessage="1" prompt="Numerieke waarde" sqref="D6:F25" xr:uid="{54A4FBE3-6951-4FBD-8639-FA8C341A0EF4}">
      <formula1>1</formula1>
      <formula2>999999</formula2>
    </dataValidation>
    <dataValidation type="list" allowBlank="1" showInputMessage="1" showErrorMessage="1" sqref="K6:K25" xr:uid="{F77ACEFF-7F21-489C-BD13-06C03ECE766E}">
      <formula1>"Ja,Nee"</formula1>
    </dataValidation>
    <dataValidation type="decimal" allowBlank="1" showInputMessage="1" showErrorMessage="1" sqref="J6:J25" xr:uid="{CF2088CF-25BA-46CE-A8CA-A5CBBCFE465B}">
      <formula1>0</formula1>
      <formula2>1</formula2>
    </dataValidation>
    <dataValidation type="list" allowBlank="1" showInputMessage="1" showErrorMessage="1" sqref="G6:G25" xr:uid="{D9665E6D-6E31-4B78-A111-44182C3D9438}">
      <formula1>motortypest</formula1>
    </dataValidation>
    <dataValidation type="list" allowBlank="1" showInputMessage="1" showErrorMessage="1" sqref="C6:C25" xr:uid="{1293409A-103B-48DC-AB06-7C97D0C45823}">
      <formula1>types</formula1>
    </dataValidation>
    <dataValidation type="list" allowBlank="1" showInputMessage="1" showErrorMessage="1" sqref="I6:I25" xr:uid="{33C80AC8-2D14-4318-ACA5-4EF8716AC454}">
      <formula1>INDIRECT(LEFT(SUBSTITUTE(SUBSTITUTE(H6," ","_"),"(","_"),10))</formula1>
    </dataValidation>
    <dataValidation type="list" allowBlank="1" showInputMessage="1" showErrorMessage="1" sqref="H6:H25" xr:uid="{0B72D0AC-BA74-4196-ABD9-4EF3F3B17582}">
      <formula1>INDIRECT(LEFT(G6,5))</formula1>
    </dataValidation>
  </dataValidations>
  <pageMargins left="0.25" right="0.25" top="0.75" bottom="0.75" header="0.3" footer="0.3"/>
  <pageSetup paperSize="9" scale="7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3793" r:id="rId4" name="Button 1">
              <controlPr defaultSize="0" print="0" autoFill="0" autoPict="0" macro="[0]!export.export">
                <anchor moveWithCells="1" sizeWithCells="1">
                  <from>
                    <xdr:col>3</xdr:col>
                    <xdr:colOff>76200</xdr:colOff>
                    <xdr:row>1</xdr:row>
                    <xdr:rowOff>190500</xdr:rowOff>
                  </from>
                  <to>
                    <xdr:col>5</xdr:col>
                    <xdr:colOff>9525</xdr:colOff>
                    <xdr:row>3</xdr:row>
                    <xdr:rowOff>0</xdr:rowOff>
                  </to>
                </anchor>
              </controlPr>
            </control>
          </mc:Choice>
        </mc:AlternateContent>
      </controls>
    </mc:Choice>
  </mc:AlternateContent>
  <tableParts count="1">
    <tablePart r:id="rId5"/>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3C040-FFC1-4D2C-93C9-CED0D59C1CE4}">
  <sheetPr codeName="Blad20">
    <tabColor theme="8" tint="0.59999389629810485"/>
    <pageSetUpPr fitToPage="1"/>
  </sheetPr>
  <dimension ref="A1:Q31"/>
  <sheetViews>
    <sheetView showGridLines="0" zoomScale="70" zoomScaleNormal="70" workbookViewId="0">
      <selection activeCell="B2" sqref="B2:C2"/>
    </sheetView>
  </sheetViews>
  <sheetFormatPr defaultColWidth="11" defaultRowHeight="12.75" x14ac:dyDescent="0.2"/>
  <cols>
    <col min="1" max="1" width="28.625" style="52" customWidth="1"/>
    <col min="2" max="2" width="12.625" style="52" customWidth="1"/>
    <col min="3" max="3" width="32.625" style="52" customWidth="1"/>
    <col min="4" max="4" width="12.625" style="54" customWidth="1"/>
    <col min="5" max="6" width="12.625" style="52" customWidth="1"/>
    <col min="7" max="7" width="12.625" style="55" customWidth="1"/>
    <col min="8" max="9" width="20.625" style="52" customWidth="1"/>
    <col min="10" max="10" width="12.125" style="52" customWidth="1"/>
    <col min="11" max="11" width="9.125" style="55" customWidth="1"/>
    <col min="12" max="12" width="8.625" style="52" hidden="1" customWidth="1"/>
    <col min="13" max="13" width="10.875" style="52" hidden="1" customWidth="1"/>
    <col min="14" max="14" width="12.625" style="52" customWidth="1"/>
    <col min="15" max="15" width="12.625" style="52" hidden="1" customWidth="1"/>
    <col min="16" max="16" width="12.625" style="52" customWidth="1"/>
    <col min="17" max="17" width="36.375" style="52" customWidth="1"/>
    <col min="18" max="18" width="17.125" style="52" customWidth="1"/>
    <col min="19" max="16384" width="11" style="52"/>
  </cols>
  <sheetData>
    <row r="1" spans="1:17" ht="15.75" customHeight="1" x14ac:dyDescent="0.2">
      <c r="A1" s="53" t="s">
        <v>241</v>
      </c>
      <c r="B1" s="53"/>
    </row>
    <row r="2" spans="1:17" ht="15.75" customHeight="1" thickBot="1" x14ac:dyDescent="0.25">
      <c r="A2" s="152" t="s">
        <v>189</v>
      </c>
      <c r="B2" s="169"/>
      <c r="C2" s="173"/>
      <c r="D2" s="118" t="s">
        <v>266</v>
      </c>
    </row>
    <row r="3" spans="1:17" ht="15.75" customHeight="1" thickTop="1" thickBot="1" x14ac:dyDescent="0.25">
      <c r="A3" s="153" t="s">
        <v>190</v>
      </c>
      <c r="B3" s="171"/>
      <c r="C3" s="174"/>
    </row>
    <row r="4" spans="1:17" ht="15.75" customHeight="1" thickTop="1" x14ac:dyDescent="0.2">
      <c r="G4" s="58"/>
    </row>
    <row r="5" spans="1:17" ht="60" customHeight="1" x14ac:dyDescent="0.2">
      <c r="A5" s="59" t="s">
        <v>221</v>
      </c>
      <c r="B5" s="60" t="s">
        <v>225</v>
      </c>
      <c r="C5" s="91" t="s">
        <v>227</v>
      </c>
      <c r="D5" s="155" t="s">
        <v>224</v>
      </c>
      <c r="E5" s="84" t="s">
        <v>218</v>
      </c>
      <c r="F5" s="84" t="s">
        <v>219</v>
      </c>
      <c r="G5" s="156" t="s">
        <v>36</v>
      </c>
      <c r="H5" s="157" t="s">
        <v>173</v>
      </c>
      <c r="I5" s="158" t="s">
        <v>191</v>
      </c>
      <c r="J5" s="96" t="s">
        <v>226</v>
      </c>
      <c r="K5" s="97" t="s">
        <v>39</v>
      </c>
      <c r="L5" s="59" t="s">
        <v>184</v>
      </c>
      <c r="M5" s="59" t="s">
        <v>183</v>
      </c>
      <c r="N5" s="62" t="s">
        <v>222</v>
      </c>
      <c r="O5" s="60" t="s">
        <v>220</v>
      </c>
      <c r="P5" s="80" t="s">
        <v>223</v>
      </c>
      <c r="Q5" s="63"/>
    </row>
    <row r="6" spans="1:17" ht="15.75" customHeight="1" x14ac:dyDescent="0.2">
      <c r="A6" s="137" t="s">
        <v>198</v>
      </c>
      <c r="B6" s="136">
        <v>5122</v>
      </c>
      <c r="C6" s="64"/>
      <c r="D6" s="65">
        <v>36</v>
      </c>
      <c r="E6" s="82">
        <f t="shared" ref="E6:E25" si="0">CEILING(B6/D6,1)</f>
        <v>143</v>
      </c>
      <c r="F6" s="83">
        <v>25.8</v>
      </c>
      <c r="G6" s="66"/>
      <c r="H6" s="67" t="s">
        <v>188</v>
      </c>
      <c r="I6" s="67" t="s">
        <v>188</v>
      </c>
      <c r="J6" s="68"/>
      <c r="K6" s="69"/>
      <c r="L6" s="70" t="str">
        <f>IFERROR(TblReferentiescoreT132151617418481315[[#This Row],[Aantal
ritten]]*TblReferentiescoreT132151617418481315[[#This Row],[Afstand
per rit
'[km']]]*TblReferentiescoreT132151617418481315[[#This Row],[Gemiddeld
volume
per rit
'[ton']]]*VLOOKUP(TblReferentiescoreT132151617418481315[[#This Row],[Type transportmiddel]],TblType[],2,0),"")</f>
        <v/>
      </c>
      <c r="M6" s="70" t="str">
        <f>IFERROR(TblReferentiescoreT132151617418481315[[#This Row],[Energie-vraag (MJ)]]/stookwaarde_diesel/dichtheid_diesel*emissiefactor_diesel,"")</f>
        <v/>
      </c>
      <c r="N6" s="71" t="str">
        <f>IFERROR(
     TblReferentiescoreT132151617418481315[[#This Row],[Referentie-score]]*
          ((100%-TblReferentiescoreT132151617418481315[[#This Row],[Aandeel
2e energie
-bron]])*INDEX(TblBrandstof[CO2 uitstoot verg 1l diesel],MATCH(TblReferentiescoreT132151617418481315[[#This Row],[Energiebron]],TblBrandstof[Brandstof],0))+
          TblReferentiescoreT132151617418481315[[#This Row],[Aandeel
2e energie
-bron]]*INDEX(TblBrandstof[CO2 uitstoot verg 1l diesel],MATCH(IF(OR(TblReferentiescoreT132151617418481315[[#This Row],[2e energiebron]]="N.v.t.",TblReferentiescoreT132151617418481315[[#This Row],[2e energiebron]]=""),TblReferentiescoreT132151617418481315[[#This Row],[Energiebron]],TblReferentiescoreT132151617418481315[[#This Row],[2e energiebron]]),TblBrandstof[Brandstof],0)))*
      IF(OR(TblReferentiescoreT132151617418481315[[#This Row],[Motortype]]="Elektrisch",TblReferentiescoreT132151617418481315[[#This Row],[Hybride]]="Ja"),TblHybride[Waardering hybride],1),"")</f>
        <v/>
      </c>
      <c r="O6" s="71" t="str">
        <f>IFERROR(TblReferentiescoreT132151617418481315[[#This Row],[CO2-impact
'[kg CO2']]]*IF(INDEX(TblBrandstof[Waardering Euroniveau],MATCH(TblReferentiescoreT132151617418481315[[#This Row],[Energiebron]],TblBrandstof[Brandstof],0)),VLOOKUP(TblReferentiescoreT132151617418481315[[#This Row],[Motortype]],TblMotortypeT[],2,0),1),"")</f>
        <v/>
      </c>
      <c r="P6" s="72" t="str">
        <f>IF(TblReferentiescoreT132151617418481315[[#This Row],[Slibtransport
van rwzi naar rwzi]]&lt;&gt;"",
    IF(TblReferentiescoreT132151617418481315[[#This Row],[Gemiddeld
volume
per rit
'[ton']]]="","Gemiddelde vracht per volle rit niet gevuld",
    IF(TblReferentiescoreT132151617418481315[[#This Row],[Afstand
per rit
'[km']]]="","Afstand per rit niet gevuld",
    IF(TblReferentiescoreT132151617418481315[[#This Row],[Aantal
ritten]]="","Aantal ritten niet gevuld",""))),
  "")</f>
        <v/>
      </c>
    </row>
    <row r="7" spans="1:17" ht="15.75" customHeight="1" x14ac:dyDescent="0.2">
      <c r="A7" s="137" t="s">
        <v>199</v>
      </c>
      <c r="B7" s="136">
        <v>5104</v>
      </c>
      <c r="C7" s="64"/>
      <c r="D7" s="65">
        <v>36</v>
      </c>
      <c r="E7" s="82">
        <f t="shared" si="0"/>
        <v>142</v>
      </c>
      <c r="F7" s="83">
        <v>20</v>
      </c>
      <c r="G7" s="66"/>
      <c r="H7" s="67"/>
      <c r="I7" s="67"/>
      <c r="J7" s="68"/>
      <c r="K7" s="69"/>
      <c r="L7" s="70" t="str">
        <f>IFERROR(TblReferentiescoreT132151617418481315[[#This Row],[Aantal
ritten]]*TblReferentiescoreT132151617418481315[[#This Row],[Afstand
per rit
'[km']]]*TblReferentiescoreT132151617418481315[[#This Row],[Gemiddeld
volume
per rit
'[ton']]]*VLOOKUP(TblReferentiescoreT132151617418481315[[#This Row],[Type transportmiddel]],TblType[],2,0),"")</f>
        <v/>
      </c>
      <c r="M7" s="70" t="str">
        <f>IFERROR(TblReferentiescoreT132151617418481315[[#This Row],[Energie-vraag (MJ)]]/stookwaarde_diesel/dichtheid_diesel*emissiefactor_diesel,"")</f>
        <v/>
      </c>
      <c r="N7" s="71" t="str">
        <f>IFERROR(
     TblReferentiescoreT132151617418481315[[#This Row],[Referentie-score]]*
          ((100%-TblReferentiescoreT132151617418481315[[#This Row],[Aandeel
2e energie
-bron]])*INDEX(TblBrandstof[CO2 uitstoot verg 1l diesel],MATCH(TblReferentiescoreT132151617418481315[[#This Row],[Energiebron]],TblBrandstof[Brandstof],0))+
          TblReferentiescoreT132151617418481315[[#This Row],[Aandeel
2e energie
-bron]]*INDEX(TblBrandstof[CO2 uitstoot verg 1l diesel],MATCH(IF(OR(TblReferentiescoreT132151617418481315[[#This Row],[2e energiebron]]="N.v.t.",TblReferentiescoreT132151617418481315[[#This Row],[2e energiebron]]=""),TblReferentiescoreT132151617418481315[[#This Row],[Energiebron]],TblReferentiescoreT132151617418481315[[#This Row],[2e energiebron]]),TblBrandstof[Brandstof],0)))*
      IF(OR(TblReferentiescoreT132151617418481315[[#This Row],[Motortype]]="Elektrisch",TblReferentiescoreT132151617418481315[[#This Row],[Hybride]]="Ja"),TblHybride[Waardering hybride],1),"")</f>
        <v/>
      </c>
      <c r="O7" s="71" t="str">
        <f>IFERROR(TblReferentiescoreT132151617418481315[[#This Row],[CO2-impact
'[kg CO2']]]*IF(INDEX(TblBrandstof[Waardering Euroniveau],MATCH(TblReferentiescoreT132151617418481315[[#This Row],[Energiebron]],TblBrandstof[Brandstof],0)),VLOOKUP(TblReferentiescoreT132151617418481315[[#This Row],[Motortype]],TblMotortypeT[],2,0),1),"")</f>
        <v/>
      </c>
      <c r="P7" s="73" t="str">
        <f>IF(TblReferentiescoreT132151617418481315[[#This Row],[Slibtransport
van rwzi naar rwzi]]&lt;&gt;"",
    IF(TblReferentiescoreT132151617418481315[[#This Row],[Gemiddeld
volume
per rit
'[ton']]]="","Gemiddelde vracht per volle rit niet gevuld",
    IF(TblReferentiescoreT132151617418481315[[#This Row],[Afstand
per rit
'[km']]]="","Afstand per rit niet gevuld",
    IF(TblReferentiescoreT132151617418481315[[#This Row],[Aantal
ritten]]="","Aantal ritten niet gevuld",""))),
  "")</f>
        <v/>
      </c>
    </row>
    <row r="8" spans="1:17" ht="15.75" customHeight="1" x14ac:dyDescent="0.2">
      <c r="A8" s="137" t="s">
        <v>200</v>
      </c>
      <c r="B8" s="136">
        <v>22364</v>
      </c>
      <c r="C8" s="64"/>
      <c r="D8" s="65">
        <v>36</v>
      </c>
      <c r="E8" s="82">
        <f t="shared" si="0"/>
        <v>622</v>
      </c>
      <c r="F8" s="83">
        <v>16.899999999999999</v>
      </c>
      <c r="G8" s="66"/>
      <c r="H8" s="67"/>
      <c r="I8" s="67"/>
      <c r="J8" s="68"/>
      <c r="K8" s="69"/>
      <c r="L8" s="70" t="str">
        <f>IFERROR(TblReferentiescoreT132151617418481315[[#This Row],[Aantal
ritten]]*TblReferentiescoreT132151617418481315[[#This Row],[Afstand
per rit
'[km']]]*TblReferentiescoreT132151617418481315[[#This Row],[Gemiddeld
volume
per rit
'[ton']]]*VLOOKUP(TblReferentiescoreT132151617418481315[[#This Row],[Type transportmiddel]],TblType[],2,0),"")</f>
        <v/>
      </c>
      <c r="M8" s="70" t="str">
        <f>IFERROR(TblReferentiescoreT132151617418481315[[#This Row],[Energie-vraag (MJ)]]/stookwaarde_diesel/dichtheid_diesel*emissiefactor_diesel,"")</f>
        <v/>
      </c>
      <c r="N8" s="71" t="str">
        <f>IFERROR(
     TblReferentiescoreT132151617418481315[[#This Row],[Referentie-score]]*
          ((100%-TblReferentiescoreT132151617418481315[[#This Row],[Aandeel
2e energie
-bron]])*INDEX(TblBrandstof[CO2 uitstoot verg 1l diesel],MATCH(TblReferentiescoreT132151617418481315[[#This Row],[Energiebron]],TblBrandstof[Brandstof],0))+
          TblReferentiescoreT132151617418481315[[#This Row],[Aandeel
2e energie
-bron]]*INDEX(TblBrandstof[CO2 uitstoot verg 1l diesel],MATCH(IF(OR(TblReferentiescoreT132151617418481315[[#This Row],[2e energiebron]]="N.v.t.",TblReferentiescoreT132151617418481315[[#This Row],[2e energiebron]]=""),TblReferentiescoreT132151617418481315[[#This Row],[Energiebron]],TblReferentiescoreT132151617418481315[[#This Row],[2e energiebron]]),TblBrandstof[Brandstof],0)))*
      IF(OR(TblReferentiescoreT132151617418481315[[#This Row],[Motortype]]="Elektrisch",TblReferentiescoreT132151617418481315[[#This Row],[Hybride]]="Ja"),TblHybride[Waardering hybride],1),"")</f>
        <v/>
      </c>
      <c r="O8" s="71" t="str">
        <f>IFERROR(TblReferentiescoreT132151617418481315[[#This Row],[CO2-impact
'[kg CO2']]]*IF(INDEX(TblBrandstof[Waardering Euroniveau],MATCH(TblReferentiescoreT132151617418481315[[#This Row],[Energiebron]],TblBrandstof[Brandstof],0)),VLOOKUP(TblReferentiescoreT132151617418481315[[#This Row],[Motortype]],TblMotortypeT[],2,0),1),"")</f>
        <v/>
      </c>
      <c r="P8" s="73" t="str">
        <f>IF(TblReferentiescoreT132151617418481315[[#This Row],[Slibtransport
van rwzi naar rwzi]]&lt;&gt;"",
    IF(TblReferentiescoreT132151617418481315[[#This Row],[Gemiddeld
volume
per rit
'[ton']]]="","Gemiddelde vracht per volle rit niet gevuld",
    IF(TblReferentiescoreT132151617418481315[[#This Row],[Afstand
per rit
'[km']]]="","Afstand per rit niet gevuld",
    IF(TblReferentiescoreT132151617418481315[[#This Row],[Aantal
ritten]]="","Aantal ritten niet gevuld",""))),
  "")</f>
        <v/>
      </c>
    </row>
    <row r="9" spans="1:17" ht="15.75" customHeight="1" x14ac:dyDescent="0.2">
      <c r="A9" s="137" t="s">
        <v>201</v>
      </c>
      <c r="B9" s="136">
        <v>8265</v>
      </c>
      <c r="C9" s="64"/>
      <c r="D9" s="65">
        <v>36</v>
      </c>
      <c r="E9" s="82">
        <f t="shared" si="0"/>
        <v>230</v>
      </c>
      <c r="F9" s="83">
        <v>28.4</v>
      </c>
      <c r="G9" s="66"/>
      <c r="H9" s="67"/>
      <c r="I9" s="67"/>
      <c r="J9" s="68"/>
      <c r="K9" s="69"/>
      <c r="L9" s="70" t="str">
        <f>IFERROR(TblReferentiescoreT132151617418481315[[#This Row],[Aantal
ritten]]*TblReferentiescoreT132151617418481315[[#This Row],[Afstand
per rit
'[km']]]*TblReferentiescoreT132151617418481315[[#This Row],[Gemiddeld
volume
per rit
'[ton']]]*VLOOKUP(TblReferentiescoreT132151617418481315[[#This Row],[Type transportmiddel]],TblType[],2,0),"")</f>
        <v/>
      </c>
      <c r="M9" s="70" t="str">
        <f>IFERROR(TblReferentiescoreT132151617418481315[[#This Row],[Energie-vraag (MJ)]]/stookwaarde_diesel/dichtheid_diesel*emissiefactor_diesel,"")</f>
        <v/>
      </c>
      <c r="N9" s="71" t="str">
        <f>IFERROR(
     TblReferentiescoreT132151617418481315[[#This Row],[Referentie-score]]*
          ((100%-TblReferentiescoreT132151617418481315[[#This Row],[Aandeel
2e energie
-bron]])*INDEX(TblBrandstof[CO2 uitstoot verg 1l diesel],MATCH(TblReferentiescoreT132151617418481315[[#This Row],[Energiebron]],TblBrandstof[Brandstof],0))+
          TblReferentiescoreT132151617418481315[[#This Row],[Aandeel
2e energie
-bron]]*INDEX(TblBrandstof[CO2 uitstoot verg 1l diesel],MATCH(IF(OR(TblReferentiescoreT132151617418481315[[#This Row],[2e energiebron]]="N.v.t.",TblReferentiescoreT132151617418481315[[#This Row],[2e energiebron]]=""),TblReferentiescoreT132151617418481315[[#This Row],[Energiebron]],TblReferentiescoreT132151617418481315[[#This Row],[2e energiebron]]),TblBrandstof[Brandstof],0)))*
      IF(OR(TblReferentiescoreT132151617418481315[[#This Row],[Motortype]]="Elektrisch",TblReferentiescoreT132151617418481315[[#This Row],[Hybride]]="Ja"),TblHybride[Waardering hybride],1),"")</f>
        <v/>
      </c>
      <c r="O9" s="71" t="str">
        <f>IFERROR(TblReferentiescoreT132151617418481315[[#This Row],[CO2-impact
'[kg CO2']]]*IF(INDEX(TblBrandstof[Waardering Euroniveau],MATCH(TblReferentiescoreT132151617418481315[[#This Row],[Energiebron]],TblBrandstof[Brandstof],0)),VLOOKUP(TblReferentiescoreT132151617418481315[[#This Row],[Motortype]],TblMotortypeT[],2,0),1),"")</f>
        <v/>
      </c>
      <c r="P9" s="73" t="str">
        <f>IF(TblReferentiescoreT132151617418481315[[#This Row],[Slibtransport
van rwzi naar rwzi]]&lt;&gt;"",
    IF(TblReferentiescoreT132151617418481315[[#This Row],[Gemiddeld
volume
per rit
'[ton']]]="","Gemiddelde vracht per volle rit niet gevuld",
    IF(TblReferentiescoreT132151617418481315[[#This Row],[Afstand
per rit
'[km']]]="","Afstand per rit niet gevuld",
    IF(TblReferentiescoreT132151617418481315[[#This Row],[Aantal
ritten]]="","Aantal ritten niet gevuld",""))),
  "")</f>
        <v/>
      </c>
    </row>
    <row r="10" spans="1:17" ht="15.75" customHeight="1" x14ac:dyDescent="0.2">
      <c r="A10" s="137" t="s">
        <v>202</v>
      </c>
      <c r="B10" s="136">
        <v>4548</v>
      </c>
      <c r="C10" s="64"/>
      <c r="D10" s="65">
        <v>36</v>
      </c>
      <c r="E10" s="82">
        <f t="shared" si="0"/>
        <v>127</v>
      </c>
      <c r="F10" s="83">
        <v>8.4</v>
      </c>
      <c r="G10" s="66"/>
      <c r="H10" s="67"/>
      <c r="I10" s="67"/>
      <c r="J10" s="68"/>
      <c r="K10" s="69"/>
      <c r="L10" s="70" t="str">
        <f>IFERROR(TblReferentiescoreT132151617418481315[[#This Row],[Aantal
ritten]]*TblReferentiescoreT132151617418481315[[#This Row],[Afstand
per rit
'[km']]]*TblReferentiescoreT132151617418481315[[#This Row],[Gemiddeld
volume
per rit
'[ton']]]*VLOOKUP(TblReferentiescoreT132151617418481315[[#This Row],[Type transportmiddel]],TblType[],2,0),"")</f>
        <v/>
      </c>
      <c r="M10" s="70" t="str">
        <f>IFERROR(TblReferentiescoreT132151617418481315[[#This Row],[Energie-vraag (MJ)]]/stookwaarde_diesel/dichtheid_diesel*emissiefactor_diesel,"")</f>
        <v/>
      </c>
      <c r="N10" s="71" t="str">
        <f>IFERROR(
     TblReferentiescoreT132151617418481315[[#This Row],[Referentie-score]]*
          ((100%-TblReferentiescoreT132151617418481315[[#This Row],[Aandeel
2e energie
-bron]])*INDEX(TblBrandstof[CO2 uitstoot verg 1l diesel],MATCH(TblReferentiescoreT132151617418481315[[#This Row],[Energiebron]],TblBrandstof[Brandstof],0))+
          TblReferentiescoreT132151617418481315[[#This Row],[Aandeel
2e energie
-bron]]*INDEX(TblBrandstof[CO2 uitstoot verg 1l diesel],MATCH(IF(OR(TblReferentiescoreT132151617418481315[[#This Row],[2e energiebron]]="N.v.t.",TblReferentiescoreT132151617418481315[[#This Row],[2e energiebron]]=""),TblReferentiescoreT132151617418481315[[#This Row],[Energiebron]],TblReferentiescoreT132151617418481315[[#This Row],[2e energiebron]]),TblBrandstof[Brandstof],0)))*
      IF(OR(TblReferentiescoreT132151617418481315[[#This Row],[Motortype]]="Elektrisch",TblReferentiescoreT132151617418481315[[#This Row],[Hybride]]="Ja"),TblHybride[Waardering hybride],1),"")</f>
        <v/>
      </c>
      <c r="O10" s="71" t="str">
        <f>IFERROR(TblReferentiescoreT132151617418481315[[#This Row],[CO2-impact
'[kg CO2']]]*IF(INDEX(TblBrandstof[Waardering Euroniveau],MATCH(TblReferentiescoreT132151617418481315[[#This Row],[Energiebron]],TblBrandstof[Brandstof],0)),VLOOKUP(TblReferentiescoreT132151617418481315[[#This Row],[Motortype]],TblMotortypeT[],2,0),1),"")</f>
        <v/>
      </c>
      <c r="P10" s="73" t="str">
        <f>IF(TblReferentiescoreT132151617418481315[[#This Row],[Slibtransport
van rwzi naar rwzi]]&lt;&gt;"",
    IF(TblReferentiescoreT132151617418481315[[#This Row],[Gemiddeld
volume
per rit
'[ton']]]="","Gemiddelde vracht per volle rit niet gevuld",
    IF(TblReferentiescoreT132151617418481315[[#This Row],[Afstand
per rit
'[km']]]="","Afstand per rit niet gevuld",
    IF(TblReferentiescoreT132151617418481315[[#This Row],[Aantal
ritten]]="","Aantal ritten niet gevuld",""))),
  "")</f>
        <v/>
      </c>
    </row>
    <row r="11" spans="1:17" ht="15.75" customHeight="1" x14ac:dyDescent="0.2">
      <c r="A11" s="137" t="s">
        <v>203</v>
      </c>
      <c r="B11" s="136">
        <v>18525</v>
      </c>
      <c r="C11" s="64"/>
      <c r="D11" s="65">
        <v>36</v>
      </c>
      <c r="E11" s="82">
        <f t="shared" si="0"/>
        <v>515</v>
      </c>
      <c r="F11" s="83">
        <v>18.399999999999999</v>
      </c>
      <c r="G11" s="66"/>
      <c r="H11" s="67"/>
      <c r="I11" s="67"/>
      <c r="J11" s="68"/>
      <c r="K11" s="69"/>
      <c r="L11" s="70" t="str">
        <f>IFERROR(TblReferentiescoreT132151617418481315[[#This Row],[Aantal
ritten]]*TblReferentiescoreT132151617418481315[[#This Row],[Afstand
per rit
'[km']]]*TblReferentiescoreT132151617418481315[[#This Row],[Gemiddeld
volume
per rit
'[ton']]]*VLOOKUP(TblReferentiescoreT132151617418481315[[#This Row],[Type transportmiddel]],TblType[],2,0),"")</f>
        <v/>
      </c>
      <c r="M11" s="70" t="str">
        <f>IFERROR(TblReferentiescoreT132151617418481315[[#This Row],[Energie-vraag (MJ)]]/stookwaarde_diesel/dichtheid_diesel*emissiefactor_diesel,"")</f>
        <v/>
      </c>
      <c r="N11" s="71" t="str">
        <f>IFERROR(
     TblReferentiescoreT132151617418481315[[#This Row],[Referentie-score]]*
          ((100%-TblReferentiescoreT132151617418481315[[#This Row],[Aandeel
2e energie
-bron]])*INDEX(TblBrandstof[CO2 uitstoot verg 1l diesel],MATCH(TblReferentiescoreT132151617418481315[[#This Row],[Energiebron]],TblBrandstof[Brandstof],0))+
          TblReferentiescoreT132151617418481315[[#This Row],[Aandeel
2e energie
-bron]]*INDEX(TblBrandstof[CO2 uitstoot verg 1l diesel],MATCH(IF(OR(TblReferentiescoreT132151617418481315[[#This Row],[2e energiebron]]="N.v.t.",TblReferentiescoreT132151617418481315[[#This Row],[2e energiebron]]=""),TblReferentiescoreT132151617418481315[[#This Row],[Energiebron]],TblReferentiescoreT132151617418481315[[#This Row],[2e energiebron]]),TblBrandstof[Brandstof],0)))*
      IF(OR(TblReferentiescoreT132151617418481315[[#This Row],[Motortype]]="Elektrisch",TblReferentiescoreT132151617418481315[[#This Row],[Hybride]]="Ja"),TblHybride[Waardering hybride],1),"")</f>
        <v/>
      </c>
      <c r="O11" s="71" t="str">
        <f>IFERROR(TblReferentiescoreT132151617418481315[[#This Row],[CO2-impact
'[kg CO2']]]*IF(INDEX(TblBrandstof[Waardering Euroniveau],MATCH(TblReferentiescoreT132151617418481315[[#This Row],[Energiebron]],TblBrandstof[Brandstof],0)),VLOOKUP(TblReferentiescoreT132151617418481315[[#This Row],[Motortype]],TblMotortypeT[],2,0),1),"")</f>
        <v/>
      </c>
      <c r="P11" s="73" t="str">
        <f>IF(TblReferentiescoreT132151617418481315[[#This Row],[Slibtransport
van rwzi naar rwzi]]&lt;&gt;"",
    IF(TblReferentiescoreT132151617418481315[[#This Row],[Gemiddeld
volume
per rit
'[ton']]]="","Gemiddelde vracht per volle rit niet gevuld",
    IF(TblReferentiescoreT132151617418481315[[#This Row],[Afstand
per rit
'[km']]]="","Afstand per rit niet gevuld",
    IF(TblReferentiescoreT132151617418481315[[#This Row],[Aantal
ritten]]="","Aantal ritten niet gevuld",""))),
  "")</f>
        <v/>
      </c>
    </row>
    <row r="12" spans="1:17" ht="15.75" customHeight="1" x14ac:dyDescent="0.2">
      <c r="A12" s="137" t="s">
        <v>204</v>
      </c>
      <c r="B12" s="136">
        <v>17352</v>
      </c>
      <c r="C12" s="64"/>
      <c r="D12" s="65">
        <v>36</v>
      </c>
      <c r="E12" s="82">
        <f t="shared" si="0"/>
        <v>482</v>
      </c>
      <c r="F12" s="83">
        <v>31</v>
      </c>
      <c r="G12" s="66"/>
      <c r="H12" s="67"/>
      <c r="I12" s="67"/>
      <c r="J12" s="68"/>
      <c r="K12" s="69"/>
      <c r="L12" s="70" t="str">
        <f>IFERROR(TblReferentiescoreT132151617418481315[[#This Row],[Aantal
ritten]]*TblReferentiescoreT132151617418481315[[#This Row],[Afstand
per rit
'[km']]]*TblReferentiescoreT132151617418481315[[#This Row],[Gemiddeld
volume
per rit
'[ton']]]*VLOOKUP(TblReferentiescoreT132151617418481315[[#This Row],[Type transportmiddel]],TblType[],2,0),"")</f>
        <v/>
      </c>
      <c r="M12" s="70" t="str">
        <f>IFERROR(TblReferentiescoreT132151617418481315[[#This Row],[Energie-vraag (MJ)]]/stookwaarde_diesel/dichtheid_diesel*emissiefactor_diesel,"")</f>
        <v/>
      </c>
      <c r="N12" s="71" t="str">
        <f>IFERROR(
     TblReferentiescoreT132151617418481315[[#This Row],[Referentie-score]]*
          ((100%-TblReferentiescoreT132151617418481315[[#This Row],[Aandeel
2e energie
-bron]])*INDEX(TblBrandstof[CO2 uitstoot verg 1l diesel],MATCH(TblReferentiescoreT132151617418481315[[#This Row],[Energiebron]],TblBrandstof[Brandstof],0))+
          TblReferentiescoreT132151617418481315[[#This Row],[Aandeel
2e energie
-bron]]*INDEX(TblBrandstof[CO2 uitstoot verg 1l diesel],MATCH(IF(OR(TblReferentiescoreT132151617418481315[[#This Row],[2e energiebron]]="N.v.t.",TblReferentiescoreT132151617418481315[[#This Row],[2e energiebron]]=""),TblReferentiescoreT132151617418481315[[#This Row],[Energiebron]],TblReferentiescoreT132151617418481315[[#This Row],[2e energiebron]]),TblBrandstof[Brandstof],0)))*
      IF(OR(TblReferentiescoreT132151617418481315[[#This Row],[Motortype]]="Elektrisch",TblReferentiescoreT132151617418481315[[#This Row],[Hybride]]="Ja"),TblHybride[Waardering hybride],1),"")</f>
        <v/>
      </c>
      <c r="O12" s="71" t="str">
        <f>IFERROR(TblReferentiescoreT132151617418481315[[#This Row],[CO2-impact
'[kg CO2']]]*IF(INDEX(TblBrandstof[Waardering Euroniveau],MATCH(TblReferentiescoreT132151617418481315[[#This Row],[Energiebron]],TblBrandstof[Brandstof],0)),VLOOKUP(TblReferentiescoreT132151617418481315[[#This Row],[Motortype]],TblMotortypeT[],2,0),1),"")</f>
        <v/>
      </c>
      <c r="P12" s="73" t="str">
        <f>IF(TblReferentiescoreT132151617418481315[[#This Row],[Slibtransport
van rwzi naar rwzi]]&lt;&gt;"",
    IF(TblReferentiescoreT132151617418481315[[#This Row],[Gemiddeld
volume
per rit
'[ton']]]="","Gemiddelde vracht per volle rit niet gevuld",
    IF(TblReferentiescoreT132151617418481315[[#This Row],[Afstand
per rit
'[km']]]="","Afstand per rit niet gevuld",
    IF(TblReferentiescoreT132151617418481315[[#This Row],[Aantal
ritten]]="","Aantal ritten niet gevuld",""))),
  "")</f>
        <v/>
      </c>
    </row>
    <row r="13" spans="1:17" ht="15.75" customHeight="1" x14ac:dyDescent="0.2">
      <c r="A13" s="137" t="s">
        <v>205</v>
      </c>
      <c r="B13" s="136">
        <v>4125</v>
      </c>
      <c r="C13" s="64"/>
      <c r="D13" s="65">
        <v>36</v>
      </c>
      <c r="E13" s="82">
        <f t="shared" si="0"/>
        <v>115</v>
      </c>
      <c r="F13" s="83">
        <v>17.2</v>
      </c>
      <c r="G13" s="66"/>
      <c r="H13" s="67"/>
      <c r="I13" s="67"/>
      <c r="J13" s="68"/>
      <c r="K13" s="69"/>
      <c r="L13" s="70" t="str">
        <f>IFERROR(TblReferentiescoreT132151617418481315[[#This Row],[Aantal
ritten]]*TblReferentiescoreT132151617418481315[[#This Row],[Afstand
per rit
'[km']]]*TblReferentiescoreT132151617418481315[[#This Row],[Gemiddeld
volume
per rit
'[ton']]]*VLOOKUP(TblReferentiescoreT132151617418481315[[#This Row],[Type transportmiddel]],TblType[],2,0),"")</f>
        <v/>
      </c>
      <c r="M13" s="70" t="str">
        <f>IFERROR(TblReferentiescoreT132151617418481315[[#This Row],[Energie-vraag (MJ)]]/stookwaarde_diesel/dichtheid_diesel*emissiefactor_diesel,"")</f>
        <v/>
      </c>
      <c r="N13" s="71" t="str">
        <f>IFERROR(
     TblReferentiescoreT132151617418481315[[#This Row],[Referentie-score]]*
          ((100%-TblReferentiescoreT132151617418481315[[#This Row],[Aandeel
2e energie
-bron]])*INDEX(TblBrandstof[CO2 uitstoot verg 1l diesel],MATCH(TblReferentiescoreT132151617418481315[[#This Row],[Energiebron]],TblBrandstof[Brandstof],0))+
          TblReferentiescoreT132151617418481315[[#This Row],[Aandeel
2e energie
-bron]]*INDEX(TblBrandstof[CO2 uitstoot verg 1l diesel],MATCH(IF(OR(TblReferentiescoreT132151617418481315[[#This Row],[2e energiebron]]="N.v.t.",TblReferentiescoreT132151617418481315[[#This Row],[2e energiebron]]=""),TblReferentiescoreT132151617418481315[[#This Row],[Energiebron]],TblReferentiescoreT132151617418481315[[#This Row],[2e energiebron]]),TblBrandstof[Brandstof],0)))*
      IF(OR(TblReferentiescoreT132151617418481315[[#This Row],[Motortype]]="Elektrisch",TblReferentiescoreT132151617418481315[[#This Row],[Hybride]]="Ja"),TblHybride[Waardering hybride],1),"")</f>
        <v/>
      </c>
      <c r="O13" s="71" t="str">
        <f>IFERROR(TblReferentiescoreT132151617418481315[[#This Row],[CO2-impact
'[kg CO2']]]*IF(INDEX(TblBrandstof[Waardering Euroniveau],MATCH(TblReferentiescoreT132151617418481315[[#This Row],[Energiebron]],TblBrandstof[Brandstof],0)),VLOOKUP(TblReferentiescoreT132151617418481315[[#This Row],[Motortype]],TblMotortypeT[],2,0),1),"")</f>
        <v/>
      </c>
      <c r="P13" s="73" t="str">
        <f>IF(TblReferentiescoreT132151617418481315[[#This Row],[Slibtransport
van rwzi naar rwzi]]&lt;&gt;"",
    IF(TblReferentiescoreT132151617418481315[[#This Row],[Gemiddeld
volume
per rit
'[ton']]]="","Gemiddelde vracht per volle rit niet gevuld",
    IF(TblReferentiescoreT132151617418481315[[#This Row],[Afstand
per rit
'[km']]]="","Afstand per rit niet gevuld",
    IF(TblReferentiescoreT132151617418481315[[#This Row],[Aantal
ritten]]="","Aantal ritten niet gevuld",""))),
  "")</f>
        <v/>
      </c>
    </row>
    <row r="14" spans="1:17" ht="15.75" customHeight="1" x14ac:dyDescent="0.2">
      <c r="A14" s="137" t="s">
        <v>206</v>
      </c>
      <c r="B14" s="136">
        <v>1548</v>
      </c>
      <c r="C14" s="64"/>
      <c r="D14" s="65">
        <v>36</v>
      </c>
      <c r="E14" s="82">
        <f t="shared" si="0"/>
        <v>43</v>
      </c>
      <c r="F14" s="83">
        <v>29.8</v>
      </c>
      <c r="G14" s="66"/>
      <c r="H14" s="67"/>
      <c r="I14" s="67"/>
      <c r="J14" s="68"/>
      <c r="K14" s="69"/>
      <c r="L14" s="70" t="str">
        <f>IFERROR(TblReferentiescoreT132151617418481315[[#This Row],[Aantal
ritten]]*TblReferentiescoreT132151617418481315[[#This Row],[Afstand
per rit
'[km']]]*TblReferentiescoreT132151617418481315[[#This Row],[Gemiddeld
volume
per rit
'[ton']]]*VLOOKUP(TblReferentiescoreT132151617418481315[[#This Row],[Type transportmiddel]],TblType[],2,0),"")</f>
        <v/>
      </c>
      <c r="M14" s="70" t="str">
        <f>IFERROR(TblReferentiescoreT132151617418481315[[#This Row],[Energie-vraag (MJ)]]/stookwaarde_diesel/dichtheid_diesel*emissiefactor_diesel,"")</f>
        <v/>
      </c>
      <c r="N14" s="71" t="str">
        <f>IFERROR(
     TblReferentiescoreT132151617418481315[[#This Row],[Referentie-score]]*
          ((100%-TblReferentiescoreT132151617418481315[[#This Row],[Aandeel
2e energie
-bron]])*INDEX(TblBrandstof[CO2 uitstoot verg 1l diesel],MATCH(TblReferentiescoreT132151617418481315[[#This Row],[Energiebron]],TblBrandstof[Brandstof],0))+
          TblReferentiescoreT132151617418481315[[#This Row],[Aandeel
2e energie
-bron]]*INDEX(TblBrandstof[CO2 uitstoot verg 1l diesel],MATCH(IF(OR(TblReferentiescoreT132151617418481315[[#This Row],[2e energiebron]]="N.v.t.",TblReferentiescoreT132151617418481315[[#This Row],[2e energiebron]]=""),TblReferentiescoreT132151617418481315[[#This Row],[Energiebron]],TblReferentiescoreT132151617418481315[[#This Row],[2e energiebron]]),TblBrandstof[Brandstof],0)))*
      IF(OR(TblReferentiescoreT132151617418481315[[#This Row],[Motortype]]="Elektrisch",TblReferentiescoreT132151617418481315[[#This Row],[Hybride]]="Ja"),TblHybride[Waardering hybride],1),"")</f>
        <v/>
      </c>
      <c r="O14" s="71" t="str">
        <f>IFERROR(TblReferentiescoreT132151617418481315[[#This Row],[CO2-impact
'[kg CO2']]]*IF(INDEX(TblBrandstof[Waardering Euroniveau],MATCH(TblReferentiescoreT132151617418481315[[#This Row],[Energiebron]],TblBrandstof[Brandstof],0)),VLOOKUP(TblReferentiescoreT132151617418481315[[#This Row],[Motortype]],TblMotortypeT[],2,0),1),"")</f>
        <v/>
      </c>
      <c r="P14" s="73" t="str">
        <f>IF(TblReferentiescoreT132151617418481315[[#This Row],[Slibtransport
van rwzi naar rwzi]]&lt;&gt;"",
    IF(TblReferentiescoreT132151617418481315[[#This Row],[Gemiddeld
volume
per rit
'[ton']]]="","Gemiddelde vracht per volle rit niet gevuld",
    IF(TblReferentiescoreT132151617418481315[[#This Row],[Afstand
per rit
'[km']]]="","Afstand per rit niet gevuld",
    IF(TblReferentiescoreT132151617418481315[[#This Row],[Aantal
ritten]]="","Aantal ritten niet gevuld",""))),
  "")</f>
        <v/>
      </c>
    </row>
    <row r="15" spans="1:17" ht="15.75" customHeight="1" x14ac:dyDescent="0.2">
      <c r="A15" s="137" t="s">
        <v>207</v>
      </c>
      <c r="B15" s="136">
        <v>2595</v>
      </c>
      <c r="C15" s="64"/>
      <c r="D15" s="65">
        <v>36</v>
      </c>
      <c r="E15" s="82">
        <f t="shared" si="0"/>
        <v>73</v>
      </c>
      <c r="F15" s="83">
        <v>17.2</v>
      </c>
      <c r="G15" s="66"/>
      <c r="H15" s="67"/>
      <c r="I15" s="67"/>
      <c r="J15" s="68"/>
      <c r="K15" s="69"/>
      <c r="L15" s="70" t="str">
        <f>IFERROR(TblReferentiescoreT132151617418481315[[#This Row],[Aantal
ritten]]*TblReferentiescoreT132151617418481315[[#This Row],[Afstand
per rit
'[km']]]*TblReferentiescoreT132151617418481315[[#This Row],[Gemiddeld
volume
per rit
'[ton']]]*VLOOKUP(TblReferentiescoreT132151617418481315[[#This Row],[Type transportmiddel]],TblType[],2,0),"")</f>
        <v/>
      </c>
      <c r="M15" s="70" t="str">
        <f>IFERROR(TblReferentiescoreT132151617418481315[[#This Row],[Energie-vraag (MJ)]]/stookwaarde_diesel/dichtheid_diesel*emissiefactor_diesel,"")</f>
        <v/>
      </c>
      <c r="N15" s="71" t="str">
        <f>IFERROR(
     TblReferentiescoreT132151617418481315[[#This Row],[Referentie-score]]*
          ((100%-TblReferentiescoreT132151617418481315[[#This Row],[Aandeel
2e energie
-bron]])*INDEX(TblBrandstof[CO2 uitstoot verg 1l diesel],MATCH(TblReferentiescoreT132151617418481315[[#This Row],[Energiebron]],TblBrandstof[Brandstof],0))+
          TblReferentiescoreT132151617418481315[[#This Row],[Aandeel
2e energie
-bron]]*INDEX(TblBrandstof[CO2 uitstoot verg 1l diesel],MATCH(IF(OR(TblReferentiescoreT132151617418481315[[#This Row],[2e energiebron]]="N.v.t.",TblReferentiescoreT132151617418481315[[#This Row],[2e energiebron]]=""),TblReferentiescoreT132151617418481315[[#This Row],[Energiebron]],TblReferentiescoreT132151617418481315[[#This Row],[2e energiebron]]),TblBrandstof[Brandstof],0)))*
      IF(OR(TblReferentiescoreT132151617418481315[[#This Row],[Motortype]]="Elektrisch",TblReferentiescoreT132151617418481315[[#This Row],[Hybride]]="Ja"),TblHybride[Waardering hybride],1),"")</f>
        <v/>
      </c>
      <c r="O15" s="71" t="str">
        <f>IFERROR(TblReferentiescoreT132151617418481315[[#This Row],[CO2-impact
'[kg CO2']]]*IF(INDEX(TblBrandstof[Waardering Euroniveau],MATCH(TblReferentiescoreT132151617418481315[[#This Row],[Energiebron]],TblBrandstof[Brandstof],0)),VLOOKUP(TblReferentiescoreT132151617418481315[[#This Row],[Motortype]],TblMotortypeT[],2,0),1),"")</f>
        <v/>
      </c>
      <c r="P15" s="73" t="str">
        <f>IF(TblReferentiescoreT132151617418481315[[#This Row],[Slibtransport
van rwzi naar rwzi]]&lt;&gt;"",
    IF(TblReferentiescoreT132151617418481315[[#This Row],[Gemiddeld
volume
per rit
'[ton']]]="","Gemiddelde vracht per volle rit niet gevuld",
    IF(TblReferentiescoreT132151617418481315[[#This Row],[Afstand
per rit
'[km']]]="","Afstand per rit niet gevuld",
    IF(TblReferentiescoreT132151617418481315[[#This Row],[Aantal
ritten]]="","Aantal ritten niet gevuld",""))),
  "")</f>
        <v/>
      </c>
    </row>
    <row r="16" spans="1:17" ht="15.75" customHeight="1" x14ac:dyDescent="0.2">
      <c r="A16" s="137" t="s">
        <v>208</v>
      </c>
      <c r="B16" s="136">
        <v>3770</v>
      </c>
      <c r="C16" s="64"/>
      <c r="D16" s="65">
        <v>36</v>
      </c>
      <c r="E16" s="82">
        <f t="shared" si="0"/>
        <v>105</v>
      </c>
      <c r="F16" s="83">
        <v>33</v>
      </c>
      <c r="G16" s="66"/>
      <c r="H16" s="67"/>
      <c r="I16" s="67"/>
      <c r="J16" s="68"/>
      <c r="K16" s="69"/>
      <c r="L16" s="70" t="str">
        <f>IFERROR(TblReferentiescoreT132151617418481315[[#This Row],[Aantal
ritten]]*TblReferentiescoreT132151617418481315[[#This Row],[Afstand
per rit
'[km']]]*TblReferentiescoreT132151617418481315[[#This Row],[Gemiddeld
volume
per rit
'[ton']]]*VLOOKUP(TblReferentiescoreT132151617418481315[[#This Row],[Type transportmiddel]],TblType[],2,0),"")</f>
        <v/>
      </c>
      <c r="M16" s="70" t="str">
        <f>IFERROR(TblReferentiescoreT132151617418481315[[#This Row],[Energie-vraag (MJ)]]/stookwaarde_diesel/dichtheid_diesel*emissiefactor_diesel,"")</f>
        <v/>
      </c>
      <c r="N16" s="71" t="str">
        <f>IFERROR(
     TblReferentiescoreT132151617418481315[[#This Row],[Referentie-score]]*
          ((100%-TblReferentiescoreT132151617418481315[[#This Row],[Aandeel
2e energie
-bron]])*INDEX(TblBrandstof[CO2 uitstoot verg 1l diesel],MATCH(TblReferentiescoreT132151617418481315[[#This Row],[Energiebron]],TblBrandstof[Brandstof],0))+
          TblReferentiescoreT132151617418481315[[#This Row],[Aandeel
2e energie
-bron]]*INDEX(TblBrandstof[CO2 uitstoot verg 1l diesel],MATCH(IF(OR(TblReferentiescoreT132151617418481315[[#This Row],[2e energiebron]]="N.v.t.",TblReferentiescoreT132151617418481315[[#This Row],[2e energiebron]]=""),TblReferentiescoreT132151617418481315[[#This Row],[Energiebron]],TblReferentiescoreT132151617418481315[[#This Row],[2e energiebron]]),TblBrandstof[Brandstof],0)))*
      IF(OR(TblReferentiescoreT132151617418481315[[#This Row],[Motortype]]="Elektrisch",TblReferentiescoreT132151617418481315[[#This Row],[Hybride]]="Ja"),TblHybride[Waardering hybride],1),"")</f>
        <v/>
      </c>
      <c r="O16" s="71" t="str">
        <f>IFERROR(TblReferentiescoreT132151617418481315[[#This Row],[CO2-impact
'[kg CO2']]]*IF(INDEX(TblBrandstof[Waardering Euroniveau],MATCH(TblReferentiescoreT132151617418481315[[#This Row],[Energiebron]],TblBrandstof[Brandstof],0)),VLOOKUP(TblReferentiescoreT132151617418481315[[#This Row],[Motortype]],TblMotortypeT[],2,0),1),"")</f>
        <v/>
      </c>
      <c r="P16" s="73" t="str">
        <f>IF(TblReferentiescoreT132151617418481315[[#This Row],[Slibtransport
van rwzi naar rwzi]]&lt;&gt;"",
    IF(TblReferentiescoreT132151617418481315[[#This Row],[Gemiddeld
volume
per rit
'[ton']]]="","Gemiddelde vracht per volle rit niet gevuld",
    IF(TblReferentiescoreT132151617418481315[[#This Row],[Afstand
per rit
'[km']]]="","Afstand per rit niet gevuld",
    IF(TblReferentiescoreT132151617418481315[[#This Row],[Aantal
ritten]]="","Aantal ritten niet gevuld",""))),
  "")</f>
        <v/>
      </c>
    </row>
    <row r="17" spans="1:17" ht="15.75" customHeight="1" x14ac:dyDescent="0.2">
      <c r="A17" s="137" t="s">
        <v>209</v>
      </c>
      <c r="B17" s="136">
        <v>210</v>
      </c>
      <c r="C17" s="64"/>
      <c r="D17" s="65">
        <v>36</v>
      </c>
      <c r="E17" s="82">
        <f t="shared" si="0"/>
        <v>6</v>
      </c>
      <c r="F17" s="83">
        <v>39</v>
      </c>
      <c r="G17" s="66"/>
      <c r="H17" s="67"/>
      <c r="I17" s="67"/>
      <c r="J17" s="68"/>
      <c r="K17" s="69"/>
      <c r="L17" s="70" t="str">
        <f>IFERROR(TblReferentiescoreT132151617418481315[[#This Row],[Aantal
ritten]]*TblReferentiescoreT132151617418481315[[#This Row],[Afstand
per rit
'[km']]]*TblReferentiescoreT132151617418481315[[#This Row],[Gemiddeld
volume
per rit
'[ton']]]*VLOOKUP(TblReferentiescoreT132151617418481315[[#This Row],[Type transportmiddel]],TblType[],2,0),"")</f>
        <v/>
      </c>
      <c r="M17" s="70" t="str">
        <f>IFERROR(TblReferentiescoreT132151617418481315[[#This Row],[Energie-vraag (MJ)]]/stookwaarde_diesel/dichtheid_diesel*emissiefactor_diesel,"")</f>
        <v/>
      </c>
      <c r="N17" s="71" t="str">
        <f>IFERROR(
     TblReferentiescoreT132151617418481315[[#This Row],[Referentie-score]]*
          ((100%-TblReferentiescoreT132151617418481315[[#This Row],[Aandeel
2e energie
-bron]])*INDEX(TblBrandstof[CO2 uitstoot verg 1l diesel],MATCH(TblReferentiescoreT132151617418481315[[#This Row],[Energiebron]],TblBrandstof[Brandstof],0))+
          TblReferentiescoreT132151617418481315[[#This Row],[Aandeel
2e energie
-bron]]*INDEX(TblBrandstof[CO2 uitstoot verg 1l diesel],MATCH(IF(OR(TblReferentiescoreT132151617418481315[[#This Row],[2e energiebron]]="N.v.t.",TblReferentiescoreT132151617418481315[[#This Row],[2e energiebron]]=""),TblReferentiescoreT132151617418481315[[#This Row],[Energiebron]],TblReferentiescoreT132151617418481315[[#This Row],[2e energiebron]]),TblBrandstof[Brandstof],0)))*
      IF(OR(TblReferentiescoreT132151617418481315[[#This Row],[Motortype]]="Elektrisch",TblReferentiescoreT132151617418481315[[#This Row],[Hybride]]="Ja"),TblHybride[Waardering hybride],1),"")</f>
        <v/>
      </c>
      <c r="O17" s="71" t="str">
        <f>IFERROR(TblReferentiescoreT132151617418481315[[#This Row],[CO2-impact
'[kg CO2']]]*IF(INDEX(TblBrandstof[Waardering Euroniveau],MATCH(TblReferentiescoreT132151617418481315[[#This Row],[Energiebron]],TblBrandstof[Brandstof],0)),VLOOKUP(TblReferentiescoreT132151617418481315[[#This Row],[Motortype]],TblMotortypeT[],2,0),1),"")</f>
        <v/>
      </c>
      <c r="P17" s="73" t="str">
        <f>IF(TblReferentiescoreT132151617418481315[[#This Row],[Slibtransport
van rwzi naar rwzi]]&lt;&gt;"",
    IF(TblReferentiescoreT132151617418481315[[#This Row],[Gemiddeld
volume
per rit
'[ton']]]="","Gemiddelde vracht per volle rit niet gevuld",
    IF(TblReferentiescoreT132151617418481315[[#This Row],[Afstand
per rit
'[km']]]="","Afstand per rit niet gevuld",
    IF(TblReferentiescoreT132151617418481315[[#This Row],[Aantal
ritten]]="","Aantal ritten niet gevuld",""))),
  "")</f>
        <v/>
      </c>
    </row>
    <row r="18" spans="1:17" ht="15.75" customHeight="1" x14ac:dyDescent="0.2">
      <c r="A18" s="137" t="s">
        <v>210</v>
      </c>
      <c r="B18" s="136">
        <v>3420</v>
      </c>
      <c r="C18" s="64"/>
      <c r="D18" s="65">
        <v>36</v>
      </c>
      <c r="E18" s="82">
        <f t="shared" si="0"/>
        <v>95</v>
      </c>
      <c r="F18" s="83">
        <v>46.3</v>
      </c>
      <c r="G18" s="66"/>
      <c r="H18" s="67"/>
      <c r="I18" s="67"/>
      <c r="J18" s="68"/>
      <c r="K18" s="69"/>
      <c r="L18" s="70" t="str">
        <f>IFERROR(TblReferentiescoreT132151617418481315[[#This Row],[Aantal
ritten]]*TblReferentiescoreT132151617418481315[[#This Row],[Afstand
per rit
'[km']]]*TblReferentiescoreT132151617418481315[[#This Row],[Gemiddeld
volume
per rit
'[ton']]]*VLOOKUP(TblReferentiescoreT132151617418481315[[#This Row],[Type transportmiddel]],TblType[],2,0),"")</f>
        <v/>
      </c>
      <c r="M18" s="70" t="str">
        <f>IFERROR(TblReferentiescoreT132151617418481315[[#This Row],[Energie-vraag (MJ)]]/stookwaarde_diesel/dichtheid_diesel*emissiefactor_diesel,"")</f>
        <v/>
      </c>
      <c r="N18" s="71" t="str">
        <f>IFERROR(
     TblReferentiescoreT132151617418481315[[#This Row],[Referentie-score]]*
          ((100%-TblReferentiescoreT132151617418481315[[#This Row],[Aandeel
2e energie
-bron]])*INDEX(TblBrandstof[CO2 uitstoot verg 1l diesel],MATCH(TblReferentiescoreT132151617418481315[[#This Row],[Energiebron]],TblBrandstof[Brandstof],0))+
          TblReferentiescoreT132151617418481315[[#This Row],[Aandeel
2e energie
-bron]]*INDEX(TblBrandstof[CO2 uitstoot verg 1l diesel],MATCH(IF(OR(TblReferentiescoreT132151617418481315[[#This Row],[2e energiebron]]="N.v.t.",TblReferentiescoreT132151617418481315[[#This Row],[2e energiebron]]=""),TblReferentiescoreT132151617418481315[[#This Row],[Energiebron]],TblReferentiescoreT132151617418481315[[#This Row],[2e energiebron]]),TblBrandstof[Brandstof],0)))*
      IF(OR(TblReferentiescoreT132151617418481315[[#This Row],[Motortype]]="Elektrisch",TblReferentiescoreT132151617418481315[[#This Row],[Hybride]]="Ja"),TblHybride[Waardering hybride],1),"")</f>
        <v/>
      </c>
      <c r="O18" s="71" t="str">
        <f>IFERROR(TblReferentiescoreT132151617418481315[[#This Row],[CO2-impact
'[kg CO2']]]*IF(INDEX(TblBrandstof[Waardering Euroniveau],MATCH(TblReferentiescoreT132151617418481315[[#This Row],[Energiebron]],TblBrandstof[Brandstof],0)),VLOOKUP(TblReferentiescoreT132151617418481315[[#This Row],[Motortype]],TblMotortypeT[],2,0),1),"")</f>
        <v/>
      </c>
      <c r="P18" s="73" t="str">
        <f>IF(TblReferentiescoreT132151617418481315[[#This Row],[Slibtransport
van rwzi naar rwzi]]&lt;&gt;"",
    IF(TblReferentiescoreT132151617418481315[[#This Row],[Gemiddeld
volume
per rit
'[ton']]]="","Gemiddelde vracht per volle rit niet gevuld",
    IF(TblReferentiescoreT132151617418481315[[#This Row],[Afstand
per rit
'[km']]]="","Afstand per rit niet gevuld",
    IF(TblReferentiescoreT132151617418481315[[#This Row],[Aantal
ritten]]="","Aantal ritten niet gevuld",""))),
  "")</f>
        <v/>
      </c>
    </row>
    <row r="19" spans="1:17" ht="15.75" customHeight="1" x14ac:dyDescent="0.2">
      <c r="A19" s="137" t="s">
        <v>211</v>
      </c>
      <c r="B19" s="136">
        <v>2106</v>
      </c>
      <c r="C19" s="64"/>
      <c r="D19" s="65">
        <v>36</v>
      </c>
      <c r="E19" s="82">
        <f t="shared" si="0"/>
        <v>59</v>
      </c>
      <c r="F19" s="83">
        <v>18.3</v>
      </c>
      <c r="G19" s="66"/>
      <c r="H19" s="67"/>
      <c r="I19" s="67"/>
      <c r="J19" s="68"/>
      <c r="K19" s="69"/>
      <c r="L19" s="70" t="str">
        <f>IFERROR(TblReferentiescoreT132151617418481315[[#This Row],[Aantal
ritten]]*TblReferentiescoreT132151617418481315[[#This Row],[Afstand
per rit
'[km']]]*TblReferentiescoreT132151617418481315[[#This Row],[Gemiddeld
volume
per rit
'[ton']]]*VLOOKUP(TblReferentiescoreT132151617418481315[[#This Row],[Type transportmiddel]],TblType[],2,0),"")</f>
        <v/>
      </c>
      <c r="M19" s="70" t="str">
        <f>IFERROR(TblReferentiescoreT132151617418481315[[#This Row],[Energie-vraag (MJ)]]/stookwaarde_diesel/dichtheid_diesel*emissiefactor_diesel,"")</f>
        <v/>
      </c>
      <c r="N19" s="71" t="str">
        <f>IFERROR(
     TblReferentiescoreT132151617418481315[[#This Row],[Referentie-score]]*
          ((100%-TblReferentiescoreT132151617418481315[[#This Row],[Aandeel
2e energie
-bron]])*INDEX(TblBrandstof[CO2 uitstoot verg 1l diesel],MATCH(TblReferentiescoreT132151617418481315[[#This Row],[Energiebron]],TblBrandstof[Brandstof],0))+
          TblReferentiescoreT132151617418481315[[#This Row],[Aandeel
2e energie
-bron]]*INDEX(TblBrandstof[CO2 uitstoot verg 1l diesel],MATCH(IF(OR(TblReferentiescoreT132151617418481315[[#This Row],[2e energiebron]]="N.v.t.",TblReferentiescoreT132151617418481315[[#This Row],[2e energiebron]]=""),TblReferentiescoreT132151617418481315[[#This Row],[Energiebron]],TblReferentiescoreT132151617418481315[[#This Row],[2e energiebron]]),TblBrandstof[Brandstof],0)))*
      IF(OR(TblReferentiescoreT132151617418481315[[#This Row],[Motortype]]="Elektrisch",TblReferentiescoreT132151617418481315[[#This Row],[Hybride]]="Ja"),TblHybride[Waardering hybride],1),"")</f>
        <v/>
      </c>
      <c r="O19" s="71" t="str">
        <f>IFERROR(TblReferentiescoreT132151617418481315[[#This Row],[CO2-impact
'[kg CO2']]]*IF(INDEX(TblBrandstof[Waardering Euroniveau],MATCH(TblReferentiescoreT132151617418481315[[#This Row],[Energiebron]],TblBrandstof[Brandstof],0)),VLOOKUP(TblReferentiescoreT132151617418481315[[#This Row],[Motortype]],TblMotortypeT[],2,0),1),"")</f>
        <v/>
      </c>
      <c r="P19" s="73" t="str">
        <f>IF(TblReferentiescoreT132151617418481315[[#This Row],[Slibtransport
van rwzi naar rwzi]]&lt;&gt;"",
    IF(TblReferentiescoreT132151617418481315[[#This Row],[Gemiddeld
volume
per rit
'[ton']]]="","Gemiddelde vracht per volle rit niet gevuld",
    IF(TblReferentiescoreT132151617418481315[[#This Row],[Afstand
per rit
'[km']]]="","Afstand per rit niet gevuld",
    IF(TblReferentiescoreT132151617418481315[[#This Row],[Aantal
ritten]]="","Aantal ritten niet gevuld",""))),
  "")</f>
        <v/>
      </c>
    </row>
    <row r="20" spans="1:17" ht="15.75" customHeight="1" x14ac:dyDescent="0.2">
      <c r="A20" s="137" t="s">
        <v>212</v>
      </c>
      <c r="B20" s="136">
        <v>5072</v>
      </c>
      <c r="C20" s="64"/>
      <c r="D20" s="65">
        <v>36</v>
      </c>
      <c r="E20" s="82">
        <f t="shared" si="0"/>
        <v>141</v>
      </c>
      <c r="F20" s="83">
        <v>27.5</v>
      </c>
      <c r="G20" s="66"/>
      <c r="H20" s="67"/>
      <c r="I20" s="67"/>
      <c r="J20" s="68"/>
      <c r="K20" s="69"/>
      <c r="L20" s="70" t="str">
        <f>IFERROR(TblReferentiescoreT132151617418481315[[#This Row],[Aantal
ritten]]*TblReferentiescoreT132151617418481315[[#This Row],[Afstand
per rit
'[km']]]*TblReferentiescoreT132151617418481315[[#This Row],[Gemiddeld
volume
per rit
'[ton']]]*VLOOKUP(TblReferentiescoreT132151617418481315[[#This Row],[Type transportmiddel]],TblType[],2,0),"")</f>
        <v/>
      </c>
      <c r="M20" s="70" t="str">
        <f>IFERROR(TblReferentiescoreT132151617418481315[[#This Row],[Energie-vraag (MJ)]]/stookwaarde_diesel/dichtheid_diesel*emissiefactor_diesel,"")</f>
        <v/>
      </c>
      <c r="N20" s="71" t="str">
        <f>IFERROR(
     TblReferentiescoreT132151617418481315[[#This Row],[Referentie-score]]*
          ((100%-TblReferentiescoreT132151617418481315[[#This Row],[Aandeel
2e energie
-bron]])*INDEX(TblBrandstof[CO2 uitstoot verg 1l diesel],MATCH(TblReferentiescoreT132151617418481315[[#This Row],[Energiebron]],TblBrandstof[Brandstof],0))+
          TblReferentiescoreT132151617418481315[[#This Row],[Aandeel
2e energie
-bron]]*INDEX(TblBrandstof[CO2 uitstoot verg 1l diesel],MATCH(IF(OR(TblReferentiescoreT132151617418481315[[#This Row],[2e energiebron]]="N.v.t.",TblReferentiescoreT132151617418481315[[#This Row],[2e energiebron]]=""),TblReferentiescoreT132151617418481315[[#This Row],[Energiebron]],TblReferentiescoreT132151617418481315[[#This Row],[2e energiebron]]),TblBrandstof[Brandstof],0)))*
      IF(OR(TblReferentiescoreT132151617418481315[[#This Row],[Motortype]]="Elektrisch",TblReferentiescoreT132151617418481315[[#This Row],[Hybride]]="Ja"),TblHybride[Waardering hybride],1),"")</f>
        <v/>
      </c>
      <c r="O20" s="71" t="str">
        <f>IFERROR(TblReferentiescoreT132151617418481315[[#This Row],[CO2-impact
'[kg CO2']]]*IF(INDEX(TblBrandstof[Waardering Euroniveau],MATCH(TblReferentiescoreT132151617418481315[[#This Row],[Energiebron]],TblBrandstof[Brandstof],0)),VLOOKUP(TblReferentiescoreT132151617418481315[[#This Row],[Motortype]],TblMotortypeT[],2,0),1),"")</f>
        <v/>
      </c>
      <c r="P20" s="73" t="str">
        <f>IF(TblReferentiescoreT132151617418481315[[#This Row],[Slibtransport
van rwzi naar rwzi]]&lt;&gt;"",
    IF(TblReferentiescoreT132151617418481315[[#This Row],[Gemiddeld
volume
per rit
'[ton']]]="","Gemiddelde vracht per volle rit niet gevuld",
    IF(TblReferentiescoreT132151617418481315[[#This Row],[Afstand
per rit
'[km']]]="","Afstand per rit niet gevuld",
    IF(TblReferentiescoreT132151617418481315[[#This Row],[Aantal
ritten]]="","Aantal ritten niet gevuld",""))),
  "")</f>
        <v/>
      </c>
    </row>
    <row r="21" spans="1:17" ht="15.75" customHeight="1" x14ac:dyDescent="0.2">
      <c r="A21" s="137" t="s">
        <v>213</v>
      </c>
      <c r="B21" s="136">
        <v>1689</v>
      </c>
      <c r="C21" s="64"/>
      <c r="D21" s="65">
        <v>36</v>
      </c>
      <c r="E21" s="82">
        <f t="shared" si="0"/>
        <v>47</v>
      </c>
      <c r="F21" s="83">
        <v>36.299999999999997</v>
      </c>
      <c r="G21" s="66"/>
      <c r="H21" s="67"/>
      <c r="I21" s="67"/>
      <c r="J21" s="68"/>
      <c r="K21" s="69"/>
      <c r="L21" s="70" t="str">
        <f>IFERROR(TblReferentiescoreT132151617418481315[[#This Row],[Aantal
ritten]]*TblReferentiescoreT132151617418481315[[#This Row],[Afstand
per rit
'[km']]]*TblReferentiescoreT132151617418481315[[#This Row],[Gemiddeld
volume
per rit
'[ton']]]*VLOOKUP(TblReferentiescoreT132151617418481315[[#This Row],[Type transportmiddel]],TblType[],2,0),"")</f>
        <v/>
      </c>
      <c r="M21" s="70" t="str">
        <f>IFERROR(TblReferentiescoreT132151617418481315[[#This Row],[Energie-vraag (MJ)]]/stookwaarde_diesel/dichtheid_diesel*emissiefactor_diesel,"")</f>
        <v/>
      </c>
      <c r="N21" s="71" t="str">
        <f>IFERROR(
     TblReferentiescoreT132151617418481315[[#This Row],[Referentie-score]]*
          ((100%-TblReferentiescoreT132151617418481315[[#This Row],[Aandeel
2e energie
-bron]])*INDEX(TblBrandstof[CO2 uitstoot verg 1l diesel],MATCH(TblReferentiescoreT132151617418481315[[#This Row],[Energiebron]],TblBrandstof[Brandstof],0))+
          TblReferentiescoreT132151617418481315[[#This Row],[Aandeel
2e energie
-bron]]*INDEX(TblBrandstof[CO2 uitstoot verg 1l diesel],MATCH(IF(OR(TblReferentiescoreT132151617418481315[[#This Row],[2e energiebron]]="N.v.t.",TblReferentiescoreT132151617418481315[[#This Row],[2e energiebron]]=""),TblReferentiescoreT132151617418481315[[#This Row],[Energiebron]],TblReferentiescoreT132151617418481315[[#This Row],[2e energiebron]]),TblBrandstof[Brandstof],0)))*
      IF(OR(TblReferentiescoreT132151617418481315[[#This Row],[Motortype]]="Elektrisch",TblReferentiescoreT132151617418481315[[#This Row],[Hybride]]="Ja"),TblHybride[Waardering hybride],1),"")</f>
        <v/>
      </c>
      <c r="O21" s="71" t="str">
        <f>IFERROR(TblReferentiescoreT132151617418481315[[#This Row],[CO2-impact
'[kg CO2']]]*IF(INDEX(TblBrandstof[Waardering Euroniveau],MATCH(TblReferentiescoreT132151617418481315[[#This Row],[Energiebron]],TblBrandstof[Brandstof],0)),VLOOKUP(TblReferentiescoreT132151617418481315[[#This Row],[Motortype]],TblMotortypeT[],2,0),1),"")</f>
        <v/>
      </c>
      <c r="P21" s="73" t="str">
        <f>IF(TblReferentiescoreT132151617418481315[[#This Row],[Slibtransport
van rwzi naar rwzi]]&lt;&gt;"",
    IF(TblReferentiescoreT132151617418481315[[#This Row],[Gemiddeld
volume
per rit
'[ton']]]="","Gemiddelde vracht per volle rit niet gevuld",
    IF(TblReferentiescoreT132151617418481315[[#This Row],[Afstand
per rit
'[km']]]="","Afstand per rit niet gevuld",
    IF(TblReferentiescoreT132151617418481315[[#This Row],[Aantal
ritten]]="","Aantal ritten niet gevuld",""))),
  "")</f>
        <v/>
      </c>
    </row>
    <row r="22" spans="1:17" ht="15.75" customHeight="1" x14ac:dyDescent="0.2">
      <c r="A22" s="137" t="s">
        <v>214</v>
      </c>
      <c r="B22" s="136">
        <v>4509</v>
      </c>
      <c r="C22" s="64"/>
      <c r="D22" s="65">
        <v>36</v>
      </c>
      <c r="E22" s="82">
        <f t="shared" si="0"/>
        <v>126</v>
      </c>
      <c r="F22" s="83">
        <v>25.3</v>
      </c>
      <c r="G22" s="66"/>
      <c r="H22" s="67"/>
      <c r="I22" s="67"/>
      <c r="J22" s="68"/>
      <c r="K22" s="69"/>
      <c r="L22" s="70" t="str">
        <f>IFERROR(TblReferentiescoreT132151617418481315[[#This Row],[Aantal
ritten]]*TblReferentiescoreT132151617418481315[[#This Row],[Afstand
per rit
'[km']]]*TblReferentiescoreT132151617418481315[[#This Row],[Gemiddeld
volume
per rit
'[ton']]]*VLOOKUP(TblReferentiescoreT132151617418481315[[#This Row],[Type transportmiddel]],TblType[],2,0),"")</f>
        <v/>
      </c>
      <c r="M22" s="70" t="str">
        <f>IFERROR(TblReferentiescoreT132151617418481315[[#This Row],[Energie-vraag (MJ)]]/stookwaarde_diesel/dichtheid_diesel*emissiefactor_diesel,"")</f>
        <v/>
      </c>
      <c r="N22" s="71" t="str">
        <f>IFERROR(
     TblReferentiescoreT132151617418481315[[#This Row],[Referentie-score]]*
          ((100%-TblReferentiescoreT132151617418481315[[#This Row],[Aandeel
2e energie
-bron]])*INDEX(TblBrandstof[CO2 uitstoot verg 1l diesel],MATCH(TblReferentiescoreT132151617418481315[[#This Row],[Energiebron]],TblBrandstof[Brandstof],0))+
          TblReferentiescoreT132151617418481315[[#This Row],[Aandeel
2e energie
-bron]]*INDEX(TblBrandstof[CO2 uitstoot verg 1l diesel],MATCH(IF(OR(TblReferentiescoreT132151617418481315[[#This Row],[2e energiebron]]="N.v.t.",TblReferentiescoreT132151617418481315[[#This Row],[2e energiebron]]=""),TblReferentiescoreT132151617418481315[[#This Row],[Energiebron]],TblReferentiescoreT132151617418481315[[#This Row],[2e energiebron]]),TblBrandstof[Brandstof],0)))*
      IF(OR(TblReferentiescoreT132151617418481315[[#This Row],[Motortype]]="Elektrisch",TblReferentiescoreT132151617418481315[[#This Row],[Hybride]]="Ja"),TblHybride[Waardering hybride],1),"")</f>
        <v/>
      </c>
      <c r="O22" s="71" t="str">
        <f>IFERROR(TblReferentiescoreT132151617418481315[[#This Row],[CO2-impact
'[kg CO2']]]*IF(INDEX(TblBrandstof[Waardering Euroniveau],MATCH(TblReferentiescoreT132151617418481315[[#This Row],[Energiebron]],TblBrandstof[Brandstof],0)),VLOOKUP(TblReferentiescoreT132151617418481315[[#This Row],[Motortype]],TblMotortypeT[],2,0),1),"")</f>
        <v/>
      </c>
      <c r="P22" s="73" t="str">
        <f>IF(TblReferentiescoreT132151617418481315[[#This Row],[Slibtransport
van rwzi naar rwzi]]&lt;&gt;"",
    IF(TblReferentiescoreT132151617418481315[[#This Row],[Gemiddeld
volume
per rit
'[ton']]]="","Gemiddelde vracht per volle rit niet gevuld",
    IF(TblReferentiescoreT132151617418481315[[#This Row],[Afstand
per rit
'[km']]]="","Afstand per rit niet gevuld",
    IF(TblReferentiescoreT132151617418481315[[#This Row],[Aantal
ritten]]="","Aantal ritten niet gevuld",""))),
  "")</f>
        <v/>
      </c>
    </row>
    <row r="23" spans="1:17" ht="15.75" customHeight="1" x14ac:dyDescent="0.2">
      <c r="A23" s="137" t="s">
        <v>215</v>
      </c>
      <c r="B23" s="136">
        <v>144</v>
      </c>
      <c r="C23" s="64"/>
      <c r="D23" s="65">
        <v>36</v>
      </c>
      <c r="E23" s="82">
        <f t="shared" si="0"/>
        <v>4</v>
      </c>
      <c r="F23" s="83">
        <v>13.7</v>
      </c>
      <c r="G23" s="66"/>
      <c r="H23" s="67"/>
      <c r="I23" s="67"/>
      <c r="J23" s="68"/>
      <c r="K23" s="69"/>
      <c r="L23" s="70" t="str">
        <f>IFERROR(TblReferentiescoreT132151617418481315[[#This Row],[Aantal
ritten]]*TblReferentiescoreT132151617418481315[[#This Row],[Afstand
per rit
'[km']]]*TblReferentiescoreT132151617418481315[[#This Row],[Gemiddeld
volume
per rit
'[ton']]]*VLOOKUP(TblReferentiescoreT132151617418481315[[#This Row],[Type transportmiddel]],TblType[],2,0),"")</f>
        <v/>
      </c>
      <c r="M23" s="70" t="str">
        <f>IFERROR(TblReferentiescoreT132151617418481315[[#This Row],[Energie-vraag (MJ)]]/stookwaarde_diesel/dichtheid_diesel*emissiefactor_diesel,"")</f>
        <v/>
      </c>
      <c r="N23" s="71" t="str">
        <f>IFERROR(
     TblReferentiescoreT132151617418481315[[#This Row],[Referentie-score]]*
          ((100%-TblReferentiescoreT132151617418481315[[#This Row],[Aandeel
2e energie
-bron]])*INDEX(TblBrandstof[CO2 uitstoot verg 1l diesel],MATCH(TblReferentiescoreT132151617418481315[[#This Row],[Energiebron]],TblBrandstof[Brandstof],0))+
          TblReferentiescoreT132151617418481315[[#This Row],[Aandeel
2e energie
-bron]]*INDEX(TblBrandstof[CO2 uitstoot verg 1l diesel],MATCH(IF(OR(TblReferentiescoreT132151617418481315[[#This Row],[2e energiebron]]="N.v.t.",TblReferentiescoreT132151617418481315[[#This Row],[2e energiebron]]=""),TblReferentiescoreT132151617418481315[[#This Row],[Energiebron]],TblReferentiescoreT132151617418481315[[#This Row],[2e energiebron]]),TblBrandstof[Brandstof],0)))*
      IF(OR(TblReferentiescoreT132151617418481315[[#This Row],[Motortype]]="Elektrisch",TblReferentiescoreT132151617418481315[[#This Row],[Hybride]]="Ja"),TblHybride[Waardering hybride],1),"")</f>
        <v/>
      </c>
      <c r="O23" s="71" t="str">
        <f>IFERROR(TblReferentiescoreT132151617418481315[[#This Row],[CO2-impact
'[kg CO2']]]*IF(INDEX(TblBrandstof[Waardering Euroniveau],MATCH(TblReferentiescoreT132151617418481315[[#This Row],[Energiebron]],TblBrandstof[Brandstof],0)),VLOOKUP(TblReferentiescoreT132151617418481315[[#This Row],[Motortype]],TblMotortypeT[],2,0),1),"")</f>
        <v/>
      </c>
      <c r="P23" s="73" t="str">
        <f>IF(TblReferentiescoreT132151617418481315[[#This Row],[Slibtransport
van rwzi naar rwzi]]&lt;&gt;"",
    IF(TblReferentiescoreT132151617418481315[[#This Row],[Gemiddeld
volume
per rit
'[ton']]]="","Gemiddelde vracht per volle rit niet gevuld",
    IF(TblReferentiescoreT132151617418481315[[#This Row],[Afstand
per rit
'[km']]]="","Afstand per rit niet gevuld",
    IF(TblReferentiescoreT132151617418481315[[#This Row],[Aantal
ritten]]="","Aantal ritten niet gevuld",""))),
  "")</f>
        <v/>
      </c>
    </row>
    <row r="24" spans="1:17" ht="15.75" customHeight="1" x14ac:dyDescent="0.2">
      <c r="A24" s="137" t="s">
        <v>217</v>
      </c>
      <c r="B24" s="136">
        <v>3765</v>
      </c>
      <c r="C24" s="64"/>
      <c r="D24" s="65">
        <v>36</v>
      </c>
      <c r="E24" s="82">
        <f t="shared" si="0"/>
        <v>105</v>
      </c>
      <c r="F24" s="83">
        <v>24.8</v>
      </c>
      <c r="G24" s="66"/>
      <c r="H24" s="67"/>
      <c r="I24" s="67"/>
      <c r="J24" s="68"/>
      <c r="K24" s="69"/>
      <c r="L24" s="70" t="str">
        <f>IFERROR(TblReferentiescoreT132151617418481315[[#This Row],[Aantal
ritten]]*TblReferentiescoreT132151617418481315[[#This Row],[Afstand
per rit
'[km']]]*TblReferentiescoreT132151617418481315[[#This Row],[Gemiddeld
volume
per rit
'[ton']]]*VLOOKUP(TblReferentiescoreT132151617418481315[[#This Row],[Type transportmiddel]],TblType[],2,0),"")</f>
        <v/>
      </c>
      <c r="M24" s="70" t="str">
        <f>IFERROR(TblReferentiescoreT132151617418481315[[#This Row],[Energie-vraag (MJ)]]/stookwaarde_diesel/dichtheid_diesel*emissiefactor_diesel,"")</f>
        <v/>
      </c>
      <c r="N24" s="71" t="str">
        <f>IFERROR(
     TblReferentiescoreT132151617418481315[[#This Row],[Referentie-score]]*
          ((100%-TblReferentiescoreT132151617418481315[[#This Row],[Aandeel
2e energie
-bron]])*INDEX(TblBrandstof[CO2 uitstoot verg 1l diesel],MATCH(TblReferentiescoreT132151617418481315[[#This Row],[Energiebron]],TblBrandstof[Brandstof],0))+
          TblReferentiescoreT132151617418481315[[#This Row],[Aandeel
2e energie
-bron]]*INDEX(TblBrandstof[CO2 uitstoot verg 1l diesel],MATCH(IF(OR(TblReferentiescoreT132151617418481315[[#This Row],[2e energiebron]]="N.v.t.",TblReferentiescoreT132151617418481315[[#This Row],[2e energiebron]]=""),TblReferentiescoreT132151617418481315[[#This Row],[Energiebron]],TblReferentiescoreT132151617418481315[[#This Row],[2e energiebron]]),TblBrandstof[Brandstof],0)))*
      IF(OR(TblReferentiescoreT132151617418481315[[#This Row],[Motortype]]="Elektrisch",TblReferentiescoreT132151617418481315[[#This Row],[Hybride]]="Ja"),TblHybride[Waardering hybride],1),"")</f>
        <v/>
      </c>
      <c r="O24" s="71" t="str">
        <f>IFERROR(TblReferentiescoreT132151617418481315[[#This Row],[CO2-impact
'[kg CO2']]]*IF(INDEX(TblBrandstof[Waardering Euroniveau],MATCH(TblReferentiescoreT132151617418481315[[#This Row],[Energiebron]],TblBrandstof[Brandstof],0)),VLOOKUP(TblReferentiescoreT132151617418481315[[#This Row],[Motortype]],TblMotortypeT[],2,0),1),"")</f>
        <v/>
      </c>
      <c r="P24" s="73" t="str">
        <f>IF(TblReferentiescoreT132151617418481315[[#This Row],[Slibtransport
van rwzi naar rwzi]]&lt;&gt;"",
    IF(TblReferentiescoreT132151617418481315[[#This Row],[Gemiddeld
volume
per rit
'[ton']]]="","Gemiddelde vracht per volle rit niet gevuld",
    IF(TblReferentiescoreT132151617418481315[[#This Row],[Afstand
per rit
'[km']]]="","Afstand per rit niet gevuld",
    IF(TblReferentiescoreT132151617418481315[[#This Row],[Aantal
ritten]]="","Aantal ritten niet gevuld",""))),
  "")</f>
        <v/>
      </c>
    </row>
    <row r="25" spans="1:17" ht="15.75" customHeight="1" thickBot="1" x14ac:dyDescent="0.25">
      <c r="A25" s="137" t="s">
        <v>216</v>
      </c>
      <c r="B25" s="136">
        <v>72</v>
      </c>
      <c r="C25" s="64"/>
      <c r="D25" s="65">
        <v>36</v>
      </c>
      <c r="E25" s="82">
        <f t="shared" si="0"/>
        <v>2</v>
      </c>
      <c r="F25" s="83">
        <v>35.9</v>
      </c>
      <c r="G25" s="66"/>
      <c r="H25" s="67"/>
      <c r="I25" s="67"/>
      <c r="J25" s="68"/>
      <c r="K25" s="69"/>
      <c r="L25" s="70" t="str">
        <f>IFERROR(TblReferentiescoreT132151617418481315[[#This Row],[Aantal
ritten]]*TblReferentiescoreT132151617418481315[[#This Row],[Afstand
per rit
'[km']]]*TblReferentiescoreT132151617418481315[[#This Row],[Gemiddeld
volume
per rit
'[ton']]]*VLOOKUP(TblReferentiescoreT132151617418481315[[#This Row],[Type transportmiddel]],TblType[],2,0),"")</f>
        <v/>
      </c>
      <c r="M25" s="70" t="str">
        <f>IFERROR(TblReferentiescoreT132151617418481315[[#This Row],[Energie-vraag (MJ)]]/stookwaarde_diesel/dichtheid_diesel*emissiefactor_diesel,"")</f>
        <v/>
      </c>
      <c r="N25" s="71" t="str">
        <f>IFERROR(
     TblReferentiescoreT132151617418481315[[#This Row],[Referentie-score]]*
          ((100%-TblReferentiescoreT132151617418481315[[#This Row],[Aandeel
2e energie
-bron]])*INDEX(TblBrandstof[CO2 uitstoot verg 1l diesel],MATCH(TblReferentiescoreT132151617418481315[[#This Row],[Energiebron]],TblBrandstof[Brandstof],0))+
          TblReferentiescoreT132151617418481315[[#This Row],[Aandeel
2e energie
-bron]]*INDEX(TblBrandstof[CO2 uitstoot verg 1l diesel],MATCH(IF(OR(TblReferentiescoreT132151617418481315[[#This Row],[2e energiebron]]="N.v.t.",TblReferentiescoreT132151617418481315[[#This Row],[2e energiebron]]=""),TblReferentiescoreT132151617418481315[[#This Row],[Energiebron]],TblReferentiescoreT132151617418481315[[#This Row],[2e energiebron]]),TblBrandstof[Brandstof],0)))*
      IF(OR(TblReferentiescoreT132151617418481315[[#This Row],[Motortype]]="Elektrisch",TblReferentiescoreT132151617418481315[[#This Row],[Hybride]]="Ja"),TblHybride[Waardering hybride],1),"")</f>
        <v/>
      </c>
      <c r="O25" s="71" t="str">
        <f>IFERROR(TblReferentiescoreT132151617418481315[[#This Row],[CO2-impact
'[kg CO2']]]*IF(INDEX(TblBrandstof[Waardering Euroniveau],MATCH(TblReferentiescoreT132151617418481315[[#This Row],[Energiebron]],TblBrandstof[Brandstof],0)),VLOOKUP(TblReferentiescoreT132151617418481315[[#This Row],[Motortype]],TblMotortypeT[],2,0),1),"")</f>
        <v/>
      </c>
      <c r="P25" s="73" t="str">
        <f>IF(TblReferentiescoreT132151617418481315[[#This Row],[Slibtransport
van rwzi naar rwzi]]&lt;&gt;"",
    IF(TblReferentiescoreT132151617418481315[[#This Row],[Gemiddeld
volume
per rit
'[ton']]]="","Gemiddelde vracht per volle rit niet gevuld",
    IF(TblReferentiescoreT132151617418481315[[#This Row],[Afstand
per rit
'[km']]]="","Afstand per rit niet gevuld",
    IF(TblReferentiescoreT132151617418481315[[#This Row],[Aantal
ritten]]="","Aantal ritten niet gevuld",""))),
  "")</f>
        <v/>
      </c>
    </row>
    <row r="26" spans="1:17" s="45" customFormat="1" ht="15.75" thickBot="1" x14ac:dyDescent="0.25">
      <c r="A26" s="46" t="s">
        <v>159</v>
      </c>
      <c r="B26" s="48">
        <f>SUBTOTAL(109,TblReferentiescoreT132151617418481315[Gemiddeld
volume 
per jaar
'[ton']])</f>
        <v>114305</v>
      </c>
      <c r="C26" s="48"/>
      <c r="D26" s="48"/>
      <c r="E26" s="48"/>
      <c r="F26" s="48"/>
      <c r="G26" s="48"/>
      <c r="H26" s="48"/>
      <c r="I26" s="48"/>
      <c r="J26" s="48"/>
      <c r="K26" s="48"/>
      <c r="L26" s="47"/>
      <c r="M26" s="48">
        <f>SUBTOTAL(109,TblReferentiescoreT132151617418481315[Referentie-score])</f>
        <v>0</v>
      </c>
      <c r="N26" s="79">
        <f>SUBTOTAL(109,TblReferentiescoreT132151617418481315[CO2-impact
'[kg CO2']])</f>
        <v>0</v>
      </c>
      <c r="O26" s="79">
        <f>SUBTOTAL(109,TblReferentiescoreT132151617418481315[Transport
score])</f>
        <v>0</v>
      </c>
      <c r="P26" s="48"/>
    </row>
    <row r="27" spans="1:17" x14ac:dyDescent="0.2">
      <c r="C27" s="74"/>
      <c r="D27" s="74"/>
      <c r="E27" s="75"/>
      <c r="F27" s="74"/>
      <c r="N27" s="54"/>
      <c r="O27" s="54" t="s">
        <v>197</v>
      </c>
    </row>
    <row r="28" spans="1:17" x14ac:dyDescent="0.2">
      <c r="Q28" s="49"/>
    </row>
    <row r="29" spans="1:17" x14ac:dyDescent="0.2">
      <c r="A29" s="50"/>
      <c r="B29" s="50"/>
      <c r="C29" s="85"/>
      <c r="D29" s="49"/>
      <c r="E29" s="85"/>
      <c r="F29" s="85"/>
      <c r="Q29" s="49"/>
    </row>
    <row r="30" spans="1:17" x14ac:dyDescent="0.2">
      <c r="A30" s="50"/>
      <c r="B30" s="50"/>
      <c r="C30" s="85"/>
      <c r="D30" s="49"/>
      <c r="E30" s="86"/>
      <c r="F30" s="85"/>
      <c r="Q30" s="51"/>
    </row>
    <row r="31" spans="1:17" x14ac:dyDescent="0.2">
      <c r="A31" s="50"/>
      <c r="B31" s="50"/>
      <c r="C31" s="154"/>
      <c r="D31" s="49"/>
      <c r="E31" s="85"/>
      <c r="F31" s="85"/>
    </row>
  </sheetData>
  <sheetProtection algorithmName="SHA-512" hashValue="x/zxLYt6JQVQ1diXz/xxFZnVR7XoC3uLUmQfpQq+73rAkxNf8vj/LuEttEF5FBDeMqdh5Ys3doatwViTLzlqfQ==" saltValue="/BX0ijPutSYJKOH3T81BNw==" spinCount="100000" sheet="1" selectLockedCells="1"/>
  <mergeCells count="2">
    <mergeCell ref="B2:C2"/>
    <mergeCell ref="B3:C3"/>
  </mergeCells>
  <dataValidations count="7">
    <dataValidation type="list" allowBlank="1" showInputMessage="1" showErrorMessage="1" sqref="H6:H25" xr:uid="{979ABA1F-AFDC-4021-87C0-3D6771A5772B}">
      <formula1>INDIRECT(LEFT(G6,5))</formula1>
    </dataValidation>
    <dataValidation type="list" allowBlank="1" showInputMessage="1" showErrorMessage="1" sqref="I6:I25" xr:uid="{98CCC3DC-FB69-4C28-B29B-156C9B8822D2}">
      <formula1>INDIRECT(LEFT(SUBSTITUTE(SUBSTITUTE(H6," ","_"),"(","_"),10))</formula1>
    </dataValidation>
    <dataValidation type="list" allowBlank="1" showInputMessage="1" showErrorMessage="1" sqref="C6:C25" xr:uid="{92AEF1B4-EE81-4F01-AEAD-F9CC065F0EF1}">
      <formula1>types</formula1>
    </dataValidation>
    <dataValidation type="list" allowBlank="1" showInputMessage="1" showErrorMessage="1" sqref="G6:G25" xr:uid="{FAB68B5C-F324-42F0-A213-17CB3331C607}">
      <formula1>motortypest</formula1>
    </dataValidation>
    <dataValidation type="decimal" allowBlank="1" showInputMessage="1" showErrorMessage="1" sqref="J6:J25" xr:uid="{71902B7F-5129-4A16-BFD1-AE36B2CE2212}">
      <formula1>0</formula1>
      <formula2>1</formula2>
    </dataValidation>
    <dataValidation type="list" allowBlank="1" showInputMessage="1" showErrorMessage="1" sqref="K6:K25" xr:uid="{B9AA2DB9-2735-4504-8442-BC9E9ACA3773}">
      <formula1>"Ja,Nee"</formula1>
    </dataValidation>
    <dataValidation type="whole" allowBlank="1" showInputMessage="1" showErrorMessage="1" prompt="Numerieke waarde" sqref="D6:F25" xr:uid="{2341D7FC-4C43-4F8E-B4E4-2E8B2EECB3DB}">
      <formula1>1</formula1>
      <formula2>999999</formula2>
    </dataValidation>
  </dataValidations>
  <pageMargins left="0.25" right="0.25" top="0.75" bottom="0.75" header="0.3" footer="0.3"/>
  <pageSetup paperSize="9" scale="7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4817" r:id="rId4" name="Button 1">
              <controlPr defaultSize="0" print="0" autoFill="0" autoPict="0" macro="[0]!export.export">
                <anchor moveWithCells="1" sizeWithCells="1">
                  <from>
                    <xdr:col>3</xdr:col>
                    <xdr:colOff>76200</xdr:colOff>
                    <xdr:row>1</xdr:row>
                    <xdr:rowOff>190500</xdr:rowOff>
                  </from>
                  <to>
                    <xdr:col>5</xdr:col>
                    <xdr:colOff>9525</xdr:colOff>
                    <xdr:row>3</xdr:row>
                    <xdr:rowOff>0</xdr:rowOff>
                  </to>
                </anchor>
              </controlPr>
            </control>
          </mc:Choice>
        </mc:AlternateContent>
      </controls>
    </mc:Choice>
  </mc:AlternateContent>
  <tableParts count="1">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ssiernummer xmlns="d1f98e13-aa7d-4b2c-92d4-e93297fb1158">HHNK/19005375</Dossiernummer>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B91D7C36253F948BA2C8B3FBEBC2FE0" ma:contentTypeVersion="0" ma:contentTypeDescription="Een nieuw document maken." ma:contentTypeScope="" ma:versionID="a37a1cf070a6ee91e8ffab67b8fdc73a">
  <xsd:schema xmlns:xsd="http://www.w3.org/2001/XMLSchema" xmlns:xs="http://www.w3.org/2001/XMLSchema" xmlns:p="http://schemas.microsoft.com/office/2006/metadata/properties" xmlns:ns2="d1f98e13-aa7d-4b2c-92d4-e93297fb1158" targetNamespace="http://schemas.microsoft.com/office/2006/metadata/properties" ma:root="true" ma:fieldsID="0ec64502bbc691d07d9ec5c8911fa4d4" ns2:_="">
    <xsd:import namespace="d1f98e13-aa7d-4b2c-92d4-e93297fb1158"/>
    <xsd:element name="properties">
      <xsd:complexType>
        <xsd:sequence>
          <xsd:element name="documentManagement">
            <xsd:complexType>
              <xsd:all>
                <xsd:element ref="ns2:Dossiernumm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f98e13-aa7d-4b2c-92d4-e93297fb1158" elementFormDefault="qualified">
    <xsd:import namespace="http://schemas.microsoft.com/office/2006/documentManagement/types"/>
    <xsd:import namespace="http://schemas.microsoft.com/office/infopath/2007/PartnerControls"/>
    <xsd:element name="Dossiernummer" ma:index="8" nillable="true" ma:displayName="Dossiernummer" ma:default="HHNK/19005375" ma:internalName="Dossiernumme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155F2E-B692-41F8-B58D-B305D16A9533}">
  <ds:schemaRefs>
    <ds:schemaRef ds:uri="http://schemas.microsoft.com/sharepoint/v3/contenttype/forms"/>
  </ds:schemaRefs>
</ds:datastoreItem>
</file>

<file path=customXml/itemProps2.xml><?xml version="1.0" encoding="utf-8"?>
<ds:datastoreItem xmlns:ds="http://schemas.openxmlformats.org/officeDocument/2006/customXml" ds:itemID="{797F6951-EF6F-424D-A76C-71EA8F43F535}">
  <ds:schemaRefs>
    <ds:schemaRef ds:uri="http://schemas.microsoft.com/office/2006/metadata/properties"/>
    <ds:schemaRef ds:uri="http://schemas.microsoft.com/office/infopath/2007/PartnerControls"/>
    <ds:schemaRef ds:uri="d1f98e13-aa7d-4b2c-92d4-e93297fb1158"/>
  </ds:schemaRefs>
</ds:datastoreItem>
</file>

<file path=customXml/itemProps3.xml><?xml version="1.0" encoding="utf-8"?>
<ds:datastoreItem xmlns:ds="http://schemas.openxmlformats.org/officeDocument/2006/customXml" ds:itemID="{3611EFCB-DA1F-479A-ABB8-252300BD74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f98e13-aa7d-4b2c-92d4-e93297fb11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14</vt:i4>
      </vt:variant>
      <vt:variant>
        <vt:lpstr>Benoemde bereiken</vt:lpstr>
      </vt:variant>
      <vt:variant>
        <vt:i4>111</vt:i4>
      </vt:variant>
    </vt:vector>
  </HeadingPairs>
  <TitlesOfParts>
    <vt:vector size="125" baseType="lpstr">
      <vt:lpstr>Maatregelscore MW</vt:lpstr>
      <vt:lpstr>Toelichting</vt:lpstr>
      <vt:lpstr>Maatregelscore T</vt:lpstr>
      <vt:lpstr>Transportkosten</vt:lpstr>
      <vt:lpstr>Overige kosten</vt:lpstr>
      <vt:lpstr>Jaar 1</vt:lpstr>
      <vt:lpstr>Jaar 2</vt:lpstr>
      <vt:lpstr>Jaar 3</vt:lpstr>
      <vt:lpstr>Jaar 4</vt:lpstr>
      <vt:lpstr>Jaar 5</vt:lpstr>
      <vt:lpstr>Jaar 6</vt:lpstr>
      <vt:lpstr>Referentie uitstoot</vt:lpstr>
      <vt:lpstr>Verzamelblad</vt:lpstr>
      <vt:lpstr>Brongegevens</vt:lpstr>
      <vt:lpstr>'Jaar 1'!Afdrukbereik</vt:lpstr>
      <vt:lpstr>'Jaar 2'!Afdrukbereik</vt:lpstr>
      <vt:lpstr>'Jaar 3'!Afdrukbereik</vt:lpstr>
      <vt:lpstr>'Jaar 4'!Afdrukbereik</vt:lpstr>
      <vt:lpstr>'Jaar 5'!Afdrukbereik</vt:lpstr>
      <vt:lpstr>'Jaar 6'!Afdrukbereik</vt:lpstr>
      <vt:lpstr>'Referentie uitstoot'!Afdrukbereik</vt:lpstr>
      <vt:lpstr>Transportkosten!Afdrukbereik</vt:lpstr>
      <vt:lpstr>'Jaar 1'!bezettingsgraad</vt:lpstr>
      <vt:lpstr>'Jaar 2'!bezettingsgraad</vt:lpstr>
      <vt:lpstr>'Jaar 3'!bezettingsgraad</vt:lpstr>
      <vt:lpstr>'Jaar 4'!bezettingsgraad</vt:lpstr>
      <vt:lpstr>'Jaar 5'!bezettingsgraad</vt:lpstr>
      <vt:lpstr>'Jaar 6'!bezettingsgraad</vt:lpstr>
      <vt:lpstr>'Referentie uitstoot'!bezettingsgraad</vt:lpstr>
      <vt:lpstr>Transportkosten!bezettingsgraad</vt:lpstr>
      <vt:lpstr>bezettingsgraad</vt:lpstr>
      <vt:lpstr>'Jaar 1'!brandstof</vt:lpstr>
      <vt:lpstr>'Jaar 2'!brandstof</vt:lpstr>
      <vt:lpstr>'Jaar 3'!brandstof</vt:lpstr>
      <vt:lpstr>'Jaar 4'!brandstof</vt:lpstr>
      <vt:lpstr>'Jaar 5'!brandstof</vt:lpstr>
      <vt:lpstr>'Jaar 6'!brandstof</vt:lpstr>
      <vt:lpstr>'Referentie uitstoot'!brandstof</vt:lpstr>
      <vt:lpstr>Transportkosten!brandstof</vt:lpstr>
      <vt:lpstr>brandstof</vt:lpstr>
      <vt:lpstr>dichtheid_diesel</vt:lpstr>
      <vt:lpstr>'Jaar 1'!Diesel__B7</vt:lpstr>
      <vt:lpstr>'Jaar 2'!Diesel__B7</vt:lpstr>
      <vt:lpstr>'Jaar 3'!Diesel__B7</vt:lpstr>
      <vt:lpstr>'Jaar 4'!Diesel__B7</vt:lpstr>
      <vt:lpstr>'Jaar 5'!Diesel__B7</vt:lpstr>
      <vt:lpstr>'Jaar 6'!Diesel__B7</vt:lpstr>
      <vt:lpstr>'Referentie uitstoot'!Diesel__B7</vt:lpstr>
      <vt:lpstr>Transportkosten!Diesel__B7</vt:lpstr>
      <vt:lpstr>Diesel__B7</vt:lpstr>
      <vt:lpstr>'Jaar 1'!Diesel__fo</vt:lpstr>
      <vt:lpstr>'Jaar 2'!Diesel__fo</vt:lpstr>
      <vt:lpstr>'Jaar 3'!Diesel__fo</vt:lpstr>
      <vt:lpstr>'Jaar 4'!Diesel__fo</vt:lpstr>
      <vt:lpstr>'Jaar 5'!Diesel__fo</vt:lpstr>
      <vt:lpstr>'Jaar 6'!Diesel__fo</vt:lpstr>
      <vt:lpstr>'Referentie uitstoot'!Diesel__fo</vt:lpstr>
      <vt:lpstr>Transportkosten!Diesel__fo</vt:lpstr>
      <vt:lpstr>Diesel__fo</vt:lpstr>
      <vt:lpstr>'Jaar 1'!elekt</vt:lpstr>
      <vt:lpstr>'Jaar 2'!elekt</vt:lpstr>
      <vt:lpstr>'Jaar 3'!elekt</vt:lpstr>
      <vt:lpstr>'Jaar 4'!elekt</vt:lpstr>
      <vt:lpstr>'Jaar 5'!elekt</vt:lpstr>
      <vt:lpstr>'Jaar 6'!elekt</vt:lpstr>
      <vt:lpstr>'Referentie uitstoot'!elekt</vt:lpstr>
      <vt:lpstr>Transportkosten!elekt</vt:lpstr>
      <vt:lpstr>elekt</vt:lpstr>
      <vt:lpstr>emissiefactor_diesel</vt:lpstr>
      <vt:lpstr>Euro</vt:lpstr>
      <vt:lpstr>'Jaar 1'!motortypes</vt:lpstr>
      <vt:lpstr>'Jaar 2'!motortypes</vt:lpstr>
      <vt:lpstr>'Jaar 3'!motortypes</vt:lpstr>
      <vt:lpstr>'Jaar 4'!motortypes</vt:lpstr>
      <vt:lpstr>'Jaar 5'!motortypes</vt:lpstr>
      <vt:lpstr>'Jaar 6'!motortypes</vt:lpstr>
      <vt:lpstr>'Referentie uitstoot'!motortypes</vt:lpstr>
      <vt:lpstr>Transportkosten!motortypes</vt:lpstr>
      <vt:lpstr>motortypes</vt:lpstr>
      <vt:lpstr>'Jaar 1'!motortypest</vt:lpstr>
      <vt:lpstr>'Jaar 2'!motortypest</vt:lpstr>
      <vt:lpstr>'Jaar 3'!motortypest</vt:lpstr>
      <vt:lpstr>'Jaar 4'!motortypest</vt:lpstr>
      <vt:lpstr>'Jaar 5'!motortypest</vt:lpstr>
      <vt:lpstr>'Jaar 6'!motortypest</vt:lpstr>
      <vt:lpstr>'Referentie uitstoot'!motortypest</vt:lpstr>
      <vt:lpstr>Transportkosten!motortypest</vt:lpstr>
      <vt:lpstr>motortypest</vt:lpstr>
      <vt:lpstr>'Jaar 1'!overi</vt:lpstr>
      <vt:lpstr>'Jaar 2'!overi</vt:lpstr>
      <vt:lpstr>'Jaar 3'!overi</vt:lpstr>
      <vt:lpstr>'Jaar 4'!overi</vt:lpstr>
      <vt:lpstr>'Jaar 5'!overi</vt:lpstr>
      <vt:lpstr>'Jaar 6'!overi</vt:lpstr>
      <vt:lpstr>'Referentie uitstoot'!overi</vt:lpstr>
      <vt:lpstr>Transportkosten!overi</vt:lpstr>
      <vt:lpstr>overi</vt:lpstr>
      <vt:lpstr>'Jaar 1'!stage</vt:lpstr>
      <vt:lpstr>'Jaar 2'!stage</vt:lpstr>
      <vt:lpstr>'Jaar 3'!stage</vt:lpstr>
      <vt:lpstr>'Jaar 4'!stage</vt:lpstr>
      <vt:lpstr>'Jaar 5'!stage</vt:lpstr>
      <vt:lpstr>'Jaar 6'!stage</vt:lpstr>
      <vt:lpstr>'Referentie uitstoot'!stage</vt:lpstr>
      <vt:lpstr>Transportkosten!stage</vt:lpstr>
      <vt:lpstr>stage</vt:lpstr>
      <vt:lpstr>stookwaarde_diesel</vt:lpstr>
      <vt:lpstr>'Jaar 1'!stroom_gro</vt:lpstr>
      <vt:lpstr>'Jaar 2'!stroom_gro</vt:lpstr>
      <vt:lpstr>'Jaar 3'!stroom_gro</vt:lpstr>
      <vt:lpstr>'Jaar 4'!stroom_gro</vt:lpstr>
      <vt:lpstr>'Jaar 5'!stroom_gro</vt:lpstr>
      <vt:lpstr>'Jaar 6'!stroom_gro</vt:lpstr>
      <vt:lpstr>'Referentie uitstoot'!stroom_gro</vt:lpstr>
      <vt:lpstr>Transportkosten!stroom_gro</vt:lpstr>
      <vt:lpstr>stroom_gro</vt:lpstr>
      <vt:lpstr>'Jaar 1'!types</vt:lpstr>
      <vt:lpstr>'Jaar 2'!types</vt:lpstr>
      <vt:lpstr>'Jaar 3'!types</vt:lpstr>
      <vt:lpstr>'Jaar 4'!types</vt:lpstr>
      <vt:lpstr>'Jaar 5'!types</vt:lpstr>
      <vt:lpstr>'Jaar 6'!types</vt:lpstr>
      <vt:lpstr>'Referentie uitstoot'!types</vt:lpstr>
      <vt:lpstr>Transportkosten!types</vt:lpstr>
      <vt:lpstr>types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Vincent Swinkels</dc:creator>
  <cp:lastModifiedBy>Eng - Verduin, Annemiek van der</cp:lastModifiedBy>
  <cp:lastPrinted>2022-03-24T08:04:26Z</cp:lastPrinted>
  <dcterms:created xsi:type="dcterms:W3CDTF">2021-06-17T07:13:22Z</dcterms:created>
  <dcterms:modified xsi:type="dcterms:W3CDTF">2022-04-04T14:35:23Z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0x0101006B91D7C36253F948BA2C8B3FBEBC2FE0</vt:lpwstr>
  </property>
</Properties>
</file>