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odnhn-my.sharepoint.com/personal/hkruger_odnhn_nl/Documents/Documenten/AAA/"/>
    </mc:Choice>
  </mc:AlternateContent>
  <xr:revisionPtr revIDLastSave="0" documentId="8_{54C63E09-DE87-4BCD-9A51-DB929E4FE202}" xr6:coauthVersionLast="47" xr6:coauthVersionMax="47" xr10:uidLastSave="{00000000-0000-0000-0000-000000000000}"/>
  <bookViews>
    <workbookView xWindow="-120" yWindow="-120" windowWidth="29040" windowHeight="17640" tabRatio="954" xr2:uid="{FACE7256-FEC2-4E18-B90D-3E24A43460E7}"/>
  </bookViews>
  <sheets>
    <sheet name="Voorblad" sheetId="1" r:id="rId1"/>
    <sheet name="1 Algemeen" sheetId="2" r:id="rId2"/>
    <sheet name="2 ICT" sheetId="3" r:id="rId3"/>
    <sheet name="3 Inkoop&amp;Contracten" sheetId="6" r:id="rId4"/>
    <sheet name="4 Crediteuren" sheetId="7" r:id="rId5"/>
    <sheet name="5 Debiteuren" sheetId="8" r:id="rId6"/>
    <sheet name="5 Debiteuren 1 " sheetId="24" r:id="rId7"/>
    <sheet name="6 Financieel Beheer" sheetId="9" r:id="rId8"/>
    <sheet name="7 Control" sheetId="10" r:id="rId9"/>
    <sheet name="8 HR" sheetId="11" r:id="rId10"/>
    <sheet name="8 HR 1" sheetId="12" r:id="rId11"/>
    <sheet name="8 HR 2" sheetId="25" r:id="rId12"/>
    <sheet name="8 HR 3" sheetId="26" r:id="rId13"/>
    <sheet name="8 HR 4" sheetId="27" r:id="rId14"/>
    <sheet name="9 Tijdschrijven" sheetId="14" r:id="rId15"/>
    <sheet name="10 Beheer" sheetId="23" r:id="rId16"/>
    <sheet name="11  IB en Privacy" sheetId="21" r:id="rId17"/>
    <sheet name="Gebruiksviendelijkheid" sheetId="22" r:id="rId18"/>
    <sheet name="Blad1" sheetId="28" r:id="rId19"/>
  </sheets>
  <definedNames>
    <definedName name="_xlnm._FilterDatabase" localSheetId="1" hidden="1">'1 Algemeen'!$B$3:$J$3</definedName>
    <definedName name="_xlnm._FilterDatabase" localSheetId="9" hidden="1">'8 HR'!$B$20:$J$20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7" i="26" l="1"/>
  <c r="J23" i="26"/>
  <c r="J21" i="26"/>
  <c r="J16" i="26"/>
  <c r="J15" i="26"/>
  <c r="J12" i="26"/>
  <c r="J11" i="26"/>
  <c r="J7" i="26"/>
  <c r="J8" i="26"/>
  <c r="J15" i="25"/>
  <c r="J10" i="25"/>
  <c r="J14" i="25"/>
  <c r="J16" i="25"/>
  <c r="J17" i="25"/>
  <c r="J18" i="25"/>
  <c r="J12" i="10"/>
  <c r="J11" i="10"/>
  <c r="J10" i="10"/>
  <c r="J8" i="10"/>
  <c r="J7" i="10"/>
  <c r="I12" i="10"/>
  <c r="I11" i="10"/>
  <c r="I10" i="10"/>
  <c r="I8" i="10"/>
  <c r="I7" i="10"/>
  <c r="J23" i="8"/>
  <c r="J21" i="8"/>
  <c r="J20" i="8"/>
  <c r="J19" i="8"/>
  <c r="J18" i="8"/>
  <c r="J17" i="8"/>
  <c r="J16" i="8"/>
  <c r="J15" i="8"/>
  <c r="J6" i="8"/>
  <c r="J8" i="8"/>
  <c r="J5" i="8"/>
  <c r="J27" i="7"/>
  <c r="J25" i="7"/>
  <c r="J22" i="7"/>
  <c r="J21" i="7"/>
  <c r="J20" i="7"/>
  <c r="J18" i="7"/>
  <c r="J17" i="7"/>
  <c r="J16" i="7"/>
  <c r="J15" i="7"/>
  <c r="J14" i="7"/>
  <c r="J12" i="7"/>
  <c r="J10" i="7"/>
  <c r="J6" i="7"/>
  <c r="K11" i="6" l="1"/>
  <c r="K12" i="6"/>
  <c r="K13" i="6"/>
  <c r="K14" i="6"/>
  <c r="K15" i="6"/>
  <c r="K16" i="6"/>
  <c r="K17" i="6"/>
  <c r="K18" i="6"/>
  <c r="K19" i="6"/>
  <c r="K20" i="6"/>
  <c r="K21" i="6"/>
  <c r="K22" i="6"/>
  <c r="K6" i="6"/>
  <c r="K7" i="6"/>
  <c r="K8" i="6"/>
  <c r="K9" i="6"/>
  <c r="K10" i="6"/>
  <c r="K12" i="7"/>
  <c r="D16" i="1" l="1"/>
  <c r="I28" i="11"/>
  <c r="J28" i="11"/>
  <c r="K28" i="11"/>
  <c r="I29" i="11"/>
  <c r="J29" i="11"/>
  <c r="K29" i="11"/>
  <c r="K7" i="21" l="1"/>
  <c r="K8" i="21"/>
  <c r="K9" i="21"/>
  <c r="K10" i="21"/>
  <c r="K11" i="21"/>
  <c r="K12" i="21"/>
  <c r="K13" i="21"/>
  <c r="K14" i="21"/>
  <c r="K15" i="21"/>
  <c r="K16" i="21"/>
  <c r="K17" i="21"/>
  <c r="K18" i="21"/>
  <c r="K19" i="21"/>
  <c r="K20" i="21"/>
  <c r="K21" i="21"/>
  <c r="K22" i="21"/>
  <c r="K23" i="21"/>
  <c r="K24" i="21"/>
  <c r="K25" i="21"/>
  <c r="K26" i="21"/>
  <c r="K27" i="21"/>
  <c r="K28" i="21"/>
  <c r="K29" i="21"/>
  <c r="K30" i="21"/>
  <c r="K31" i="21"/>
  <c r="K32" i="21"/>
  <c r="K33" i="21"/>
  <c r="K34" i="21"/>
  <c r="K35" i="21"/>
  <c r="K36" i="21"/>
  <c r="K37" i="21"/>
  <c r="K38" i="21"/>
  <c r="K39" i="21"/>
  <c r="K40" i="21"/>
  <c r="K41" i="21"/>
  <c r="K42" i="21"/>
  <c r="K43" i="21"/>
  <c r="K44" i="21"/>
  <c r="K45" i="21"/>
  <c r="K46" i="21"/>
  <c r="K47" i="21"/>
  <c r="K48" i="21"/>
  <c r="K49" i="21"/>
  <c r="K50" i="21"/>
  <c r="K51" i="21"/>
  <c r="K52" i="21"/>
  <c r="K53" i="21"/>
  <c r="K54" i="21"/>
  <c r="K55" i="21"/>
  <c r="K56" i="21"/>
  <c r="K57" i="21"/>
  <c r="K58" i="21"/>
  <c r="K59" i="21"/>
  <c r="K60" i="21"/>
  <c r="K61" i="21"/>
  <c r="K62" i="21"/>
  <c r="K63" i="21"/>
  <c r="K64" i="21"/>
  <c r="K65" i="21"/>
  <c r="K66" i="21"/>
  <c r="K6" i="23"/>
  <c r="K7" i="23"/>
  <c r="K8" i="23"/>
  <c r="K9" i="23"/>
  <c r="K10" i="23"/>
  <c r="K11" i="23"/>
  <c r="K12" i="23"/>
  <c r="K13" i="23"/>
  <c r="K14" i="23"/>
  <c r="K15" i="23"/>
  <c r="K16" i="23"/>
  <c r="K17" i="23"/>
  <c r="K18" i="23"/>
  <c r="K19" i="23"/>
  <c r="K20" i="23"/>
  <c r="K21" i="23"/>
  <c r="K5" i="23"/>
  <c r="K2" i="14"/>
  <c r="K4" i="14"/>
  <c r="K5" i="14"/>
  <c r="K7" i="14"/>
  <c r="K8" i="14"/>
  <c r="K9" i="14"/>
  <c r="K10" i="14"/>
  <c r="K11" i="14"/>
  <c r="K12" i="14"/>
  <c r="K13" i="14"/>
  <c r="K14" i="14"/>
  <c r="K15" i="14"/>
  <c r="K16" i="14"/>
  <c r="K17" i="14"/>
  <c r="K18" i="14"/>
  <c r="K6" i="14"/>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25" i="12"/>
  <c r="K26" i="12"/>
  <c r="K4" i="25"/>
  <c r="K5" i="25"/>
  <c r="K6" i="25"/>
  <c r="K7" i="25"/>
  <c r="K8" i="25"/>
  <c r="K9" i="25"/>
  <c r="K10" i="25"/>
  <c r="K11" i="25"/>
  <c r="K12" i="25"/>
  <c r="K13" i="25"/>
  <c r="K14" i="25"/>
  <c r="K15" i="25"/>
  <c r="K16" i="25"/>
  <c r="K17" i="25"/>
  <c r="K18" i="25"/>
  <c r="K19" i="25"/>
  <c r="K20" i="25"/>
  <c r="K4" i="26"/>
  <c r="K5" i="26"/>
  <c r="K6" i="26"/>
  <c r="K7" i="26"/>
  <c r="K8" i="26"/>
  <c r="K9" i="26"/>
  <c r="K10" i="26"/>
  <c r="K11" i="26"/>
  <c r="K12" i="26"/>
  <c r="K13" i="26"/>
  <c r="K14" i="26"/>
  <c r="K15" i="26"/>
  <c r="K16" i="26"/>
  <c r="K17" i="26"/>
  <c r="K18" i="26"/>
  <c r="K19" i="26"/>
  <c r="K20" i="26"/>
  <c r="K21" i="26"/>
  <c r="K22" i="26"/>
  <c r="K23" i="26"/>
  <c r="K24" i="26"/>
  <c r="K25" i="26"/>
  <c r="K4" i="27"/>
  <c r="K5" i="27"/>
  <c r="K6" i="27"/>
  <c r="K7" i="27"/>
  <c r="K8" i="27"/>
  <c r="K9" i="27"/>
  <c r="K10" i="27"/>
  <c r="K11" i="27"/>
  <c r="K12" i="27"/>
  <c r="K13" i="27"/>
  <c r="K14" i="27"/>
  <c r="K15" i="27"/>
  <c r="K16" i="27"/>
  <c r="K17" i="27"/>
  <c r="K18" i="27"/>
  <c r="K19" i="27"/>
  <c r="K20" i="27"/>
  <c r="K21" i="27"/>
  <c r="K22" i="27"/>
  <c r="K23" i="27"/>
  <c r="K24" i="27"/>
  <c r="K4" i="12"/>
  <c r="K5" i="12"/>
  <c r="K6" i="12"/>
  <c r="K7" i="12"/>
  <c r="K8" i="12"/>
  <c r="K9" i="12"/>
  <c r="K10" i="12"/>
  <c r="K11" i="12"/>
  <c r="K12" i="12"/>
  <c r="K13" i="12"/>
  <c r="K14" i="12"/>
  <c r="K15" i="12"/>
  <c r="K16" i="12"/>
  <c r="K17" i="12"/>
  <c r="K18" i="12"/>
  <c r="K19" i="12"/>
  <c r="K20" i="12"/>
  <c r="K21" i="12"/>
  <c r="K22" i="12"/>
  <c r="K23" i="12"/>
  <c r="K24" i="12"/>
  <c r="K2" i="25"/>
  <c r="K2" i="26"/>
  <c r="K2" i="27"/>
  <c r="K2" i="12"/>
  <c r="K2" i="11"/>
  <c r="K2" i="3"/>
  <c r="K4" i="3"/>
  <c r="K5" i="3"/>
  <c r="K6" i="3"/>
  <c r="K7" i="3"/>
  <c r="K8" i="3"/>
  <c r="K9" i="3"/>
  <c r="K10" i="3"/>
  <c r="K11" i="3"/>
  <c r="K12" i="3"/>
  <c r="K13" i="3"/>
  <c r="K14" i="3"/>
  <c r="K15" i="3"/>
  <c r="K16" i="3"/>
  <c r="K17" i="3"/>
  <c r="K18" i="3"/>
  <c r="K19" i="3"/>
  <c r="K20" i="3"/>
  <c r="K4" i="11"/>
  <c r="K5" i="11"/>
  <c r="K6" i="11"/>
  <c r="K7" i="11"/>
  <c r="K8" i="11"/>
  <c r="K9" i="11"/>
  <c r="K10" i="11"/>
  <c r="K11" i="11"/>
  <c r="K12" i="11"/>
  <c r="K13" i="11"/>
  <c r="K14" i="11"/>
  <c r="K15" i="11"/>
  <c r="K16" i="11"/>
  <c r="K17" i="11"/>
  <c r="K18" i="11"/>
  <c r="K19" i="11"/>
  <c r="K20" i="11"/>
  <c r="K21" i="11"/>
  <c r="K22" i="11"/>
  <c r="K23" i="11"/>
  <c r="K24" i="11"/>
  <c r="K25" i="11"/>
  <c r="K26" i="11"/>
  <c r="K27" i="11"/>
  <c r="K30" i="11"/>
  <c r="K31" i="11"/>
  <c r="K32" i="11"/>
  <c r="K28" i="2"/>
  <c r="K29" i="2"/>
  <c r="K30" i="2"/>
  <c r="K31" i="2"/>
  <c r="K32" i="2"/>
  <c r="K4" i="10"/>
  <c r="K5" i="10"/>
  <c r="K6" i="10"/>
  <c r="K7" i="10"/>
  <c r="K8" i="10"/>
  <c r="K9" i="10"/>
  <c r="K10" i="10"/>
  <c r="K11" i="10"/>
  <c r="K12" i="10"/>
  <c r="K13" i="10"/>
  <c r="K14" i="10"/>
  <c r="K15" i="10"/>
  <c r="K2" i="10"/>
  <c r="K19" i="9"/>
  <c r="K2" i="9"/>
  <c r="K5" i="9"/>
  <c r="K6" i="9"/>
  <c r="K7" i="9"/>
  <c r="K8" i="9"/>
  <c r="K9" i="9"/>
  <c r="K10" i="9"/>
  <c r="K11" i="9"/>
  <c r="K12" i="9"/>
  <c r="K13" i="9"/>
  <c r="K14" i="9"/>
  <c r="K15" i="9"/>
  <c r="K16" i="9"/>
  <c r="K17" i="9"/>
  <c r="K18" i="9"/>
  <c r="K4" i="24"/>
  <c r="K5" i="24"/>
  <c r="K6" i="24"/>
  <c r="K7" i="24"/>
  <c r="K8" i="24"/>
  <c r="K9" i="24"/>
  <c r="K4" i="6"/>
  <c r="K5" i="6"/>
  <c r="K2" i="8"/>
  <c r="K4" i="8"/>
  <c r="K5" i="8"/>
  <c r="K6" i="8"/>
  <c r="K7" i="8"/>
  <c r="K8" i="8"/>
  <c r="K9" i="8"/>
  <c r="K10" i="8"/>
  <c r="K11" i="8"/>
  <c r="K12" i="8"/>
  <c r="K13" i="8"/>
  <c r="K14" i="8"/>
  <c r="K15" i="8"/>
  <c r="K16" i="8"/>
  <c r="K17" i="8"/>
  <c r="K18" i="8"/>
  <c r="K19" i="8"/>
  <c r="K20" i="8"/>
  <c r="K21" i="8"/>
  <c r="K22" i="8"/>
  <c r="K23" i="8"/>
  <c r="K24" i="8"/>
  <c r="K25" i="8"/>
  <c r="K2" i="2"/>
  <c r="K4" i="2"/>
  <c r="K5" i="2"/>
  <c r="K6" i="2"/>
  <c r="K7" i="2"/>
  <c r="K8" i="2"/>
  <c r="K9" i="2"/>
  <c r="K10" i="2"/>
  <c r="K11" i="2"/>
  <c r="K12" i="2"/>
  <c r="K4" i="7"/>
  <c r="K5" i="7"/>
  <c r="K6" i="7"/>
  <c r="K7" i="7"/>
  <c r="K8" i="7"/>
  <c r="K9" i="7"/>
  <c r="K10" i="7"/>
  <c r="K11" i="7"/>
  <c r="K13" i="7"/>
  <c r="K14" i="7"/>
  <c r="K15" i="7"/>
  <c r="K16" i="7"/>
  <c r="K17" i="7"/>
  <c r="K18" i="7"/>
  <c r="K19" i="7"/>
  <c r="K20" i="7"/>
  <c r="K21" i="7"/>
  <c r="K22" i="7"/>
  <c r="K23" i="7"/>
  <c r="K24" i="7"/>
  <c r="K25" i="7"/>
  <c r="K26" i="7"/>
  <c r="K27" i="7"/>
  <c r="K28" i="7"/>
  <c r="K29" i="7"/>
  <c r="K30" i="7"/>
  <c r="K31" i="7"/>
  <c r="K32" i="7"/>
  <c r="K29" i="3"/>
  <c r="K30" i="3"/>
  <c r="K31" i="3"/>
  <c r="K32" i="3"/>
  <c r="K21" i="3"/>
  <c r="K22" i="3"/>
  <c r="K23" i="3"/>
  <c r="K24" i="3"/>
  <c r="K25" i="3"/>
  <c r="K26" i="3"/>
  <c r="K27" i="3"/>
  <c r="K28" i="3"/>
  <c r="K14" i="2"/>
  <c r="K15" i="2"/>
  <c r="K16" i="2"/>
  <c r="K17" i="2"/>
  <c r="K18" i="2"/>
  <c r="K19" i="2"/>
  <c r="K20" i="2"/>
  <c r="K21" i="2"/>
  <c r="K22" i="2"/>
  <c r="K23" i="2"/>
  <c r="K24" i="2"/>
  <c r="K25" i="2"/>
  <c r="K26" i="2"/>
  <c r="K27" i="2"/>
  <c r="K13" i="2"/>
  <c r="J52" i="21"/>
  <c r="I52" i="21"/>
  <c r="J51" i="21"/>
  <c r="I51" i="21"/>
  <c r="J50" i="21"/>
  <c r="I50" i="21"/>
  <c r="J55" i="21"/>
  <c r="I55" i="21"/>
  <c r="J54" i="21"/>
  <c r="I54" i="21"/>
  <c r="J53" i="21"/>
  <c r="I53" i="21"/>
  <c r="J62" i="21"/>
  <c r="I62" i="21"/>
  <c r="J61" i="21"/>
  <c r="I61" i="21"/>
  <c r="J60" i="21"/>
  <c r="I60" i="21"/>
  <c r="J47" i="21"/>
  <c r="I47" i="21"/>
  <c r="J44" i="21"/>
  <c r="I44" i="21"/>
  <c r="J39" i="21"/>
  <c r="I39" i="21"/>
  <c r="J35" i="21"/>
  <c r="I35" i="21"/>
  <c r="J30" i="21"/>
  <c r="I30" i="21"/>
  <c r="J27" i="21"/>
  <c r="I27" i="21"/>
  <c r="J24" i="21"/>
  <c r="I24" i="21"/>
  <c r="J22" i="21"/>
  <c r="I22" i="21"/>
  <c r="J21" i="21"/>
  <c r="I21" i="21"/>
  <c r="J20" i="21"/>
  <c r="I20" i="21"/>
  <c r="I14" i="21"/>
  <c r="J14" i="21"/>
  <c r="I15" i="21"/>
  <c r="J15" i="21"/>
  <c r="I11" i="21"/>
  <c r="J11" i="21"/>
  <c r="I12" i="21"/>
  <c r="J12" i="21"/>
  <c r="I13" i="21"/>
  <c r="J13" i="21"/>
  <c r="J10" i="21"/>
  <c r="I10" i="21"/>
  <c r="J19" i="23"/>
  <c r="J18" i="23"/>
  <c r="J17" i="23"/>
  <c r="J11" i="23"/>
  <c r="J10" i="23"/>
  <c r="J9" i="23"/>
  <c r="J8" i="23"/>
  <c r="J5" i="23"/>
  <c r="I18" i="23"/>
  <c r="I19" i="23"/>
  <c r="I17" i="23"/>
  <c r="I11" i="23"/>
  <c r="I10" i="23"/>
  <c r="I9" i="23"/>
  <c r="I8" i="23"/>
  <c r="I5" i="23"/>
  <c r="J7" i="14"/>
  <c r="J8" i="14"/>
  <c r="J9" i="14"/>
  <c r="J10" i="14"/>
  <c r="J13" i="14"/>
  <c r="J14" i="14"/>
  <c r="J15" i="14"/>
  <c r="J16" i="14"/>
  <c r="J6" i="14"/>
  <c r="I7" i="14"/>
  <c r="I8" i="14"/>
  <c r="I9" i="14"/>
  <c r="I10" i="14"/>
  <c r="I13" i="14"/>
  <c r="I14" i="14"/>
  <c r="I15" i="14"/>
  <c r="I16" i="14"/>
  <c r="I6" i="14"/>
  <c r="I41" i="27"/>
  <c r="I30" i="27"/>
  <c r="I31" i="27"/>
  <c r="I32" i="27"/>
  <c r="I33" i="27"/>
  <c r="I34" i="27"/>
  <c r="I35" i="27"/>
  <c r="I38" i="27"/>
  <c r="I40" i="27"/>
  <c r="I42" i="27"/>
  <c r="I43" i="27"/>
  <c r="I44" i="27"/>
  <c r="I45" i="27"/>
  <c r="I47" i="27"/>
  <c r="I29" i="27"/>
  <c r="J19" i="27"/>
  <c r="J20" i="27"/>
  <c r="J21" i="27"/>
  <c r="J22" i="27"/>
  <c r="J23" i="27"/>
  <c r="J24" i="27"/>
  <c r="J25" i="27"/>
  <c r="J26" i="27"/>
  <c r="J29" i="27"/>
  <c r="J30" i="27"/>
  <c r="J31" i="27"/>
  <c r="J32" i="27"/>
  <c r="J33" i="27"/>
  <c r="J34" i="27"/>
  <c r="J35" i="27"/>
  <c r="J38" i="27"/>
  <c r="J40" i="27"/>
  <c r="J41" i="27"/>
  <c r="J42" i="27"/>
  <c r="J43" i="27"/>
  <c r="J44" i="27"/>
  <c r="J45" i="27"/>
  <c r="J47" i="27"/>
  <c r="J18" i="27"/>
  <c r="J14" i="27"/>
  <c r="J15" i="27"/>
  <c r="J17" i="27"/>
  <c r="I19" i="27"/>
  <c r="I20" i="27"/>
  <c r="I21" i="27"/>
  <c r="I22" i="27"/>
  <c r="I23" i="27"/>
  <c r="I24" i="27"/>
  <c r="I25" i="27"/>
  <c r="I26" i="27"/>
  <c r="I18" i="27"/>
  <c r="I14" i="27"/>
  <c r="I15" i="27"/>
  <c r="I17" i="27"/>
  <c r="J13" i="26"/>
  <c r="I23" i="26"/>
  <c r="I21" i="26"/>
  <c r="I7" i="26"/>
  <c r="I8" i="26"/>
  <c r="I11" i="26"/>
  <c r="I12" i="26"/>
  <c r="I15" i="26"/>
  <c r="I16" i="26"/>
  <c r="I17" i="26"/>
  <c r="I18" i="25"/>
  <c r="I17" i="25"/>
  <c r="I16" i="25"/>
  <c r="I15" i="25"/>
  <c r="I14" i="25"/>
  <c r="I10" i="25"/>
  <c r="J5" i="12"/>
  <c r="J6" i="12"/>
  <c r="J7" i="12"/>
  <c r="J8" i="12"/>
  <c r="J9" i="12"/>
  <c r="J10" i="12"/>
  <c r="J11" i="12"/>
  <c r="J12" i="12"/>
  <c r="J15" i="12"/>
  <c r="J16" i="12"/>
  <c r="J18" i="12"/>
  <c r="J19" i="12"/>
  <c r="J20" i="12"/>
  <c r="I5" i="12"/>
  <c r="I6" i="12"/>
  <c r="I7" i="12"/>
  <c r="I8" i="12"/>
  <c r="I9" i="12"/>
  <c r="I10" i="12"/>
  <c r="I11" i="12"/>
  <c r="I12" i="12"/>
  <c r="I15" i="12"/>
  <c r="I16" i="12"/>
  <c r="I18" i="12"/>
  <c r="I19" i="12"/>
  <c r="I20" i="12"/>
  <c r="I7" i="11"/>
  <c r="J7" i="11"/>
  <c r="I8" i="11"/>
  <c r="J8" i="11"/>
  <c r="I10" i="11"/>
  <c r="J10" i="11"/>
  <c r="I11" i="11"/>
  <c r="J11" i="11"/>
  <c r="I13" i="11"/>
  <c r="J13" i="11"/>
  <c r="I18" i="11"/>
  <c r="J18" i="11"/>
  <c r="I19" i="11"/>
  <c r="J19" i="11"/>
  <c r="I20" i="11"/>
  <c r="J20" i="11"/>
  <c r="I22" i="11"/>
  <c r="J22" i="11"/>
  <c r="I23" i="11"/>
  <c r="J23" i="11"/>
  <c r="I24" i="11"/>
  <c r="J24" i="11"/>
  <c r="I26" i="11"/>
  <c r="J26" i="11"/>
  <c r="I27" i="11"/>
  <c r="J27" i="11"/>
  <c r="J6" i="11"/>
  <c r="I6" i="11"/>
  <c r="I9" i="9"/>
  <c r="J9" i="9"/>
  <c r="J17" i="9"/>
  <c r="I17" i="9"/>
  <c r="J16" i="9"/>
  <c r="I16" i="9"/>
  <c r="J15" i="9"/>
  <c r="I15" i="9"/>
  <c r="J14" i="9"/>
  <c r="I14" i="9"/>
  <c r="J13" i="9"/>
  <c r="I13" i="9"/>
  <c r="J12" i="9"/>
  <c r="I12" i="9"/>
  <c r="J11" i="9"/>
  <c r="I11" i="9"/>
  <c r="J8" i="9"/>
  <c r="I8" i="9"/>
  <c r="J6" i="9"/>
  <c r="I6" i="9"/>
  <c r="J6" i="24"/>
  <c r="J7" i="24"/>
  <c r="J8" i="24"/>
  <c r="J9" i="24"/>
  <c r="J5" i="24"/>
  <c r="I6" i="24"/>
  <c r="I7" i="24"/>
  <c r="I8" i="24"/>
  <c r="I9" i="24"/>
  <c r="I5" i="24"/>
  <c r="I23" i="8"/>
  <c r="I21" i="8"/>
  <c r="I20" i="8"/>
  <c r="I19" i="8"/>
  <c r="I18" i="8"/>
  <c r="I17" i="8"/>
  <c r="I16" i="8"/>
  <c r="I15" i="8"/>
  <c r="I6" i="8"/>
  <c r="I8" i="8"/>
  <c r="I5" i="8"/>
  <c r="I15" i="7"/>
  <c r="I16" i="7"/>
  <c r="I17" i="7"/>
  <c r="I18" i="7"/>
  <c r="I20" i="7"/>
  <c r="I21" i="7"/>
  <c r="I22" i="7"/>
  <c r="I25" i="7"/>
  <c r="I27" i="7"/>
  <c r="I14" i="7"/>
  <c r="I12" i="7"/>
  <c r="I10" i="7"/>
  <c r="I6" i="7"/>
  <c r="I22" i="6"/>
  <c r="J22" i="6" s="1"/>
  <c r="I21" i="6"/>
  <c r="J21" i="6" s="1"/>
  <c r="I20" i="6"/>
  <c r="I13" i="6"/>
  <c r="J13" i="6" s="1"/>
  <c r="I12" i="6"/>
  <c r="J12" i="6" s="1"/>
  <c r="I11" i="6"/>
  <c r="J11" i="6" s="1"/>
  <c r="I8" i="6"/>
  <c r="J8" i="6" s="1"/>
  <c r="I7" i="6"/>
  <c r="J7" i="6" s="1"/>
  <c r="I6" i="6"/>
  <c r="J6" i="6" s="1"/>
  <c r="I5" i="6"/>
  <c r="J22" i="3"/>
  <c r="J23" i="3"/>
  <c r="J24" i="3"/>
  <c r="J25" i="3"/>
  <c r="J26" i="3"/>
  <c r="J27" i="3"/>
  <c r="J28" i="3"/>
  <c r="J29" i="3"/>
  <c r="J30" i="3"/>
  <c r="J31" i="3"/>
  <c r="J32" i="3"/>
  <c r="J21" i="3"/>
  <c r="I22" i="3"/>
  <c r="I23" i="3"/>
  <c r="I24" i="3"/>
  <c r="I25" i="3"/>
  <c r="I26" i="3"/>
  <c r="I27" i="3"/>
  <c r="I28" i="3"/>
  <c r="I29" i="3"/>
  <c r="I30" i="3"/>
  <c r="I31" i="3"/>
  <c r="I32" i="3"/>
  <c r="I34" i="3"/>
  <c r="I21" i="3"/>
  <c r="J13" i="2"/>
  <c r="J14" i="2"/>
  <c r="J15" i="2"/>
  <c r="J16" i="2"/>
  <c r="J17" i="2"/>
  <c r="J18" i="2"/>
  <c r="J19" i="2"/>
  <c r="J20" i="2"/>
  <c r="J21" i="2"/>
  <c r="J22" i="2"/>
  <c r="J23" i="2"/>
  <c r="J24" i="2"/>
  <c r="J25" i="2"/>
  <c r="J26" i="2"/>
  <c r="J27" i="2"/>
  <c r="I25" i="2"/>
  <c r="I26" i="2"/>
  <c r="I27" i="2"/>
  <c r="I24" i="2"/>
  <c r="D17" i="14"/>
  <c r="F29" i="1" s="1"/>
  <c r="F18" i="22"/>
  <c r="E18" i="22"/>
  <c r="D31" i="11"/>
  <c r="H32" i="11"/>
  <c r="D24" i="1" s="1"/>
  <c r="D32" i="11"/>
  <c r="G24" i="1" s="1"/>
  <c r="C41" i="1"/>
  <c r="C35" i="1"/>
  <c r="C36" i="1"/>
  <c r="C34" i="1"/>
  <c r="H66" i="21"/>
  <c r="D31" i="1" s="1"/>
  <c r="D41" i="1" s="1"/>
  <c r="H21" i="23"/>
  <c r="D30" i="1" s="1"/>
  <c r="H18" i="14"/>
  <c r="D29" i="1" s="1"/>
  <c r="D39" i="1" s="1"/>
  <c r="H11" i="24"/>
  <c r="D21" i="1" s="1"/>
  <c r="D24" i="6"/>
  <c r="D23" i="6"/>
  <c r="F18" i="1" s="1"/>
  <c r="B7" i="22"/>
  <c r="B8" i="22" s="1"/>
  <c r="B9" i="22" s="1"/>
  <c r="B10" i="22" s="1"/>
  <c r="B11" i="22" s="1"/>
  <c r="B12" i="22" s="1"/>
  <c r="B13" i="22" s="1"/>
  <c r="B14" i="22" s="1"/>
  <c r="B15" i="22" s="1"/>
  <c r="B16" i="22" s="1"/>
  <c r="D66" i="21"/>
  <c r="G31" i="1" s="1"/>
  <c r="D21" i="23"/>
  <c r="G30" i="1" s="1"/>
  <c r="D20" i="23"/>
  <c r="F30" i="1" s="1"/>
  <c r="D18" i="14"/>
  <c r="G29" i="1" s="1"/>
  <c r="D49" i="27"/>
  <c r="G28" i="1" s="1"/>
  <c r="D48" i="27"/>
  <c r="F28" i="1" s="1"/>
  <c r="D25" i="26"/>
  <c r="G27" i="1" s="1"/>
  <c r="D24" i="26"/>
  <c r="F27" i="1" s="1"/>
  <c r="H25" i="26"/>
  <c r="D27" i="1" s="1"/>
  <c r="D20" i="25"/>
  <c r="G26" i="1" s="1"/>
  <c r="D19" i="25"/>
  <c r="F26" i="1" s="1"/>
  <c r="D26" i="12"/>
  <c r="G25" i="1" s="1"/>
  <c r="D25" i="12"/>
  <c r="F25" i="1" s="1"/>
  <c r="D19" i="9"/>
  <c r="G22" i="1" s="1"/>
  <c r="D11" i="24"/>
  <c r="G21" i="1" s="1"/>
  <c r="D10" i="24"/>
  <c r="F21" i="1" s="1"/>
  <c r="D26" i="8"/>
  <c r="G20" i="1" s="1"/>
  <c r="J18" i="14" l="1"/>
  <c r="J20" i="25"/>
  <c r="D40" i="1"/>
  <c r="J26" i="12"/>
  <c r="I25" i="26"/>
  <c r="J25" i="26"/>
  <c r="I18" i="14"/>
  <c r="J20" i="6"/>
  <c r="J5" i="6"/>
  <c r="I66" i="21"/>
  <c r="J66" i="21"/>
  <c r="J21" i="23"/>
  <c r="I21" i="23"/>
  <c r="J49" i="27"/>
  <c r="I49" i="27"/>
  <c r="I20" i="25"/>
  <c r="I26" i="12"/>
  <c r="I32" i="11"/>
  <c r="J32" i="11"/>
  <c r="I15" i="10"/>
  <c r="J19" i="9"/>
  <c r="I19" i="9"/>
  <c r="E22" i="1" s="1"/>
  <c r="J11" i="24"/>
  <c r="I11" i="24"/>
  <c r="I26" i="8"/>
  <c r="J32" i="7"/>
  <c r="I32" i="7"/>
  <c r="I24" i="6"/>
  <c r="I35" i="3"/>
  <c r="J32" i="2"/>
  <c r="H25" i="1"/>
  <c r="H29" i="1"/>
  <c r="H21" i="1"/>
  <c r="H27" i="1"/>
  <c r="H28" i="1"/>
  <c r="H30" i="1"/>
  <c r="H26" i="1"/>
  <c r="F24" i="1"/>
  <c r="I14" i="2"/>
  <c r="I15" i="2"/>
  <c r="I16" i="2"/>
  <c r="I17" i="2"/>
  <c r="I18" i="2"/>
  <c r="I19" i="2"/>
  <c r="I20" i="2"/>
  <c r="I21" i="2"/>
  <c r="I22" i="2"/>
  <c r="I23" i="2"/>
  <c r="I13" i="2"/>
  <c r="E29" i="1" l="1"/>
  <c r="E26" i="1"/>
  <c r="E25" i="1"/>
  <c r="E30" i="1"/>
  <c r="E27" i="1"/>
  <c r="J24" i="6"/>
  <c r="E18" i="1" s="1"/>
  <c r="I32" i="2"/>
  <c r="E16" i="1" s="1"/>
  <c r="E31" i="1"/>
  <c r="E28" i="1"/>
  <c r="E24" i="1"/>
  <c r="E21" i="1"/>
  <c r="H24" i="1"/>
  <c r="D35" i="3" l="1"/>
  <c r="G17" i="1" s="1"/>
  <c r="D34" i="3"/>
  <c r="F17" i="1" s="1"/>
  <c r="H17" i="1" s="1"/>
  <c r="D32" i="2"/>
  <c r="G16" i="1" s="1"/>
  <c r="D65" i="21" l="1"/>
  <c r="F31" i="1" s="1"/>
  <c r="H31" i="1" s="1"/>
  <c r="D76" i="11" l="1"/>
  <c r="D18" i="9"/>
  <c r="F22" i="1" s="1"/>
  <c r="H22" i="1" s="1"/>
  <c r="D25" i="8"/>
  <c r="F20" i="1" s="1"/>
  <c r="H20" i="1" s="1"/>
  <c r="D31" i="7"/>
  <c r="F19" i="1" s="1"/>
  <c r="D31" i="2"/>
  <c r="F16" i="1" s="1"/>
  <c r="H16" i="1" s="1"/>
  <c r="D14" i="10"/>
  <c r="F23" i="1" l="1"/>
  <c r="D15" i="10"/>
  <c r="G23" i="1" s="1"/>
  <c r="F32" i="1"/>
  <c r="D32" i="7"/>
  <c r="G19" i="1" s="1"/>
  <c r="H19" i="1" s="1"/>
  <c r="H23" i="1" l="1"/>
  <c r="H20" i="25"/>
  <c r="D26" i="1" s="1"/>
  <c r="H26" i="12" l="1"/>
  <c r="D25" i="1" s="1"/>
  <c r="H49" i="27"/>
  <c r="D28" i="1" s="1"/>
  <c r="D38" i="1" l="1"/>
  <c r="J35" i="3"/>
  <c r="E17" i="1" s="1"/>
  <c r="H15" i="10"/>
  <c r="D23" i="1" s="1"/>
  <c r="J15" i="10"/>
  <c r="E23" i="1" s="1"/>
  <c r="E19" i="1"/>
  <c r="J26" i="8"/>
  <c r="E20" i="1" s="1"/>
  <c r="H32" i="2"/>
  <c r="H35" i="3"/>
  <c r="D17" i="1" s="1"/>
  <c r="D35" i="1" s="1"/>
  <c r="H76" i="11"/>
  <c r="H32" i="7"/>
  <c r="H26" i="8"/>
  <c r="H24" i="6"/>
  <c r="D34" i="1" l="1"/>
  <c r="E32" i="1"/>
  <c r="D18" i="1"/>
  <c r="D36" i="1" s="1"/>
  <c r="D19" i="1"/>
  <c r="D20" i="1"/>
  <c r="B29" i="1" l="1"/>
  <c r="H19" i="9"/>
  <c r="D22" i="1" l="1"/>
  <c r="B30" i="1"/>
  <c r="D37" i="1" l="1"/>
  <c r="D42" i="1" s="1"/>
  <c r="D32" i="1"/>
  <c r="B31" i="1"/>
  <c r="G18" i="1" l="1"/>
  <c r="H18" i="1" l="1"/>
  <c r="H32" i="1" s="1"/>
  <c r="G32" i="1"/>
</calcChain>
</file>

<file path=xl/sharedStrings.xml><?xml version="1.0" encoding="utf-8"?>
<sst xmlns="http://schemas.openxmlformats.org/spreadsheetml/2006/main" count="1462" uniqueCount="784">
  <si>
    <t>Uitleg:</t>
  </si>
  <si>
    <t xml:space="preserve">Eis: </t>
  </si>
  <si>
    <r>
      <t xml:space="preserve">Een eis is een knock-out criterium. Op het moment van indienen van uw inschrijving dient u te voldoen aan </t>
    </r>
    <r>
      <rPr>
        <b/>
        <u/>
        <sz val="10"/>
        <color theme="1"/>
        <rFont val="Calibri"/>
        <family val="2"/>
        <scheme val="minor"/>
      </rPr>
      <t>alle</t>
    </r>
    <r>
      <rPr>
        <sz val="10"/>
        <color theme="1"/>
        <rFont val="Calibri"/>
        <family val="2"/>
        <scheme val="minor"/>
      </rPr>
      <t xml:space="preserve"> eisen als Standaardfunctionaliteit, operationeel aanwezig bij inschrijving</t>
    </r>
  </si>
  <si>
    <t>Gelieve hieronder uw gegevens in te vullen:</t>
  </si>
  <si>
    <t xml:space="preserve">Wens: </t>
  </si>
  <si>
    <r>
      <t xml:space="preserve">Een wens is geen vereiste maar een pré als  het systeem hieraan voldoet. Op wensen kunt u punten scoren. Per wens wordt de beoordelingsmethode (BM) aangegeven en maximaal aantal punten aangegeven. Bij iedere wens dient u "Ja" of "Leeg" aan te geven in dit bestand en de antwoorden dienen te worden gegeven op basis van de Standaard Functionaliteit binnen het aan te bieden systeem. Zie de begrippenlijst in de Inschrijfleidraad voor definities van Standaard Functionaliteit, Roadmap en Maatwerk. Indien een wens niet wordt benatwoord met  Standaardfunctionaliteit maar met Roadmap functionaliteit  kunt u nog steeds punten scoren. U vult dan enkel in de kolom voor Roadmapfunctionaliteit "Ja" in.
Indien u kunt voorzien in een Maatwerkoplossing levert dit geen punten op maar vult u toch "Ja in in alleen deze kolom. Per vraag vult u dus slechts 1 kolom in. Bij meer dan 1 antwoord per vraag verschijnt als teken een </t>
    </r>
    <r>
      <rPr>
        <sz val="10"/>
        <color rgb="FFFF0000"/>
        <rFont val="Calibri"/>
        <family val="2"/>
        <scheme val="minor"/>
      </rPr>
      <t>rode</t>
    </r>
    <r>
      <rPr>
        <sz val="10"/>
        <color theme="1"/>
        <rFont val="Calibri"/>
        <family val="2"/>
        <scheme val="minor"/>
      </rPr>
      <t xml:space="preserve"> cel in kolom k. Indien dat het geval is, graag het aantal antwoorden voor de betreffende vraag reduceren tot 1 in aantal.</t>
    </r>
  </si>
  <si>
    <t>Naam:</t>
  </si>
  <si>
    <t>Functie:</t>
  </si>
  <si>
    <t>Onderneming:</t>
  </si>
  <si>
    <t>Datum invulling:</t>
  </si>
  <si>
    <t>Onderdeel</t>
  </si>
  <si>
    <t>Max. punten wensen:</t>
  </si>
  <si>
    <t>Toegekend aantal punten:</t>
  </si>
  <si>
    <t># Wensen</t>
  </si>
  <si>
    <t># Eisen</t>
  </si>
  <si>
    <t>Totaal Eisen enWensen</t>
  </si>
  <si>
    <t>Algemeen</t>
  </si>
  <si>
    <t>2</t>
  </si>
  <si>
    <t xml:space="preserve">ICT </t>
  </si>
  <si>
    <t>3</t>
  </si>
  <si>
    <t>Inkoop&amp;Contracten</t>
  </si>
  <si>
    <t>4</t>
  </si>
  <si>
    <t>Crediteuren</t>
  </si>
  <si>
    <t>5</t>
  </si>
  <si>
    <t>Debiteuren</t>
  </si>
  <si>
    <t>5.1</t>
  </si>
  <si>
    <t>Debiteuren 1</t>
  </si>
  <si>
    <t>6</t>
  </si>
  <si>
    <t>Financieel Beheer</t>
  </si>
  <si>
    <t>7</t>
  </si>
  <si>
    <t>Control</t>
  </si>
  <si>
    <t>8</t>
  </si>
  <si>
    <t>HR</t>
  </si>
  <si>
    <t>8.1</t>
  </si>
  <si>
    <t>HR 1</t>
  </si>
  <si>
    <t>8.2</t>
  </si>
  <si>
    <t>HR 2</t>
  </si>
  <si>
    <t>8.3</t>
  </si>
  <si>
    <t>HR 3</t>
  </si>
  <si>
    <t>8.4</t>
  </si>
  <si>
    <t>HR 4</t>
  </si>
  <si>
    <t>Tijdschrijven</t>
  </si>
  <si>
    <t>Beheer</t>
  </si>
  <si>
    <t>IB en Privacy</t>
  </si>
  <si>
    <t>TOTAAL:</t>
  </si>
  <si>
    <t>Finance</t>
  </si>
  <si>
    <t>Kolom1</t>
  </si>
  <si>
    <t>Kolom2</t>
  </si>
  <si>
    <t>Kolom3</t>
  </si>
  <si>
    <t>Kolom4</t>
  </si>
  <si>
    <t>Kolom5</t>
  </si>
  <si>
    <t>Kolom6</t>
  </si>
  <si>
    <t>Kolom7</t>
  </si>
  <si>
    <t>Kolom8</t>
  </si>
  <si>
    <t>Kolom9</t>
  </si>
  <si>
    <t>Kolom10</t>
  </si>
  <si>
    <t>1 Algemene eisen</t>
  </si>
  <si>
    <t>Volgnr.</t>
  </si>
  <si>
    <t>Beschrijving</t>
  </si>
  <si>
    <t>Eis/Wens</t>
  </si>
  <si>
    <t>Standaardfunctionaliteit, operationeel aanwezig bij inschrijving</t>
  </si>
  <si>
    <t>Roadmap-functionaliteit, operationeel aanwezig bij Go-Live datum</t>
  </si>
  <si>
    <t>Maatwerk</t>
  </si>
  <si>
    <t>Max.score</t>
  </si>
  <si>
    <t>Toegekende score met standaard-functionaliteit</t>
  </si>
  <si>
    <t>Toegekende score met Roadmap-functionaliteit</t>
  </si>
  <si>
    <t>1.1</t>
  </si>
  <si>
    <t>Het systeem dient Nederlandstalig te zijn.</t>
  </si>
  <si>
    <t>Eis</t>
  </si>
  <si>
    <t>Ja</t>
  </si>
  <si>
    <t>1.2</t>
  </si>
  <si>
    <t>De ondersteuning (helpdesk) dient Nederlandstalig te zijn.</t>
  </si>
  <si>
    <t>1.3</t>
  </si>
  <si>
    <t>Voor gebruikers heeft het systeem een actuele help-functie.</t>
  </si>
  <si>
    <t>1.4</t>
  </si>
  <si>
    <t xml:space="preserve">Het systeem ondersteunt minimaal de volgende vier functionele modules:
* Financiële administratie (waaronder onderstaande drie sub-modules)
       - Debiteuren 
       - Crediteuren 
       - Financieel Beheer en Financial Control                                                                                                                                                     * Human Resources en Salarisadministratie  (waaornder tijdschrijven)
* Inkoop&amp;Contracten
</t>
  </si>
  <si>
    <t>1.5</t>
  </si>
  <si>
    <t xml:space="preserve">Het systeem dat ingericht wordt, is een geïntegreerde totaaloplossing, waarbij alle  modules voldoen aan het principe 'eenmalige opslag / meervoudig gebruik'. </t>
  </si>
  <si>
    <t>1.6</t>
  </si>
  <si>
    <t>Het systeem moet accountantsproof zijn qua audit-trail</t>
  </si>
  <si>
    <t>1.7</t>
  </si>
  <si>
    <t>Het systeem moet AVG compliant zijn</t>
  </si>
  <si>
    <t>1.8</t>
  </si>
  <si>
    <t>Mogelijkheid om velden en tabellen  toe te kunnen voegen die niet standaard meegeleverd zijn. Deze dienen meegenomen te kunnen worden in rapportages en signaleringen.</t>
  </si>
  <si>
    <t>1.9</t>
  </si>
  <si>
    <t>Het systeem kan een mailbox automatisch  uitlezen.</t>
  </si>
  <si>
    <t>1.10</t>
  </si>
  <si>
    <t>Het systeem kan minimaal 2 mailboxen uitlezen.</t>
  </si>
  <si>
    <t>Wens</t>
  </si>
  <si>
    <t>1.11</t>
  </si>
  <si>
    <t xml:space="preserve">De implementatie van het gehele systeem is per 1 september 2023 gereed. </t>
  </si>
  <si>
    <t>1.12</t>
  </si>
  <si>
    <t>U heeft in de periode na definitieve gunning tot en met 2 maanden na de go-live datum een team van professionals klaar staan om de implementatie en nazorgperiode te begeleiden. En u kunt capaciteit bij- of afschakelen indien dit nodig blijkt.</t>
  </si>
  <si>
    <t>1.13</t>
  </si>
  <si>
    <t>(Eind) gebruikershandleidingen, applicatiebeheerhandleiding en trainingsmateriaal zijn digitaal  aanwezig in de Nederlandse taal.</t>
  </si>
  <si>
    <t>1.14</t>
  </si>
  <si>
    <t>Binnen de implementatie worden voor zowel de eindgebruikers- als de functioneel beheerders trainingen aangeboden.</t>
  </si>
  <si>
    <t>1.15</t>
  </si>
  <si>
    <t>De opdrachtnemer  beschikt  over een SaaS Escrow en een Software Escrow.</t>
  </si>
  <si>
    <t>1.16</t>
  </si>
  <si>
    <t>Inschrijver levert een SLA en DAP waarin eisen die gesteld worden terugkomen.</t>
  </si>
  <si>
    <t>1.17</t>
  </si>
  <si>
    <t>Het systeem ondersteunt een Audit-trail voor FA en HR</t>
  </si>
  <si>
    <t>1.18</t>
  </si>
  <si>
    <t>Door middel van 1 overicht  moeten gebruikers geïnformeerd kunnen worden welke acties ze moeten uitvoeren (workflow acties)</t>
  </si>
  <si>
    <t>1.19</t>
  </si>
  <si>
    <t xml:space="preserve">Stamgegevens moeten centraal beheerd kunnen worden en eenvoudig per entiteit aangelegd en onderhouden kunnen worden (hergebruik) </t>
  </si>
  <si>
    <t>1.20</t>
  </si>
  <si>
    <t>Standaard rapportages zijn in het systeem aanwezig en eenvoudig qua layout aan te passen</t>
  </si>
  <si>
    <t>1.21</t>
  </si>
  <si>
    <t>App functionaliteit Urenregistratie</t>
  </si>
  <si>
    <t>1.22</t>
  </si>
  <si>
    <t>App functionaliteit Verlofaanvraag</t>
  </si>
  <si>
    <t>1.23</t>
  </si>
  <si>
    <t>App functionaliteit Decalraties opvoeren</t>
  </si>
  <si>
    <t>1.24</t>
  </si>
  <si>
    <t>App functionaliteit Ziekmelden</t>
  </si>
  <si>
    <t xml:space="preserve">Wensen:  </t>
  </si>
  <si>
    <t xml:space="preserve">Eisen  </t>
  </si>
  <si>
    <t xml:space="preserve">TOTAAL: </t>
  </si>
  <si>
    <t xml:space="preserve">2 ICT </t>
  </si>
  <si>
    <t>Eis/  Wens</t>
  </si>
  <si>
    <t>2.1</t>
  </si>
  <si>
    <t>Opdrachtnemer biedt altijd de meest actuele versie van het systeem aan, waarbij deze de werking van alle functionaliteiten garandeert.</t>
  </si>
  <si>
    <t>2.2</t>
  </si>
  <si>
    <t>Opdrachtnemer zorgt ervoor dat OD NHN altijd over de meest actuele versie van het systeem beschikt waarbij deze de werking van alle functionaliteiten garandeert.</t>
  </si>
  <si>
    <t>2.3</t>
  </si>
  <si>
    <t>Opdrachtnemer biedt OD NHN de mogelijkheid om instellingen en koppelvlakken te testen in een realistische, representatieve omgeving, waarbij deze testen op geen enkele wijze invloed kunnen hebben op de beschikbaarheid en performance van de productie-omgeving.</t>
  </si>
  <si>
    <t>2.4</t>
  </si>
  <si>
    <t>Functioneel beheerders van het systeem moeten minimaal de volgende zes zaken zelfstandig kunnen regelen:
1 workflows  en dashboards creëren en aanpassen
2 autorisatierollen creeëren,  wijzigen en koppelen.
3 formulieren ontwerpen en beschikbaar stellen
4 persoonlijke instellingen aanpassen
5 nieuwe rapportages aanmaken
6 nieuwe gebruikers aanmaken</t>
  </si>
  <si>
    <t>2.5</t>
  </si>
  <si>
    <r>
      <t>Opdrachtnemer is verantwoordelijk voor het technisch beheer en applicatiebeheer van het systeem. Hieronder vallen ten minste de volgende negen onderdelen:
• Installatie van aanbevolen updates
• Informatiebeveiliging
• Bewaken en controleren van de infrastructuur
• Incidentmanagement; inclusief gebruikersondersteuning conform overeengekomen KPI’s en servicelevels 
• Configuratiemanagement 
• Beheer van opslagcapaciteit</t>
    </r>
    <r>
      <rPr>
        <sz val="11"/>
        <color rgb="FFFF0000"/>
        <rFont val="Calibri (Hoofdtekst)"/>
      </rPr>
      <t xml:space="preserve">. </t>
    </r>
    <r>
      <rPr>
        <sz val="11"/>
        <color theme="1"/>
        <rFont val="Calibri"/>
        <family val="2"/>
        <scheme val="minor"/>
      </rPr>
      <t xml:space="preserve">
</t>
    </r>
  </si>
  <si>
    <t>2.6</t>
  </si>
  <si>
    <t>Regulier onderhoud (op test- en productie-omgeving) waar OD NHN hinder van ondervindt dient te worden uitgevoerd buiten kantoortijden (17.00-9.00u).</t>
  </si>
  <si>
    <t>2.7</t>
  </si>
  <si>
    <t xml:space="preserve">Het is mogelijk om gegevens uit te wisselen met diverse Nederlandse banken, waarbij gebruik wordt gemaakt van open standaarden. </t>
  </si>
  <si>
    <t>2.8</t>
  </si>
  <si>
    <t>Het systeem bevordert het gebruiksgemak door toepassing van responsive design, waarbij de gehele applicatie in staat is om zich automatisch optimaal aan te passen aan het apparaat (laptop, tablet, smartphone) en de resolutie van het beeldscherm van de gebruiker.</t>
  </si>
  <si>
    <t>2.9</t>
  </si>
  <si>
    <t>Functioneel beheer OD NHN kan autorisaties inrichten op basis van de organisatiestructuur, functiegroepen en zelf te bepalen aan de hand van vrij aan te maken rollen in autorisatiegroepen.</t>
  </si>
  <si>
    <t>2.10</t>
  </si>
  <si>
    <t>Het toekennen van autorisaties gebeurt op één centrale plaats in het systeem en geldt voor de gehele applicatie.</t>
  </si>
  <si>
    <t>2.11</t>
  </si>
  <si>
    <t>Alle gebruikte datatypen en entiteiten worden opgeslagen in één database.</t>
  </si>
  <si>
    <t>2.12</t>
  </si>
  <si>
    <t>Het systeem heeft standaard koppelingen met andere informatiesystemen in ons landschap. Is dit niet het geval of is deze standaardkoppeling ontoereikend, dan dient het systeem te kunnen koppelen met ons koppelvlak.  Leverancier dient dan aan te geven op welke manier en met welke techniek zij kunnen koppelen. Zie document Architectuur.</t>
  </si>
  <si>
    <t>2.13</t>
  </si>
  <si>
    <t>Het proces voor importeren en exporteren van gegevens geeft, bij het optreden van fouten, een foutmelding en foutlog informatie.</t>
  </si>
  <si>
    <t>2.14</t>
  </si>
  <si>
    <t xml:space="preserve">Bij gebruik van Office plug ins, moeten deze compatible zijn met Microsoft Office 365. </t>
  </si>
  <si>
    <t>2.15</t>
  </si>
  <si>
    <t>De Servicedesk van opdrachtnemer is beschikbaar op werkdagen (maandag t/m vrijdag) minimaal van 09.00 uur tot 17.00 uur, Nederlandse tijd. Een uitzondering hierop vormen in Nederland algemeen erkende feestdagen in de zin van de Algemene Termijnenwet. Buiten het Servicewindow is het, met uitzondering van telefonisch contact, uiteraard wel gewoon mogelijk om via de diverse kanalen Meldingen aan te maken.</t>
  </si>
  <si>
    <t>2.16</t>
  </si>
  <si>
    <t>2.17</t>
  </si>
  <si>
    <t xml:space="preserve">Het systeem biedt de mogelijkheid om in te stellen welke documentformaten geüpload mogen worden. Onveilige uitvoerbare bestanden zoals exe, com, bat kunnen uitgesloten worden. </t>
  </si>
  <si>
    <t>2.18</t>
  </si>
  <si>
    <t xml:space="preserve">Opdrachtnemer verstrekt in haar digitale documentatie het actuele functionele datamodel ten behoeve van interne rapportages. </t>
  </si>
  <si>
    <t>2.19</t>
  </si>
  <si>
    <t>OD NHN moet minimaal 4 weken voordat een update/upgrade/regulier onderhoud plaatsvindt, met functionele impact voor gebruikers van de OD NHN, geïnformeerd worden over de datum, tijd en inhoud, zodat OD NHN voldoende tijd heeft om dit intern te communiceren.</t>
  </si>
  <si>
    <t>2.20</t>
  </si>
  <si>
    <t>De Servicedesk van de leverancier dient op werkdagen minimaal telefonisch bereikbaar te zijn tussen 08.30-17.00 uur.</t>
  </si>
  <si>
    <t>2.21</t>
  </si>
  <si>
    <t>Het systeem beschikt voor alle modules over een identieke layout (indeling, snelknoppen, vormgeving schermen etc.).</t>
  </si>
  <si>
    <t>2.22</t>
  </si>
  <si>
    <t>Het is mogelijk om gegevens vanuit Excel-bestanden te importeren in het systeem, bijvoorbeeld voor stambestanden, om handmatige invoer tot het minimum te beperken.</t>
  </si>
  <si>
    <t>2.23</t>
  </si>
  <si>
    <t>Bij een ingerichte autorisatieroute kan door de budgethouder zijn bevoegdheid/mandaat gedelegeerd worden naar andere budgethouders om zo bij afwezigheid van de budgethouder facturen en bestellingen te kunnen fiatteren.</t>
  </si>
  <si>
    <t>2.24</t>
  </si>
  <si>
    <t xml:space="preserve">De functioneel beheerder kan zelf eenvoudig grootboekrekeningen, administraties, BTW-codes etc. aanmaken c.q. aanpassen. </t>
  </si>
  <si>
    <t>2.25</t>
  </si>
  <si>
    <t>Op autorisatierolniveau moet per medewerker een einddatum opgegeven kunnen worden</t>
  </si>
  <si>
    <t>2.26</t>
  </si>
  <si>
    <t xml:space="preserve">Opdrachtnemer heeft een test- en/of een previewomgeving beschikbaar. Updates en Nieuwe Versies worden vier weken voor uitrol op de productieomgeving beschikbaar gesteld op de testomgeving. Op de previewomgeving is telkens een stable build van de aankomende release te vinden. Daarnaast is op deze omgeving de volledige reeks modules ingeschakeld. </t>
  </si>
  <si>
    <t>2.27</t>
  </si>
  <si>
    <r>
      <t>Opdrachtnemer draagt zorg voor het beheer en onderh</t>
    </r>
    <r>
      <rPr>
        <sz val="11"/>
        <rFont val="Calibri"/>
        <family val="2"/>
        <scheme val="minor"/>
      </rPr>
      <t xml:space="preserve">oud van de </t>
    </r>
    <r>
      <rPr>
        <sz val="11"/>
        <rFont val="Calibri (Hoofdtekst)"/>
      </rPr>
      <t>s</t>
    </r>
    <r>
      <rPr>
        <sz val="11"/>
        <rFont val="Calibri"/>
        <family val="2"/>
        <scheme val="minor"/>
      </rPr>
      <t>ys</t>
    </r>
    <r>
      <rPr>
        <sz val="11"/>
        <color theme="1"/>
        <rFont val="Calibri"/>
        <family val="2"/>
        <scheme val="minor"/>
      </rPr>
      <t>temen uit volgens het SAAS-releasebeleid zoals in SLA gesteld. Deze werkzaamheden vinden in de regel plaats buiten het service-window.</t>
    </r>
  </si>
  <si>
    <t>2.28</t>
  </si>
  <si>
    <t>Voor verstoringen van het systeem dient binnen 24 uur een werkbare oplossing (eventueel workaround) beschikbaar te zijn.</t>
  </si>
  <si>
    <t>2.29</t>
  </si>
  <si>
    <t>Uw systeem gaat niet uit van supportwerkzaamheden uitgevoerd door OD NHN-medewerkers.</t>
  </si>
  <si>
    <t xml:space="preserve">Wensen:   </t>
  </si>
  <si>
    <t xml:space="preserve">Eisen:   </t>
  </si>
  <si>
    <t>3 Inkoop&amp;Contracten</t>
  </si>
  <si>
    <t>Inkoop</t>
  </si>
  <si>
    <t>3.1</t>
  </si>
  <si>
    <t>Inkoopfacturen met periodiek identieke bedragen die binnenkomen kunnen rechtstreeks worden betaald door het systeem als gevolg van goedgekeurde inkoopcontracten (bjiv.voorschotnota's  Energie)</t>
  </si>
  <si>
    <t>3.2</t>
  </si>
  <si>
    <t>Bij het parkeren van inkoopfactuur is tevens een opgaaf van reden verplicht en komt de factuur “on hold” te staan.</t>
  </si>
  <si>
    <t>3.3</t>
  </si>
  <si>
    <t>De inkoopfactuur die een vastgelegd budget (lump sum) overschrijdt kan alleen door een financieel eindverantwoordelijke worden vrijgegeven.</t>
  </si>
  <si>
    <t>3.4</t>
  </si>
  <si>
    <t>Systeem beschikt over two way matching (automische factuurafhandeling).</t>
  </si>
  <si>
    <t>Contractbeheer- en management Inkoop</t>
  </si>
  <si>
    <t>3.5</t>
  </si>
  <si>
    <t>Het systeem biedt de volgende twee signaleringsmogelijkheden waarbij de geselecteerde betrokkenen een signaal ontvangen:
- Op datum/tijd vastgelegd in de overeenkomst.
- Een signaleringsmogelijkheid bij een opzegdatum en/of verlengingsdatum zodat tijdig geanticipeerd kan worden,</t>
  </si>
  <si>
    <t>3.6</t>
  </si>
  <si>
    <t xml:space="preserve">Het systeem biedt de volgende twee signaleringsmogelijkheden waarbij de geselecteerde betrokkenen een signaal ontvangen:
-  Op basis van gebeurtenis waarbij mogelijk overeenkomst-gerelateerde acties ondernomen moeten worden, zoals monitoring, prestatie, afwijking, overtreding etc.
- Op basis van (niet halen van) prestatie indicatoren.                                                                                         </t>
  </si>
  <si>
    <t>3.7</t>
  </si>
  <si>
    <t>Het systeem koppelt contracten aan leverancier en aan contracteigenaren, waarbij het mogelijk is meerdere contracten aan een leverancier te koppelen.</t>
  </si>
  <si>
    <t>3.8</t>
  </si>
  <si>
    <t>Het systeem biedt de mogelijkheid per contract contactmomenten en aanvullende afspraken te registreren.</t>
  </si>
  <si>
    <t>3.9</t>
  </si>
  <si>
    <t xml:space="preserve">In het systeem dient het vastleggen van een centraal contractdossier mogelijk te zijn. In het contractdossier kunnen minimaal de volgende documenten worden opgeslagen zoals:                                                            - overeenkomst (PDF, Excel, Word, e-mail bestanden)
- Meerdere andere belangrijke documenten, lees contractbijlagen (bijvoorbeeld en niet volledig: verwerkersovereenkomst, SLA, addendum, bijlagen, prijzenblad, DAP, correspondentie (PDF, Excel, Word, e-mail bestanden)
</t>
  </si>
  <si>
    <t>3.10</t>
  </si>
  <si>
    <t xml:space="preserve">Het systeem biedt in het contractdossier de mogelijkheid een vrij invulveld / notitieveld waarbij voor ieder contract notities gemaakt kunnen worden.  </t>
  </si>
  <si>
    <t xml:space="preserve"> Inkoopcontract gerelateerde gegevens</t>
  </si>
  <si>
    <t>3.11</t>
  </si>
  <si>
    <t xml:space="preserve">Het systeem registreert minimaal de volgende zeven algemene gegevens:
- contractnummer,
- inkooprelatie, 
- contractnaam,
- omschrijving,
- contracttype (incl. keuzemenu),
- status (incl. keuzemenu),
- looptijd
</t>
  </si>
  <si>
    <t>3.12</t>
  </si>
  <si>
    <t xml:space="preserve">Het systeem registreert minimaal de volgende vijf financiele gegevens:
- contractwaarde totaal (excl.BTW),
- contractwaarde per/jaar (excl. BTW),
- indexatie (ja/nee),
- indexatiedatum,
- Facturatieperiode(incl. keuzemenu).                                                                                                                - Kostenplaats en grootboekrekening
</t>
  </si>
  <si>
    <t>3.13</t>
  </si>
  <si>
    <t xml:space="preserve">Het systeem registreert minimaal de volgende zes gegevens over looptijden:
- ingangsdatum contract, 
- einddatum contract, 
- opzegdatum,
- optie tot verlenging (ja/nee),
- periode verlenging (in maanden),
- Uiterlijke einddatum na verlenging.
</t>
  </si>
  <si>
    <t>3.14</t>
  </si>
  <si>
    <t>Het systeem biedt minimaal de mogelijkheid om een spendanalyse te genereren over minimaal de afgelopen 4 jaar (óók t.b.v. accountantscontrole).</t>
  </si>
  <si>
    <t>3.15</t>
  </si>
  <si>
    <t>Het systeem genereert automatisch financiele verplichtingen met minimaal de volgende vier mogelijkheden:
	&gt; Per jaar, vanaf periode begindatum
	&gt; Per jaar, pro rata verdelen
	&gt; Per maand, evenredig verdelen
	&gt; Per maand, pro rata verdelen</t>
  </si>
  <si>
    <t>3.16</t>
  </si>
  <si>
    <t>Het systeem registreert minimaal de volgende drie beheergegevens:
- verantwoordelijke,
- contracteigenaar,
- contractbeheerder.</t>
  </si>
  <si>
    <t>4  Crediteuren</t>
  </si>
  <si>
    <t>Verwerken Inkoopfacturen: Administratief vastleggen van inkoopfacturen incl. codering</t>
  </si>
  <si>
    <t>4.1</t>
  </si>
  <si>
    <t>Digitaal inkoopfacturen kunnen ontvangen en inlezen waaronder UBL</t>
  </si>
  <si>
    <t>4.2</t>
  </si>
  <si>
    <t>Fysieke inkoopfacturen kunnen digitaliseren (UBL)</t>
  </si>
  <si>
    <t>4.3</t>
  </si>
  <si>
    <t>Inkoopfacturen kunnen boeken en coderen</t>
  </si>
  <si>
    <t>4.4</t>
  </si>
  <si>
    <t>Bij het boeken van facturen moet rekening gehouden worden met de Pro-Rata BTW regeling zoals die geldt voor gemeenten. OD NHN valt onder regelgeving die geldt voor gemeenten</t>
  </si>
  <si>
    <t>4.5</t>
  </si>
  <si>
    <t>E-facturen moeten gematched worden met inkoopverplichtingen. (verplichtingenadministratie)</t>
  </si>
  <si>
    <t>E- facturen moeten kunnen worden  ontvangen, verwerkt en verzonden via Peppol.</t>
  </si>
  <si>
    <t>4.7</t>
  </si>
  <si>
    <t xml:space="preserve">E -facturen moeten rechtstreeks uit een emailbox kunnen worden ingelezen en verwerkt. </t>
  </si>
  <si>
    <t>4.8</t>
  </si>
  <si>
    <t>Inkoopfacturen van inhuur externen kunnen matchen met de geschreven uren in tijdschrijfsysteem.</t>
  </si>
  <si>
    <t>Autoriseren Inkoopfacturen: Beoordelen of factuur wel of niet betaald mag worden</t>
  </si>
  <si>
    <t>4.9</t>
  </si>
  <si>
    <t>Autorisatie workflow op basis van organisatie en bedrag</t>
  </si>
  <si>
    <t>4.10</t>
  </si>
  <si>
    <t>Automatisch autoriseren van niet afwijkende periodieke facturen</t>
  </si>
  <si>
    <t>4.11</t>
  </si>
  <si>
    <t>Indien budgethouder niet tijdig autoriseert, dient er een signaal te worden gegeven en na een bepaalde tijd wordt de factuur automatisch doorgezet naar volgende budgethouder</t>
  </si>
  <si>
    <t>4.12</t>
  </si>
  <si>
    <t>Bij afkeur van de factuur moet verplicht een reden van afkeur opgegeven worden</t>
  </si>
  <si>
    <t>4.13</t>
  </si>
  <si>
    <t>Rapportage: Werkvoorraad</t>
  </si>
  <si>
    <t>Verwerken Onkostendeclaraties: Administratief vastleggen van onkostendeclaraties incl. codering</t>
  </si>
  <si>
    <t>4.14</t>
  </si>
  <si>
    <t>Digitaal onkostendeclaratie formulier kunnen ontvangen en inlezen</t>
  </si>
  <si>
    <t>4.15</t>
  </si>
  <si>
    <t>Onkostendeclaratie formulier kunnen coderen en boeken</t>
  </si>
  <si>
    <t>4.16</t>
  </si>
  <si>
    <t>Rapportage: Werkvoorraad/ saldilijst/ openstaande posten ouderdom</t>
  </si>
  <si>
    <t>Verwerken bankmutaties: Administratief vastleggen van bankmutaties incl. codering</t>
  </si>
  <si>
    <t>4.17</t>
  </si>
  <si>
    <t>Het elektronisch kunnen ontvangen en inlezen van bankafschriften met de meest gangbare formats</t>
  </si>
  <si>
    <t>4.18</t>
  </si>
  <si>
    <t>Digitale brievenbus functionaliteit tbv bankafschriften</t>
  </si>
  <si>
    <t>Verwerken Kassen: Het administratief vastleggen van kassen incl. codering</t>
  </si>
  <si>
    <t>4.19</t>
  </si>
  <si>
    <t>5  Debiteuren</t>
  </si>
  <si>
    <t xml:space="preserve"> Factureren Verkoop: Het creëren en registreren van een vordering </t>
  </si>
  <si>
    <t>Importfunctionaliteit vanuit externe systemen</t>
  </si>
  <si>
    <t>5.2</t>
  </si>
  <si>
    <t>Automatische schedulings/rooster-mogelijkheid t.b.v. gegevensuitwisseling</t>
  </si>
  <si>
    <t>5.3</t>
  </si>
  <si>
    <t>Rapportages: Saldilijst, ouderdomslijst</t>
  </si>
  <si>
    <t>5.4</t>
  </si>
  <si>
    <t>Importfunctie vordering vanuit derde systemen</t>
  </si>
  <si>
    <t>5.5</t>
  </si>
  <si>
    <t>Functionaliteit om digitale factuur te creëren en verzenden via e-mail en fysiek</t>
  </si>
  <si>
    <t>5.6</t>
  </si>
  <si>
    <t>Creatie vordering per debiteur</t>
  </si>
  <si>
    <t>5.7</t>
  </si>
  <si>
    <t>Upload functionaliteit om diverse type bestanden up te loaden en toe te voegen aan de betreffende debiteur</t>
  </si>
  <si>
    <t>5.8</t>
  </si>
  <si>
    <t>Vrij invulveld in lay-out factuur (max 100 karakters)</t>
  </si>
  <si>
    <t>5.9</t>
  </si>
  <si>
    <t>Het systeem moet in staat zijn om op basis van bepaalde kenmerken het juiste logo, gegevens OD NHN  (bv. bankrekening), etc. te genereren m.b.t. digitale facturen</t>
  </si>
  <si>
    <t>Debiteuren Beheer: Incasseren uitstaande vorderingen</t>
  </si>
  <si>
    <t>5.10</t>
  </si>
  <si>
    <t>Het systeem kan  meerdere behandelpaden (incassotrajecten) ondersteunen</t>
  </si>
  <si>
    <t>5.11</t>
  </si>
  <si>
    <t>Het systeem kan  betaalregelingen faciliteren</t>
  </si>
  <si>
    <t>5.12</t>
  </si>
  <si>
    <t>Het systeem bevat afletterfunctionalisteit</t>
  </si>
  <si>
    <t>5.13</t>
  </si>
  <si>
    <t>Het systeem kan digitaal herinneringen en aanmaningen versturen via mail</t>
  </si>
  <si>
    <t>5.14</t>
  </si>
  <si>
    <t>Het systeem kan automatisch een incassodossier generen voor overdracht externe incassopartners</t>
  </si>
  <si>
    <t>5.15</t>
  </si>
  <si>
    <t>Op het niveau van de debiteur kan een blokkade voor herinneren/ aanmanen aangezet kunnen worden</t>
  </si>
  <si>
    <t>5.16</t>
  </si>
  <si>
    <t>Het systeem kan een WIK (Wet Incasso Kosten)  brief  genereren</t>
  </si>
  <si>
    <t>5.17</t>
  </si>
  <si>
    <t>Digitale verkoopfacturen (via UBL) kunnen maken en versturen</t>
  </si>
  <si>
    <t>5.18</t>
  </si>
  <si>
    <t>E- facturen kunnen worden ontvangen, verwerkt en verzonden via Peppol.</t>
  </si>
  <si>
    <t>5.1 Verkoopcontracten</t>
  </si>
  <si>
    <t xml:space="preserve"> Verkoopcontract gerelateerde gegevens</t>
  </si>
  <si>
    <t>5.1.1</t>
  </si>
  <si>
    <t xml:space="preserve">Het systeem biedt de mogelijkheid minimaal de volgende zeven algemene gegevens te registreren:
- contractnummer,
- verkoopprelatie, 
- contractnaam,
- omschrijving,
- contracttype (incl. keuzemenu),
- status (incl. keuzemenu),
- looptijd.
</t>
  </si>
  <si>
    <t>5.1.2</t>
  </si>
  <si>
    <t xml:space="preserve">Het systeem biedt de mogelijkheid minimaal de volgende zes financiele gegevens te registreren:
- contractwaarde totaal (excl.BTW),
- contractwaarde per/jaar (excl. BTW),
- indexatie (ja/nee),
- indexatiedatum,
- Facturatieperiode(incl. keuzemenu),                                                                                                               - Kostenplaats en grootboekrekening.
</t>
  </si>
  <si>
    <t>5.1.3</t>
  </si>
  <si>
    <t xml:space="preserve">Het systeem biedt de mogelijkheid minimaal de volgende zes gegevens ten aanzien van looptijden te registreren:
- ingangsdatum contract, 
- einddatum contract, 
- opzegdatum,
- optie tot verlenging (ja/nee),
- periode verlenging (in maanden),
- uiterlijke einddatum na verlenging.
</t>
  </si>
  <si>
    <t>5.1.4</t>
  </si>
  <si>
    <t>Het systeem biedt de volgende mogelijkheden:
- automatisch rechten genereren met de volgende vier mogelijkheden:
	&gt; Per jaar, vanaf periode begindatum,
	&gt; Per jaar, pro rata verdelen,
	&gt; Per maand, evenredig verdelen,
	&gt; Per maand, pro rata verdelen.</t>
  </si>
  <si>
    <t>5.1.5</t>
  </si>
  <si>
    <t>Het systeem biedt de mogelijkheid minimaal de volgende drie beheergegevens te registreren:
- verantwoordelijke,
- contracteigenaar,
- contractbeheerder,.</t>
  </si>
  <si>
    <t>Totaal:</t>
  </si>
  <si>
    <t>6 Financieel Beheer</t>
  </si>
  <si>
    <t>Verwerken Financiële transacties: Verwerken financiële transacties op de juiste entiteit, grootboekrekening, kostenplaats t.b.v. rapportages (o.a. jaarrekening)</t>
  </si>
  <si>
    <t>6.1</t>
  </si>
  <si>
    <t>Functionliteit voor Memoriaalboekingen is aanwezig</t>
  </si>
  <si>
    <t>6.2</t>
  </si>
  <si>
    <t>Interne doorbelastingen</t>
  </si>
  <si>
    <t>6.3</t>
  </si>
  <si>
    <t>Activamodule is aanwezig</t>
  </si>
  <si>
    <t>6.4</t>
  </si>
  <si>
    <t>Het systeem moet een aflettermodule bevatten</t>
  </si>
  <si>
    <t>6.5</t>
  </si>
  <si>
    <t xml:space="preserve">Rapportage kunnen maken </t>
  </si>
  <si>
    <t>Projectadministratie</t>
  </si>
  <si>
    <t>6.6</t>
  </si>
  <si>
    <t xml:space="preserve">Digitaal uren schrijven (zowel gebudgetteerde als werkelijke uren) op een project </t>
  </si>
  <si>
    <t>6.7</t>
  </si>
  <si>
    <t>Bij uren schrijven op een project kosten kunnen bereken op basis van uurtarief</t>
  </si>
  <si>
    <t>6.8</t>
  </si>
  <si>
    <t>Boeking overige financiële mutaties op een project</t>
  </si>
  <si>
    <t>6.9</t>
  </si>
  <si>
    <t>Administreren op hoofd- en deelprojecten</t>
  </si>
  <si>
    <t>6.10</t>
  </si>
  <si>
    <t>Inzicht op projectniveau (budget/actual)</t>
  </si>
  <si>
    <t>6.11</t>
  </si>
  <si>
    <t>Invoeren budget op projectniveau</t>
  </si>
  <si>
    <t>6.12</t>
  </si>
  <si>
    <t>Financiele Rapportage over projecten</t>
  </si>
  <si>
    <t>7  Control</t>
  </si>
  <si>
    <t>Samenstellen en Vastleggen budgetten: Het samenstellen en vastleggen van budgetten van alle onderdelen binnen  OD NHN</t>
  </si>
  <si>
    <t>7.1</t>
  </si>
  <si>
    <t>Het systeem moet het samenstellen en vastleggen van een actuele 12 maands-begroting ondersteunen</t>
  </si>
  <si>
    <t>7.2</t>
  </si>
  <si>
    <t>Het systeem moet rapportagemogelijkheden bieden die binnen het control werkveld gangbaar zijn: namelijk Balans, V&amp;W, Spend- en ouderdomsanalyse. Dit alles moet geexporteerd kunnen worden naar excel.</t>
  </si>
  <si>
    <t>7.3</t>
  </si>
  <si>
    <t xml:space="preserve">Het systeem moet het samenstellen van een meerjarenbegroting ondersteunen. Dit door middel van het verhogen of verlagen van diverse parameters </t>
  </si>
  <si>
    <t>7.4</t>
  </si>
  <si>
    <t xml:space="preserve">Het systeem ondersteunt  het samenstellen van een forecast / latest estimate </t>
  </si>
  <si>
    <t>Periodiek Rapporteren Balans en V&amp;W: Faciliteren van stuurinformatie aan MT en overige onderdelen binnen de OD NHN</t>
  </si>
  <si>
    <t>7.5</t>
  </si>
  <si>
    <t>Data dump van alle mutaties naar Excel zijn mogelijk</t>
  </si>
  <si>
    <t>7.6</t>
  </si>
  <si>
    <t>Het systeem heeft standaardprocedures voor het afsluiten van een boekjaar</t>
  </si>
  <si>
    <t>7.7</t>
  </si>
  <si>
    <t>Data in rapportagetool wordt real time geüpdate</t>
  </si>
  <si>
    <t xml:space="preserve">Het personeelssysteem moet volledig geïntegreerd zijn met het salarissysteem. </t>
  </si>
  <si>
    <t xml:space="preserve">Voor een medewerker is minimaal het volgende vast te leggen de wettelijk vereiste gegevens. 
</t>
  </si>
  <si>
    <t>Het systeem biedt de mogelijkheid om voor een medewerker aanvullende gegevens vast te leggen zoals relatie- en kindgegevens; formatie, bezetting en functie; arbeidsverleden; begin- en einddatum contracten; voorkeursnaam en titel; nationaliteit, id-bewijs, telefoonnummer privé.</t>
  </si>
  <si>
    <t>Bij afkeuring van een mutatie door leidinggevende of geautoriseerde medewerker, stuurt het systeem een terugkoppeling/melding naar de medewerker die desbetreffende mutatie heeft ingediend.</t>
  </si>
  <si>
    <t>8.5</t>
  </si>
  <si>
    <t>Het systeem biedt de mogelijkheid om bij personeelregistratie eigen tabellen van ODNHN te gebruiken.</t>
  </si>
  <si>
    <t>8.6</t>
  </si>
  <si>
    <t xml:space="preserve">Het systeem ondersteunt de registratie van derden zoals inhuurkrachten, onbetaalde medewerkers, vrijwilligers (personeel niet in loondienst/niet-payroll medewerkers). </t>
  </si>
  <si>
    <t>8.7</t>
  </si>
  <si>
    <t xml:space="preserve">Het systeem legt de opleidingsgegevens vast op een eenvoudige manier (zonder gebruik te hoeven maken van een bepaalde tabelinrichting). </t>
  </si>
  <si>
    <t>8.8</t>
  </si>
  <si>
    <t xml:space="preserve">Het systeem biedt de mogelijkheid om verstrekte bedrijfseigendommen vast te leggen zoals bedrijfskleding, mobiele telefoon, laptop, auto, fiets, lening, studiefaciliteiten, sleutels, pasjes etc. </t>
  </si>
  <si>
    <t>8.9</t>
  </si>
  <si>
    <t>Bij het vervaardingen van managementinformatie moeten gegevens uit het personeels- en salarissysteem in 1 rapport worden gepresenteerd.</t>
  </si>
  <si>
    <t>8.10</t>
  </si>
  <si>
    <t>Een overeenkomst of brief wordt automatisch door het systeem gegenereerd, waarbij gebruik gemaakt wordt van het eigen logo en huisstijl.</t>
  </si>
  <si>
    <t>8.11</t>
  </si>
  <si>
    <t>Het is mogelijk om een overeenkomst of brief digitaal te versturen.</t>
  </si>
  <si>
    <t>8.12</t>
  </si>
  <si>
    <t>Het is mogelijk om oveeenkomsten en brieven digitaal te ondertekenen.</t>
  </si>
  <si>
    <t>8.13</t>
  </si>
  <si>
    <t>Het systeem biedt een koppeling met het digitaal personeelsdossier.</t>
  </si>
  <si>
    <t>8.14</t>
  </si>
  <si>
    <t>Het systeem biedt de mogelijkheid om documenen  te uploaden in het digitaal medewerkers  dossier.</t>
  </si>
  <si>
    <t>8.15</t>
  </si>
  <si>
    <t>Binnen het systeem kunnen onbeperkt templates (soorten overeenkomsten) aangemaakt worden.</t>
  </si>
  <si>
    <t>8.16</t>
  </si>
  <si>
    <t>Het systeem biedt de mogelijkheid om medewerkers zelf persoonlijke  informatie in te laten vullen.</t>
  </si>
  <si>
    <t>8.17</t>
  </si>
  <si>
    <t>Het systeem biedt de mogelijkheid om document te uploaden bij het indienen van een declaratie, aanvraag of vergoeding.</t>
  </si>
  <si>
    <t>8.18</t>
  </si>
  <si>
    <t>Stukken uit het digitale Personeelsdossier kunnen automatisch vernietigd worden op documentniveau, afhankelijk van vernietigingsdatum conform de archiefwet.</t>
  </si>
  <si>
    <t>8.19</t>
  </si>
  <si>
    <t xml:space="preserve">Voor het autorisatiebeheer geldt: 
 - heeft de mogelijkheid om medewerkers automatisch aan autorisatiegroepen te koppelen op basis van de functie en plek in het organogram.                                                              
</t>
  </si>
  <si>
    <t>8.20</t>
  </si>
  <si>
    <t xml:space="preserve"> - het is mogelijk een autorisatiematrix uit te draaien.
</t>
  </si>
  <si>
    <t>8.21</t>
  </si>
  <si>
    <t xml:space="preserve"> - het systeem biedt een eenvoudige workflow voor vervanging medewerker.</t>
  </si>
  <si>
    <t>8.22</t>
  </si>
  <si>
    <t>Het systeem geeft een waarschuwing of blokkeert bij foutieve invoer van gegevens zoals BSNr, IBAN, dubbele invoer).</t>
  </si>
  <si>
    <t>8.23</t>
  </si>
  <si>
    <t>Het systeem biedt de mogelijkheid om signalen, meldingen, taken of mails (is een vrije keus voor ODNHN) te genereren op basis van een tijdstrigger (bijvoorbeeld 3 maanden voor een jubileum of voor het aflopen van een contract). Ingericht kan worden wie, welk signaal, taak of mail moet krijgen.</t>
  </si>
  <si>
    <t>8.24</t>
  </si>
  <si>
    <t>Het systeem biedt de mogelijkheid om vanuit de signalen of taken (is een vrije keus voor ODNHN) direct de gebruiker op de 'juiste plek' in het systeem/workflow te plaatsen (deeplink) om hiermee de afhandeling te starten.</t>
  </si>
  <si>
    <t>8.25</t>
  </si>
  <si>
    <t>Het systeem kan historische gegevens vasthouden.</t>
  </si>
  <si>
    <t>Human Resources 1</t>
  </si>
  <si>
    <t xml:space="preserve"> Salarisadministratie</t>
  </si>
  <si>
    <t>8.1.1</t>
  </si>
  <si>
    <t>8.1.2</t>
  </si>
  <si>
    <t>8.1.3</t>
  </si>
  <si>
    <t>De salarisstrook kan flexibel worden ingericht met gegevens die de OD NHN van belang vindt zoals indeling van de salarisstrook en de logica daarin (vermelden van de juiste percentages en grondslag).</t>
  </si>
  <si>
    <t>8.1.4</t>
  </si>
  <si>
    <t xml:space="preserve">Het systeem kan meerdere dienstverbanden per medewerker binnen 1 periode (1 maand) verwerken. </t>
  </si>
  <si>
    <t>8.1.5</t>
  </si>
  <si>
    <t xml:space="preserve">Loonstroken en jaaropgave kunnen door medewerkers digitaal opgehaald  worden vanuit het systeem. </t>
  </si>
  <si>
    <t>8.1.6</t>
  </si>
  <si>
    <t>Het systeem kan ex- medewerkers hun laatste loonstrook en jaaropgave automatisch aanbieden.</t>
  </si>
  <si>
    <t>8.1.7</t>
  </si>
  <si>
    <t>Het systeem biedt de mogelijkheid om een standaardrapportage zoals een standenregister of loonstaat uit te draaien.</t>
  </si>
  <si>
    <t>8.1.8</t>
  </si>
  <si>
    <t>Het systeem biedt de mogelijkheid om pro forma loonberekeningen te maken.</t>
  </si>
  <si>
    <t>8.1.9</t>
  </si>
  <si>
    <t xml:space="preserve">Het systeem biedt voldoende (minimaal 999) vrij aan te maken looncomponenten. </t>
  </si>
  <si>
    <t>8.1.10</t>
  </si>
  <si>
    <t>Het systeem maakt loonmutaties aan met terugwerkende kracht (in voorkomend geval).</t>
  </si>
  <si>
    <t>8.1.11</t>
  </si>
  <si>
    <t>Het systeem verwerkt mutaties (buitengewoon verlof en korting vanwege langdurig ziekte) conform fiscale- en sociale regelgeving en de cao. Onder mutaties verstaan we o.a. buitengewoon verlof en korting vanwege arbeidsongeschiktheid, maar niet beperkt tot deze opsomming.</t>
  </si>
  <si>
    <t>8.1.12</t>
  </si>
  <si>
    <t>Het systeem biedt de mogelijkheid om afwijkende premiepercentages vast te leggen.</t>
  </si>
  <si>
    <t>8.1.13</t>
  </si>
  <si>
    <t>Het systeem biedt de mogelijkheid om bij de loonjournaalpost meerdere afwijkende kostenplaatsen op persoonsniveau vast te leggen.</t>
  </si>
  <si>
    <t>8.1.14</t>
  </si>
  <si>
    <t>De journaalpost is eenvoudig in te lezen in het financieel pakket.</t>
  </si>
  <si>
    <t>8.1.15</t>
  </si>
  <si>
    <t xml:space="preserve">Het systeem biedt de mogelijkheid om de salariskosten per functie te begroten. </t>
  </si>
  <si>
    <t>8.1.16</t>
  </si>
  <si>
    <t xml:space="preserve">Het systeem biedt de mogelijkheid om een rapportage van de salariskosten per medewerker uit te draaien op organisatielaag. </t>
  </si>
  <si>
    <t>8.1.17</t>
  </si>
  <si>
    <t>Het systeem biedt de mogelijkheid om toelagen en inhoudingen met verschillende grondslagen te kunnen verwerken.</t>
  </si>
  <si>
    <t>8.1.18</t>
  </si>
  <si>
    <t>Noodzakelijke aanpassingen vanuit de CAO en wet- en regelgeving worden uiterlijk op de ingangsdatum door de leverancier aangebracht in het systeem.</t>
  </si>
  <si>
    <t>8.1.19</t>
  </si>
  <si>
    <t>Het systeem genereert een betaalbestand met uit te betalen salaris en verstrekt dit aan relevante partijen.</t>
  </si>
  <si>
    <t>8.1.20</t>
  </si>
  <si>
    <t>De opdrachtnemer draagt zorg voor wijzigingen binnen de cao (zoals bv salarisverhoging, eenmalige uitkeringen etc.). Leverancier verstrekt duidelijke informatie hierover.</t>
  </si>
  <si>
    <t xml:space="preserve">Het systeem kan datafiles genereren aan de volgende externe partijen in de vereiste formaten: pensioenfonds ABP, Belastingdienst, UWV en arbodiensten (meerdere). </t>
  </si>
  <si>
    <t>Human Resources 2</t>
  </si>
  <si>
    <t>Declaraties</t>
  </si>
  <si>
    <t>8.2.1</t>
  </si>
  <si>
    <t>Het systeem biedt een volgbare workflow functionaliteit voor medewerkers om buitendagvenster- en onkostenvergoedingen in te dienen.</t>
  </si>
  <si>
    <t>8.2.2</t>
  </si>
  <si>
    <t xml:space="preserve">Voor een declaratie geldt het volgende:
 - Van het totaalbedrag is in 1 oopopslag de context te zien.
</t>
  </si>
  <si>
    <t>8.2.3</t>
  </si>
  <si>
    <t>8.2.4</t>
  </si>
  <si>
    <t>8.2.5</t>
  </si>
  <si>
    <t>8.2.6</t>
  </si>
  <si>
    <t>8.2.7</t>
  </si>
  <si>
    <t>8.2.8</t>
  </si>
  <si>
    <t>De oplossing biedt de mogelijkheid om meerdere bijlagen toe te voegen (bijvoorbeeld een vervoersbewijs) als bewijsstuk in het personeelsdossier van desbetreffende medewerker.</t>
  </si>
  <si>
    <t>8.2.9</t>
  </si>
  <si>
    <t>De bewijsstukken in het personeelsdossier worden bewaard voor de termijn conform de fiscale bewaartermijn.</t>
  </si>
  <si>
    <t>8.2.10</t>
  </si>
  <si>
    <t>8.2.11</t>
  </si>
  <si>
    <t>Op basis van de afstand woon-werk en het aantal werkdagen per periode, kan de vergoeding voor woon-werkverkeer automatisch berekend worden, ongeacht of dit op de 1e dag van de maand plaatsvindt.</t>
  </si>
  <si>
    <t>8.2.12</t>
  </si>
  <si>
    <t>De vergoeding woon-werk wordt bij een personele mutatie zoals wijziging deeltijdfactor of opname ouderschapsverlof automatisch aangepast.</t>
  </si>
  <si>
    <t>8.2.13</t>
  </si>
  <si>
    <t xml:space="preserve">Alleen geautoriseerde medewerkers hebben de mogelijkheid declaraties na afronding te wijzigen. </t>
  </si>
  <si>
    <t>8.2.14</t>
  </si>
  <si>
    <t>Het systeem biedt de mogelijkheid om uren te kunnen declarareren, waarbij een standaardrooster optioneel is.</t>
  </si>
  <si>
    <t>Human Resources 3</t>
  </si>
  <si>
    <t>Vakantieverlof en Buitengewoon verlof</t>
  </si>
  <si>
    <t>8.3.1</t>
  </si>
  <si>
    <t>Het systeem onderscheidt verschillende soorten verlof. De verlofsoorten worden conform cao ingericht en toegepast.</t>
  </si>
  <si>
    <t>8.3.2</t>
  </si>
  <si>
    <t xml:space="preserve">Het systeem (her)berekent automatisch de verlofrechten op basis van datum in- en uitdiensttreding  en de daaraan gekoppelde deeltijdfactor. </t>
  </si>
  <si>
    <t>8.3.3</t>
  </si>
  <si>
    <t xml:space="preserve">Voor buitengewoon verlof wordt indien van toepassing automatisch een salarismutatie aangemaakt, welke handmatig aanpasbaar is. </t>
  </si>
  <si>
    <t>8.3.4</t>
  </si>
  <si>
    <t>Het systeem voorziet in management informatie t.b.v. verlof registratie. Hierin wordt onder andere verlof en bezetting inzichtelijk.</t>
  </si>
  <si>
    <t>8.3.5</t>
  </si>
  <si>
    <t>Eigen verlof registratie is inzichtelijk voor medewerkers (ze zien hoeveel rechten zij hebben en wanneer er verlof is aangevraagd/afgeboekt).</t>
  </si>
  <si>
    <t>8.3.6</t>
  </si>
  <si>
    <t>Het systeem ondersteunt met behulp van workflow de aanvraag, goed- en afkeuring en afboeking van verlof.</t>
  </si>
  <si>
    <t>8.3.7</t>
  </si>
  <si>
    <t>Geautoriseerde medewerkers  hebben de mogelijkheid om correcties in het verlof aan te brengen, waarbij de workflowhistorie geborgd is.</t>
  </si>
  <si>
    <t>8.3.8</t>
  </si>
  <si>
    <t>Het systeem biedt de mogelijkheid om het juiste aantal uren verlof op te nemen per dag, waarbij een standaardrooster optioneel is.</t>
  </si>
  <si>
    <t>Arbo en Verzuim</t>
  </si>
  <si>
    <t>8.3.9</t>
  </si>
  <si>
    <t>Leidinggevenden en HR registreren ziek- en (gedeeltelijke) herstelmeldingen in het systeem.</t>
  </si>
  <si>
    <t>8.3.10</t>
  </si>
  <si>
    <t>Geregistreerd ziekteverzuim wordt direct na verwerking getoond in managementinformatie.</t>
  </si>
  <si>
    <t>8.3.11</t>
  </si>
  <si>
    <t xml:space="preserve">Het systeem signaleert naar leidinggevenden als medewerkers 3 of meer keer ziek zijn in de afgelopen 12 maanden.  </t>
  </si>
  <si>
    <t>8.3.12</t>
  </si>
  <si>
    <t>Het systeem signaleert conform de Wet verbetering poortwachter welke acties een leidinggevende per zieke medewerker moet verrichten.</t>
  </si>
  <si>
    <t>8.3.13</t>
  </si>
  <si>
    <t>Het systeem biedt de mogelijkheid aan leidinggevende en HR om tijdens ziekte en re-integratie het re-integratieverslag (incl. de verplichte documenten) volgens de Wet verbetering poortwachter, met behulp van UWV sjablonen, op een rechtsgeldige wijze op te bouwen.</t>
  </si>
  <si>
    <t>8.3.14</t>
  </si>
  <si>
    <t>Alle documenten die gezamenlijk het re-integratieverslag vormen kunnen geëxporteerd worden ter voorbereiding op een WIA-aanvraag.</t>
  </si>
  <si>
    <t>8.3.15</t>
  </si>
  <si>
    <t>Het systeem wisselt automatisch gegevens uit met het UWV. Instelbaar op 'x' dagen na een ziekmelding waarbij de termijnen vanuit de Wet Verbetering Poortwachter worden aangehouden.</t>
  </si>
  <si>
    <t>8.3.16</t>
  </si>
  <si>
    <t>Het systeem wisselt automatisch gegevens uit met het UWV als een medewerker ziek uit dienst gaat.</t>
  </si>
  <si>
    <t>8.3.17</t>
  </si>
  <si>
    <t>Het systeem moet automatisch gegevens uit kunnen wisselen met de arbodienst. Bijvoorbeeld ziek- en (gedeeltelijke) herstelmeldingen en medewerkergegevens worden automatisch naar de arbodienst geëxporteerd. Documenten van de arbodienst (zoals adviezen van de bedrijfsarts) worden automatisch (via een documentkoppeling) geïmporteerd.</t>
  </si>
  <si>
    <t>8.3.18</t>
  </si>
  <si>
    <t>Het systeem biedt managementrapportages op het gebied van ziekteverzuim.</t>
  </si>
  <si>
    <t>Human Resources 4</t>
  </si>
  <si>
    <t>Werving &amp; Selectie</t>
  </si>
  <si>
    <t>8.4.1</t>
  </si>
  <si>
    <t>Het systeem ondersteunt het volledige (online) werving- en selectieproces door de sollicitant te volgen.</t>
  </si>
  <si>
    <t>8.4.2</t>
  </si>
  <si>
    <t xml:space="preserve">Het systeem staat toe een website in te richten die gericht is op Werving en Selectie. </t>
  </si>
  <si>
    <t>8.4.3</t>
  </si>
  <si>
    <t>De website die gericht is op Werving en Selectie sluit aan op het systeem.</t>
  </si>
  <si>
    <t>8.4.4</t>
  </si>
  <si>
    <t>Het systeem staat toe dat een online onboardingsprocedure van een nieuwe medewerker wordt ingericht.</t>
  </si>
  <si>
    <t>8.4.5</t>
  </si>
  <si>
    <t xml:space="preserve">De onboardingsprocedure wordt ingericht op basis van de informatie die HR van de nieuwe medewerker nodig heeft. </t>
  </si>
  <si>
    <t>8.4.6</t>
  </si>
  <si>
    <t xml:space="preserve">Het systeem bevat een workflowfunctionaliteit waarmee ten minste deze acties geautomatiseerd worden: </t>
  </si>
  <si>
    <t>8.4.7</t>
  </si>
  <si>
    <t>Versturen van ontvangstbevestigingen via e-mail aan sollicitanten vanwege hun sollicitatie.</t>
  </si>
  <si>
    <t>8.4.8</t>
  </si>
  <si>
    <t>Afwijzen van sollicitanten via e-mail.</t>
  </si>
  <si>
    <t>8.4.9</t>
  </si>
  <si>
    <t>Uitnodigen van sollicitanten voor (selectie)gesprekken via e-mail.</t>
  </si>
  <si>
    <t>8.4.10</t>
  </si>
  <si>
    <t xml:space="preserve">Het systeem bevat een workflowfunctionaliteit waarmee een sollicitant via e-mail gevraagd kan worden een Verklaring Omtrent Gedrag aan te vragen. </t>
  </si>
  <si>
    <t>8.4.11</t>
  </si>
  <si>
    <t>Het is mogelijk om via het systeem vacatures te plaatsen op externe wervingskanalen.</t>
  </si>
  <si>
    <t>8.4.12</t>
  </si>
  <si>
    <t>Gesprekscyclus</t>
  </si>
  <si>
    <t>8.4.13</t>
  </si>
  <si>
    <t>Het systeem ondersteunt minstens bij het organiseren en vastleggen van plan-, voortgangs- en beoordelingsgesprekken.</t>
  </si>
  <si>
    <t>8.4.14</t>
  </si>
  <si>
    <t xml:space="preserve">Het systeem biedt een functionaliteit waarmee een vormvrije gesprekscyclus ingericht kan worden. </t>
  </si>
  <si>
    <t>8.4.15</t>
  </si>
  <si>
    <t>Het systeem biedt een functionaliteit tot het opstellen van persoonlijke ontwikkelplannen (POP's).</t>
  </si>
  <si>
    <t>8.4.16</t>
  </si>
  <si>
    <t>Het systeem biedt de mogelijkheid aan leidinggevenden en medewerkers om samen ingerichte formulieren ten behoeve van de gesprekscyclus in te vullen.</t>
  </si>
  <si>
    <t>8.4.17</t>
  </si>
  <si>
    <t xml:space="preserve">Ingevulde formulieren kunnen door leidinggevenden en medewerkers via een workflow worden goedgekeurd. </t>
  </si>
  <si>
    <t>8.4.18</t>
  </si>
  <si>
    <t xml:space="preserve">Goedgekeurde formulieren worden automatisch opgeslagen in het digitale personeelsdossier. </t>
  </si>
  <si>
    <t>8.4.19</t>
  </si>
  <si>
    <t>Het systeem biedt de mogelijkheid aanvullende documenten op de gesprekscyclus te uploaden.</t>
  </si>
  <si>
    <t>8.4.20</t>
  </si>
  <si>
    <t>Functie- en competentieprofielen die horen bij de functie van een medewerker kunnen onderdeel gemaakt worden van de formulieren.</t>
  </si>
  <si>
    <t>8.4.21</t>
  </si>
  <si>
    <t xml:space="preserve">Het systeem biedt de mogelijkheid voor medewerkers om bij andere medewerkers feedback op te vragen als onderdeel van de gesprekscyclus; 360 graden feedback. </t>
  </si>
  <si>
    <t>8.4.22</t>
  </si>
  <si>
    <t>Het systeem monitort voor leidinggevenden en HR de voortgang van de gesprekscyclus op verschillende organisatieniveaus en toont dit in een managementrapportage.</t>
  </si>
  <si>
    <t>Opleiden en Ontwikkelen</t>
  </si>
  <si>
    <t>8.4.23</t>
  </si>
  <si>
    <t>Behaalde opleidingen, trainingen, cursussen en certificaten worden per medewerker in het systeem worden geregistreerd.</t>
  </si>
  <si>
    <t>8.4.24</t>
  </si>
  <si>
    <t>De medewerkers kunnen diploma's en certificaten uploaden in het systeem en deze worden opgeslagen in hun digitale personeelsdossier.</t>
  </si>
  <si>
    <t>8.4.25</t>
  </si>
  <si>
    <t xml:space="preserve">Opgedane werkervaring van medewekers kan in het systeem geregistreerd worden. </t>
  </si>
  <si>
    <t>8.4.26</t>
  </si>
  <si>
    <t>Opleidingen, trainingen en cursussen die werkgever aanbiedt aan medewerkers zijn zichtbaar in het systeem.</t>
  </si>
  <si>
    <t>8.4.27</t>
  </si>
  <si>
    <t>Opstellen en registreren van een studieovereenkomst wordt ondersteund door het systeem.</t>
  </si>
  <si>
    <t>8.4.28</t>
  </si>
  <si>
    <t>Het systeem koppelt opleidingen aan functies.</t>
  </si>
  <si>
    <t>8.4.29</t>
  </si>
  <si>
    <t xml:space="preserve">Het systeem registreert competentieprofielen. </t>
  </si>
  <si>
    <t>8.4.30</t>
  </si>
  <si>
    <t xml:space="preserve">Het systeem koppelt opleidingen aan competentieprofielen. </t>
  </si>
  <si>
    <t>8.4.31</t>
  </si>
  <si>
    <t>Geldigheidstermijnen van opleidingen of certificaten (zoals de BOA-akte) worden in het systeem geregistreerd.</t>
  </si>
  <si>
    <t>8.4.32</t>
  </si>
  <si>
    <t>Het systeem signaleert het verstrijken van de geldigheidstermijn van een opleiding of certificaat.</t>
  </si>
  <si>
    <t>8.4.33</t>
  </si>
  <si>
    <t xml:space="preserve">Op basis van de functie van een nieuwe medewerker signaleert het systeem tijdens het onboardingsproceswelke opleidingen, cursussen of training de medewerker kan volgen. </t>
  </si>
  <si>
    <t>Uitstroom</t>
  </si>
  <si>
    <t>8.4.34</t>
  </si>
  <si>
    <t>Het systeem berekent bij een ontslaggrond die recht geeft op een transitievergoeding automatisch de hoogte van deze vergoeding.</t>
  </si>
  <si>
    <t>8.4.35</t>
  </si>
  <si>
    <t xml:space="preserve">De hoogte van de transitievergoeding is handmatig te wijzigen. </t>
  </si>
  <si>
    <t>8.4.36</t>
  </si>
  <si>
    <t xml:space="preserve">Bij ontslag signaleert het systeem naar een medewerker welke bedrijfseigendommen ingeleverd moeten worden. </t>
  </si>
  <si>
    <t>8.4.37</t>
  </si>
  <si>
    <t>Het systeem biedt een ontslagen medewerker de mogelijkheid tot en met de jaarovergang na het jaar van uitdiensttreding een digitale loonstrook en jaaropgave in te kunnen zien en te downloaden of op te slaan.</t>
  </si>
  <si>
    <t>8.4.38</t>
  </si>
  <si>
    <t>Het systeem biedt de mogelijkheid om een proces omtrent exit gesprekken in te richten en uit te voeren.</t>
  </si>
  <si>
    <t>8.4.39</t>
  </si>
  <si>
    <t>Het systeem signaleert bij ontslag van een medewerker of er een studieovereenkomst aanwezig is.</t>
  </si>
  <si>
    <t>Overig</t>
  </si>
  <si>
    <t>Het systeem biedt de mogelijkheid om het wagenpark van de OD NHN vast te leggen.</t>
  </si>
  <si>
    <t>Naar Voorblad</t>
  </si>
  <si>
    <t>Column1</t>
  </si>
  <si>
    <t>9 Tijdschrijven Projectenadministratie (Niet Financieel)</t>
  </si>
  <si>
    <t>9.1</t>
  </si>
  <si>
    <t xml:space="preserve"> Qua tijdschrijven is er een goedkeuringsfunctionaliteit  in het systeem</t>
  </si>
  <si>
    <t>9.2</t>
  </si>
  <si>
    <t>Achteraf correcties toe kunnen passen op foutief goedgekeurde en  verwerkte uren.</t>
  </si>
  <si>
    <t>9.3</t>
  </si>
  <si>
    <t>Uren per week cumulatief kunnen goedkeuren.</t>
  </si>
  <si>
    <t>9.4</t>
  </si>
  <si>
    <t>Een verdeelsleutel kunnen koppelen aan een project met meerdere opdrachtgevers</t>
  </si>
  <si>
    <t>9.5</t>
  </si>
  <si>
    <r>
      <t xml:space="preserve">Inkoopfacturen van inhuur </t>
    </r>
    <r>
      <rPr>
        <sz val="11"/>
        <rFont val="Calibri"/>
        <family val="2"/>
        <scheme val="minor"/>
      </rPr>
      <t xml:space="preserve">externen automatisch </t>
    </r>
    <r>
      <rPr>
        <sz val="11"/>
        <color theme="1"/>
        <rFont val="Calibri"/>
        <family val="2"/>
        <scheme val="minor"/>
      </rPr>
      <t>kunnen matchen met de geschreven uren in tijdschrijfsysteem.</t>
    </r>
  </si>
  <si>
    <t>9.6</t>
  </si>
  <si>
    <t>Medewerkers die uren willen schrijven zien direct de oudste week die ze moeten invullen.</t>
  </si>
  <si>
    <t>9.7</t>
  </si>
  <si>
    <t>Medewerkers die uren willen goedkeuren zien direct de oudste  week die ze moeten goedkeuren.</t>
  </si>
  <si>
    <t>9.8</t>
  </si>
  <si>
    <r>
      <t xml:space="preserve">Het tijdschrijven moet automatisch grote hoeveelheden unieke   regels kunnen importeren en updaten (ter indicatie in het huidige tijdschrijfsysteem zitten +/- 171.000 unieke </t>
    </r>
    <r>
      <rPr>
        <strike/>
        <sz val="11"/>
        <color rgb="FF000000"/>
        <rFont val="Calibri"/>
        <family val="2"/>
      </rPr>
      <t xml:space="preserve"> </t>
    </r>
    <r>
      <rPr>
        <sz val="11"/>
        <color rgb="FF000000"/>
        <rFont val="Calibri"/>
        <family val="2"/>
      </rPr>
      <t>regels)</t>
    </r>
  </si>
  <si>
    <t>9.9</t>
  </si>
  <si>
    <t>Het tijdschrijfsysteem moet bij grote hoeveelheid regels niet leiden tot een vastlopend of traag werkend tijdschrijfsysteem.</t>
  </si>
  <si>
    <t>9.10</t>
  </si>
  <si>
    <t>Een signaalfunctie in het tijdschrijfsysteem voor het op tijd schrijven van uren en het optijd goedkeuren van uren</t>
  </si>
  <si>
    <t>9.11</t>
  </si>
  <si>
    <t xml:space="preserve">Van te voren kunnen testen op inlezen van grote hoeveelheid zaken voordat definitieve keuze wordt gemaakt. </t>
  </si>
  <si>
    <t>9.12</t>
  </si>
  <si>
    <t>Bij invullen projectnummer (zaaknummer) moet de bijbehorende titel en product direct  (zonder vertraging) automatisch ingelezen en getoond worden op de regel.</t>
  </si>
  <si>
    <t>9.13</t>
  </si>
  <si>
    <t>Indienprojectmanager en teamhoofd in de dubbele accordering dezelfde gebruiker is wordt slechts 1 maal akkoord gevraagd</t>
  </si>
  <si>
    <t>10 Beheer</t>
  </si>
  <si>
    <t>Beheer Signaleren</t>
  </si>
  <si>
    <t>10.1</t>
  </si>
  <si>
    <t xml:space="preserve">Het systeem biedt minimaal de drie volgende mogelijkheden van signaleren: - E-mail naar eindgebruiker; - E-mail naar de manager; - de signalen zijn flexibel en per gebruiker in te stellen door functioneel beheer. </t>
  </si>
  <si>
    <t>Beheer Workflow</t>
  </si>
  <si>
    <t>Het pad dat de workflow volgt kan  variabel en afhankelijk  worden gemaakt van:</t>
  </si>
  <si>
    <t>10.2</t>
  </si>
  <si>
    <t>-- Goedkeur / Afkeur =&gt; Terug naar een eerdere stap</t>
  </si>
  <si>
    <t>10.3</t>
  </si>
  <si>
    <t>-- Bedragen =&gt; Additionele of andere goedkeur stappen</t>
  </si>
  <si>
    <t>10.4</t>
  </si>
  <si>
    <t>-- De waarde van database velden, inclusief vrije velden</t>
  </si>
  <si>
    <t>10.5</t>
  </si>
  <si>
    <t xml:space="preserve">Het systeem ondersteunt door OD NHN Functioneel beheer  workflow functionaliteit voor het  accorderen van uren </t>
  </si>
  <si>
    <t>10.6</t>
  </si>
  <si>
    <t xml:space="preserve">Functioneel Beheer </t>
  </si>
  <si>
    <t>10.7</t>
  </si>
  <si>
    <r>
      <rPr>
        <sz val="11"/>
        <color rgb="FF000000"/>
        <rFont val="Calibri"/>
        <family val="2"/>
      </rPr>
      <t xml:space="preserve">Functioneel beheerders van het systeem moeten minimaal de volgende zeven zaken zelfstandig kunnen regelen:
1 workflows  en dashboards creëren en aanpassen  </t>
    </r>
    <r>
      <rPr>
        <b/>
        <sz val="11"/>
        <color rgb="FF000000"/>
        <rFont val="Calibri"/>
        <family val="2"/>
      </rPr>
      <t xml:space="preserve">in alle vier de functionele modules zoals benoemd in eis 1.4
</t>
    </r>
    <r>
      <rPr>
        <sz val="11"/>
        <color rgb="FF000000"/>
        <rFont val="Calibri"/>
        <family val="2"/>
      </rPr>
      <t>2 autorisatierollen creeëren,  wijzigen en koppelen.
3 formulieren ontwerpen en beschikbaar stellen
4 persoonlijke instellingen aanpassen i</t>
    </r>
    <r>
      <rPr>
        <b/>
        <sz val="11"/>
        <color rgb="FF000000"/>
        <rFont val="Calibri"/>
        <family val="2"/>
      </rPr>
      <t xml:space="preserve">n alle vier de functionele modules zoals benoemd in eis 1.4
</t>
    </r>
    <r>
      <rPr>
        <sz val="11"/>
        <color rgb="FF000000"/>
        <rFont val="Calibri"/>
        <family val="2"/>
      </rPr>
      <t xml:space="preserve">5 nieuwe rapportages aanmaken
6 nieuwe gebruikers aanmaken  </t>
    </r>
    <r>
      <rPr>
        <b/>
        <sz val="11"/>
        <color rgb="FF000000"/>
        <rFont val="Calibri"/>
        <family val="2"/>
      </rPr>
      <t>7. signaalfuncties in alle vier de functionele modules zoals benoemd in eis 1.4.</t>
    </r>
  </si>
  <si>
    <t>10.8</t>
  </si>
  <si>
    <t>10.9</t>
  </si>
  <si>
    <t>10.10</t>
  </si>
  <si>
    <t>10.11</t>
  </si>
  <si>
    <t>Bij verlof en verzuim van taakeigenaar moet een taak via "autorisatieroute" bij vervanger komen.</t>
  </si>
  <si>
    <t>10.12</t>
  </si>
  <si>
    <t>Bij beëindiging van het dienstverband worden autorisaties automatisch beëindigd door het systeem.</t>
  </si>
  <si>
    <t>11 Informatie Beheer en Privacy</t>
  </si>
  <si>
    <t>Security</t>
  </si>
  <si>
    <t>Interne beveiligingsorganisatie van de Inschrijver</t>
  </si>
  <si>
    <t>11.1</t>
  </si>
  <si>
    <t>Inschrijver heeft een beveiligingsorganisatie ingericht of zal deze inrichten voor de live-gang.</t>
  </si>
  <si>
    <t>11.2</t>
  </si>
  <si>
    <t xml:space="preserve">De Inschrijver is  gecertificeerd voor ISO27001 (of gelijkwaardig) of is bereid zich binnen 1 jaar na het afsluiten van het contract zich hiervoor te certificeren. In dat geval levert Inschrijver een In Control Verklaring (ICV) op over de informatiebeveiliging. </t>
  </si>
  <si>
    <t>11.3</t>
  </si>
  <si>
    <t>De VvT (Verklaring van toepasselijkheid) behorend bij de ISO 27001 is voor OD NHN inzichtelijk (na voorlopige gunning toesturen).</t>
  </si>
  <si>
    <t>11.4</t>
  </si>
  <si>
    <t>Inschrijver levert jaarlijks een TPM op aan de OD NHN.</t>
  </si>
  <si>
    <t>11.5</t>
  </si>
  <si>
    <t>Inschrijver besteedt aandacht aan IB&amp;Privacy-bewustzijn. Medewerkers worden door middel van een doorlopend programma geïnstrueerd over het belang van een goede informatiebeveiliging (IB) en naleving van de privacywetgeving (P) en worden daarbij gewezen op hun verantwoordelijkheden.</t>
  </si>
  <si>
    <t>11.6</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</si>
  <si>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</si>
  <si>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11.7</t>
  </si>
  <si>
    <t>Alle medewerkers hebben de verantwoordelijkheid bedrijfsinformatie te beschermen. Iedereen kent de regels en verplichtingen met betrekking tot informatiebeveiliging en daar waar relevant de speciale eisen voor gerubriceerde omgevingen.</t>
  </si>
  <si>
    <t>11.8</t>
  </si>
  <si>
    <t xml:space="preserve">De gedragsregels voor het gebruik van bedrijfsmiddelen zijn voor extern personeel in het contract vastgelegd overeenkomstig de huisregels of gedragsregels. </t>
  </si>
  <si>
    <t>11.9</t>
  </si>
  <si>
    <t>Alle medewerkers zijn aantoonbaar gewezen op de gedragsregels voor het gebruik van bedrijfsmiddelen.</t>
  </si>
  <si>
    <t>11.10</t>
  </si>
  <si>
    <t>Er zijn maatregelen genomen dat alleen bevoegd personeel toegang heeft tot het netwerk, de applicaties en data. Functiescheiding is doorgevoerd in de autorisatiestructuur. Hieronder wordt ook toegang tot de source code verstaan.</t>
  </si>
  <si>
    <t>Toegangsbeveiliging applicatie</t>
  </si>
  <si>
    <t>11.11</t>
  </si>
  <si>
    <t>Voor toegang tot de applicatie wordt gebruik gemaakt van two-factor authenticatie (2FA).
Dit geldt voor alle gebruikers, dus ook beheerders.</t>
  </si>
  <si>
    <t>Leverancier biedt een federatief koppelvlak aan voor uitwisseling van rollen en rechten (Azure AD van Microsoft).</t>
  </si>
  <si>
    <t>Interne netwerkbeveiliging van de Inschrijver</t>
  </si>
  <si>
    <t>11.13</t>
  </si>
  <si>
    <t>De Toepassing (software en data) is (logisch) geïsoleerd van andere klanten van de Inschrijver. De gegevens en gegevensverwerkingen mogen niet toegankelijk of zichtbaar zijn voor onbevoegde derden, waaronder andere klanten van de Inschrijver.</t>
  </si>
  <si>
    <t>11.14</t>
  </si>
  <si>
    <t>Er zijn maatregelen getroffen die onbedoelde of ongeautoriseerde toegang tot bedrijfsmiddelen waarnemen of voorkomen.</t>
  </si>
  <si>
    <t>11.15</t>
  </si>
  <si>
    <t>Alleen geauthentiseerde apparatuur kan toegang krijgen tot een vertrouwde zone.</t>
  </si>
  <si>
    <t>11.16</t>
  </si>
  <si>
    <t>Als vanuit een onvertrouwde zone toegang wordt verleend naar een vertrouwde zone, gebeurt dit alleen op basis van minimaal two-factor authenticatie.</t>
  </si>
  <si>
    <t>11.17</t>
  </si>
  <si>
    <t>Als er geen gebruik wordt gemaakt van two factor authenticatie is de wachtwoordlengte minimaal 8 posities en complex van samenstelling. Vanaf een wachtwoordlengte van 20 posities vervalt de complexiteitseis. Het aantal inlogpogingen is maximaal 10. De tijdsduur dat een account wordt geblokkeerd na overschrijding van het aantal keer foutief inloggen is vastgelegd.</t>
  </si>
  <si>
    <t>11.18</t>
  </si>
  <si>
    <t>Alleen bevoegd personeel heeft toegang tot systeemhulpmiddelen.</t>
  </si>
  <si>
    <t>11.19</t>
  </si>
  <si>
    <t>Al het dataverkeer, alle data, en de besturingssystemen worden gescand op aanwezigheid of dreiging van tenminste virussen, malware, spyware en ransomware. De daarvoor gebruikte middelen en software voldoen te allen tijde aan de meest actuele stand van de techniek. Alle gevaren die de prestatie (kunnen) raken worden onverwijld geëlimineerd of geneutraliseerd.</t>
  </si>
  <si>
    <t>11.20</t>
  </si>
  <si>
    <t>De gebruikte antimalwaresoftware en bijbehorende herstelsoftware is actueel en wordt ondersteund door periodieke updates.</t>
  </si>
  <si>
    <t>11.21</t>
  </si>
  <si>
    <t>Activiteiten van gebruikers, uitzonderingen en informatiebeveiligingsgebeurtenissen worden vastgelegd in audit-logbestanden die te allen tijde door OD NHN kunnen worden geraadpleegd voor nadere analyse.</t>
  </si>
  <si>
    <t>11.22</t>
  </si>
  <si>
    <t>In audit-logbestanden wordt tenminste vastgelegd: de gebeurtenis; de benodigde informatie die nodig is om een beveiligingsincident met hoge mate van zekerheid te herleiden tot een natuurlijk persoon; het gebruikte apparaat; het resultaat van de handeling; een datum en tijdstip van de gebeurtenis. Een logregel bevat in geen geval gegevens die tot het doorbreken van de beveiliging kunnen leiden.</t>
  </si>
  <si>
    <t>11.23</t>
  </si>
  <si>
    <t>De hardware en software die Inschrijver gebruikt moet afkomstig zijn van betrouwbare leveranciers.</t>
  </si>
  <si>
    <t>11.24</t>
  </si>
  <si>
    <t>Vulnerability Management is ingericht: de omgeving wordt tenminste dagelijks gecontroleerd op kwetsbaarheden en hiervoor is een beschreven proces/procedure.</t>
  </si>
  <si>
    <t>11.25</t>
  </si>
  <si>
    <t xml:space="preserve">De Inschrijver heeft proces voor patchmanagement ingericht zodat de laatste versies van firmware en besturingssoftware worden gehanteerd; beveiligingspatches worden geëvalueerd, geprioriteerd, getest en conform het risicoprofiel tijdig doorgevoerd. </t>
  </si>
  <si>
    <t>11.26</t>
  </si>
  <si>
    <t>Alle hardware is gehardened en de configuraties worden tenminste jaarlijks herzien.</t>
  </si>
  <si>
    <t>11.27</t>
  </si>
  <si>
    <t>Netwerkverkeer wordt gemonitord met een IDS/IPS op basis van een erkende en actuele ruleset.</t>
  </si>
  <si>
    <t>11.28</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</si>
  <si>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</si>
  <si>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11.29</t>
  </si>
  <si>
    <t>De drie componenten hardware, software, appliances die betrokken zijn bij de applicatie zijn aantoonbaar getest op kwetsbaarheden met gangbare testmethodieken voordat deze in productie worden genomen.</t>
  </si>
  <si>
    <t>11.30</t>
  </si>
  <si>
    <t>De componenten betrokken bij de applicatie mogen niet in productie genomen  worden voordat alle bevindingen uit de acceptatietest zijn verholpen, tenzij nadrukkelijk anders overeengekomen.</t>
  </si>
  <si>
    <t>11.31</t>
  </si>
  <si>
    <t>Er wordt tenminste een keer per jaar een penetratietest op de externe (webfacing) omgeving uitgevoerd; hierin dienen tenminste de OWASP Top-10 te worden getest alsmede de webfacing netwerkcomponenten op bekende kwetsbaarheden.</t>
  </si>
  <si>
    <t>11.32</t>
  </si>
  <si>
    <t>Het ICT-systeem biedt volledig werkende ondersteuning voor de Open Standaarden IPv4 én IPv6 (‘dual stack’) -zoals opgenomen op de ‘pas toe of leg uit’-lijst van Forum Standaardisatie- of daaraan gelijkwaardig. Dit betekent in ieder geval dat: 
1. Gebruikers en andere ICT-systemen het ICT-systeem kunnen bereiken via zowel IPv4 als IPv6 zonder dat er sprake is van functionele of non-functionele (bijv. qua prestatie) verschillen.
2. Configuratiefunctionaliteit voor IP-adressen (bijv. een IP-whitelist) in het ICT-systeem zowel voor IPv4 als IPv6 beschikbaar is.</t>
  </si>
  <si>
    <t>Gehanteerde encryptie</t>
  </si>
  <si>
    <t>11.33</t>
  </si>
  <si>
    <t>Er is beleid ontwikkeld en geïmplementeerd ten aanzien van het beheer van cryptografie en cryptografische sleutels.</t>
  </si>
  <si>
    <t>11.34</t>
  </si>
  <si>
    <t>Certificaat- en sleutelbeheer is ingericht.</t>
  </si>
  <si>
    <t>11.35</t>
  </si>
  <si>
    <t>Cryptografische beheersmaatregelen moeten expliciet aansluiten bij de standaarden op de ‘pas toe of leg uit’-lijst van het Forum Standaardisatie.</t>
  </si>
  <si>
    <t>11.36</t>
  </si>
  <si>
    <t>De OD NHN dient gebruik te kunnen maken van certificaten op naam. In de praktijk betreffen dit certificaten betrokken van een door de OD NHN vertrouwde Certificaatautoriteit.</t>
  </si>
  <si>
    <t>11.37</t>
  </si>
  <si>
    <t xml:space="preserve"> E-mailverkeer dat namens OD NHN (@odnhn.nl) plaatsvindt (intern dan wel extern) voldoet blijvend aan aanvullende beveiligingsmaatregelen als SPF, DKIM, DMARC en DANE.</t>
  </si>
  <si>
    <t>Back-up en recovery</t>
  </si>
  <si>
    <t>11.38</t>
  </si>
  <si>
    <t>Er is een back-up beleid waarin de eisen voor het bewaren en beschermen zijn gedefinieerd en vastgesteld.</t>
  </si>
  <si>
    <t>11.39</t>
  </si>
  <si>
    <t>Inschrijver beschikt over een sluitend en betrouwbaar back-up en restoreproces. Hierbij zijn minimaal de volgende zeven eisen van toepassing:
- De back-up en restore procedures zijn ingericht en worden tenminste jaarlijks getest;
- Er wordt dagelijks een incrementele back-up gemaakt;
- Wekelijks en maandelijks wordt een full back-up gemaakt;
- De week- en maandback-ups worden op een externe (offline) locatie bewaard;
- De maandback-up wordt zes maanden bewaard;
- De weekback-ups worden 1 maand bewaard. 
- De procedures voor back-up en recovery worden tenminste jaarlijks getest door middel van een restore. Over het resultaat wordt aan OD NHN gerapporteerd.</t>
  </si>
  <si>
    <t>Beheer en ontwikkeling</t>
  </si>
  <si>
    <t>11.40</t>
  </si>
  <si>
    <t>Wijzigingsbeheer vindt plaats op basis van een algemeen geaccepteerd beheerframework zoals BiSL en ITIL.</t>
  </si>
  <si>
    <t>11.41</t>
  </si>
  <si>
    <t>In de procedure voor wijzigingenbeheer is minimaal aandacht besteed aan: 
- het administreren van wijzigingen; 
- risicoafweging van mogelijke gevolgen van de wijzigingen; 
- goedkeuringsprocedure voor wijzigingen.</t>
  </si>
  <si>
    <t>11.42</t>
  </si>
  <si>
    <t>De gangbare principes rondom Security by design en Privacy by Design/Default zijn uitgangspunt voor de ontwikkeling van software en systemen.</t>
  </si>
  <si>
    <t>11.43</t>
  </si>
  <si>
    <t>Voor acceptatietesten van systemen worden gestructureerde testmethodieken gebruikt. De testen worden bij voorkeur geautomatiseerd uitgevoerd.</t>
  </si>
  <si>
    <t>11.44</t>
  </si>
  <si>
    <t>Van de testresultaten wordt verslag gemaakt.</t>
  </si>
  <si>
    <t>11.45</t>
  </si>
  <si>
    <t>Systeemontwikkelomgevingen worden passend beveiligd op basis van een expliciete risicoafweging.</t>
  </si>
  <si>
    <t>11.46</t>
  </si>
  <si>
    <t>De OD NHN kan beschikken over een acceptatietestomgeving.</t>
  </si>
  <si>
    <t>Beveiligingsincidenten</t>
  </si>
  <si>
    <t>11.47</t>
  </si>
  <si>
    <t>Er is een meldloket waar beveiligingsincidenten kunnen worden gemeld.</t>
  </si>
  <si>
    <t>11.48</t>
  </si>
  <si>
    <t>Er is een meldprocedure waarin de taken en verantwoordelijkheden van het meldloket staan beschreven.</t>
  </si>
  <si>
    <t>11.49</t>
  </si>
  <si>
    <t>De opvolging van bevindingen is gedocumenteerd en wordt behandeld als beveiligingsincident.</t>
  </si>
  <si>
    <t>11.50</t>
  </si>
  <si>
    <t>Incidenten worden zo snel mogelijk, maar in ieder geval binnen 24 uur na bekendwording, intern gemeld.</t>
  </si>
  <si>
    <t>11.51</t>
  </si>
  <si>
    <t>De opvolging van incidenten wordt maandelijks gerapporteerd aan de verantwoordelijke.</t>
  </si>
  <si>
    <t>11.52</t>
  </si>
  <si>
    <t>Tijdens de inrichting van de overeenkomst wordt  in het DAP een incidentmanagementprocedure uitgewerkt, waarin in ieder geval, maar niet uitsluitend, aandacht is voor het rapporteren over beveiligingsincidenten.</t>
  </si>
  <si>
    <t>11.53</t>
  </si>
  <si>
    <t>Inschrijver werkt bij beveiligingsincidenten volledig mee aan forensisch onderzoek, zorgt ervoor dat alle noodzakelijke onderzoeksgegevens gereed zijn voor het snel en succesvol kunnen starten met een forensisch onderzoek en stelt bewijzen veilig.</t>
  </si>
  <si>
    <t>Gebruiksvriendelijkheid</t>
  </si>
  <si>
    <t>Maximum aantal punten</t>
  </si>
  <si>
    <t>Gebruiksvriendelijkheid  ( * Wordt niet meegenomen in de beoordeling  qua gunning, wel onderdeel praktijktoets).</t>
  </si>
  <si>
    <t>Het systeem is intuitief wat blijkt uit het vergen van een beperkt aantal 'klikken'.</t>
  </si>
  <si>
    <t>De formuliervelden communiceren duidelijk wat ze verlangen, of het een verplicht veld  is, en wat het formaat dient te zijn.</t>
  </si>
  <si>
    <t>Het systeem is intuitief wat blijkt uit dat de gebruiker gemakkelijk door het systeem navigeert en snel de juiste schermen weet te vinden.</t>
  </si>
  <si>
    <t>De zoekfunctionaliteit werkt consistent</t>
  </si>
  <si>
    <t>Het is eenvoudig te herkennen hoe functies werken en het doel is duidelijk</t>
  </si>
  <si>
    <t>Basis navigatie en selectie binnen lijsten is duidelijk en consistent</t>
  </si>
  <si>
    <t>Nieuwe rapportages zijn eenvoudig te ontwikkelen binnen het systeem</t>
  </si>
  <si>
    <t xml:space="preserve">Tijdschrijven met 171.000 regels moet vlot werken voor in ieder geval de  individuele gebruiker. </t>
  </si>
  <si>
    <t>Keuzes:</t>
  </si>
  <si>
    <t>Als in het contractsysteem een inhuurcontract wordt geadministreerd, dient er een  automatisch signaal naar HR te gaan waardoor het  duidelijk is dat er een nieuwe inhuurkracht is aangenomen.</t>
  </si>
  <si>
    <t>8.26</t>
  </si>
  <si>
    <t>8.27</t>
  </si>
  <si>
    <t>Als een contract van een inhuurkracht in het contractsysteem wordt verlengd, dient er een utomatisch signaal naar HR te gaan waardoor hetr duidelijk is dat de inhuur verlengd is.</t>
  </si>
  <si>
    <t>8 Human Resources</t>
  </si>
  <si>
    <r>
      <t>Koppelingen door middel van Jso</t>
    </r>
    <r>
      <rPr>
        <sz val="11"/>
        <color theme="1"/>
        <rFont val="Calibri"/>
        <family val="2"/>
        <scheme val="minor"/>
      </rPr>
      <t>n/</t>
    </r>
    <r>
      <rPr>
        <sz val="11"/>
        <color theme="1"/>
        <rFont val="Calibri (Hoofdtekst)"/>
      </rPr>
      <t>REST</t>
    </r>
    <r>
      <rPr>
        <sz val="11"/>
        <rFont val="Calibri"/>
        <family val="2"/>
        <scheme val="minor"/>
      </rPr>
      <t xml:space="preserve"> API's.</t>
    </r>
  </si>
  <si>
    <t>De salarisstrook bevat naast de wettelijk verplichte gegevens ook: salarisschaal; uurloon; contracturen (deeltijdfactor) en opbouw Individueel Keuzebudget.</t>
  </si>
  <si>
    <t xml:space="preserve">De salarisstrook is duidelijk opgebouwd en goed leesbaar.  </t>
  </si>
  <si>
    <t>Het administratief kunnen verwerken van kasmutaties op kas niveau</t>
  </si>
  <si>
    <t>Het systeem biedt de mogelijkheid om velden en uploads verplicht te maken.</t>
  </si>
  <si>
    <t xml:space="preserve">Voor een declaratie geldt het volgende:                                                     - Mogelijkheid om bedrag te begrenzen, danwel uit te splitsen op basis van cao en sociale- en fiscale regelgeving.
</t>
  </si>
  <si>
    <t xml:space="preserve">Voor een declaratie geldt het volgende:                                                                       - Soort declaratie en daarbij de mogelijkheid om medewerkers eventueel uit te sluiten om bepaalde declaraties in te dienen of om bepaalde combinaties uit te kunnen sluiten.
</t>
  </si>
  <si>
    <t xml:space="preserve">Voor een declaratie geldt het volgende:                                                                        - Datum declaratie (meerdere uitgaves per dag mogelijk), toelichting, incidenteel afwijkende kostenplaats (bijvoorbeeld een project). 
</t>
  </si>
  <si>
    <t xml:space="preserve">Mogellijkheid voor tekstuele toelichting bij een declaratie.
</t>
  </si>
  <si>
    <t xml:space="preserve"> Voor een declaratie geldt het volgende:                                                                                                                       - Incidenteel afwijkende kostenplaats (bijvoorbeeld een project) wordt ondersteund. 
</t>
  </si>
  <si>
    <t xml:space="preserve">Dit Programma van Eisen en Wensen dient u digitaal in te vullen en aan te leveren als onderdeel van de Inschrijving op de aanbesteding. 
U kunt op ieder volgend tabblad per wens kiezen voor "Ja"  of Nee (cel leeg laten).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</si>
</sst>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5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name val="Calibri"/>
      <family val="2"/>
      <scheme val="minor"/>
    </font>
    <font>
      <i/>
      <sz val="10"/>
      <color theme="1"/>
      <name val="Calibri"/>
      <family val="2"/>
      <scheme val="minor"/>
    </font>
    <font>
      <b/>
      <sz val="10"/>
      <color theme="0"/>
      <name val="Calibri"/>
      <family val="2"/>
      <scheme val="minor"/>
    </font>
    <font>
      <u/>
      <sz val="11"/>
      <color theme="0"/>
      <name val="Calibri"/>
      <family val="2"/>
      <scheme val="minor"/>
    </font>
    <font>
      <sz val="11"/>
      <name val="Calibri"/>
      <family val="2"/>
      <scheme val="minor"/>
    </font>
    <font>
      <sz val="11"/>
      <color rgb="FF00B050"/>
      <name val="Calibri"/>
      <family val="2"/>
      <scheme val="minor"/>
    </font>
    <font>
      <sz val="11"/>
      <color rgb="FF000000"/>
      <name val="Calibri"/>
      <family val="2"/>
      <scheme val="minor"/>
    </font>
    <font>
      <sz val="11"/>
      <color rgb="FF7030A0"/>
      <name val="Calibri"/>
      <family val="2"/>
      <scheme val="minor"/>
    </font>
    <font>
      <sz val="11"/>
      <color rgb="FF000000"/>
      <name val="Calibri"/>
      <family val="2"/>
    </font>
    <font>
      <b/>
      <sz val="11"/>
      <name val="Calibri"/>
      <family val="2"/>
      <scheme val="minor"/>
    </font>
    <font>
      <b/>
      <sz val="10"/>
      <name val="Calibri"/>
      <family val="2"/>
      <scheme val="minor"/>
    </font>
    <font>
      <sz val="8"/>
      <name val="Calibri"/>
      <family val="2"/>
      <scheme val="minor"/>
    </font>
    <font>
      <sz val="9"/>
      <color theme="1"/>
      <name val="Calibri"/>
      <family val="2"/>
      <scheme val="minor"/>
    </font>
    <font>
      <sz val="12"/>
      <color theme="0"/>
      <name val="Calibri"/>
      <family val="2"/>
      <scheme val="minor"/>
    </font>
    <font>
      <sz val="9"/>
      <name val="Calibri"/>
      <family val="2"/>
      <scheme val="minor"/>
    </font>
    <font>
      <sz val="11"/>
      <color rgb="FF00B0F0"/>
      <name val="Calibri"/>
      <family val="2"/>
      <scheme val="minor"/>
    </font>
    <font>
      <b/>
      <u/>
      <sz val="10"/>
      <color theme="1"/>
      <name val="Calibri"/>
      <family val="2"/>
      <scheme val="minor"/>
    </font>
    <font>
      <sz val="16"/>
      <name val="Calibri"/>
      <family val="2"/>
      <scheme val="minor"/>
    </font>
    <font>
      <sz val="11"/>
      <name val="Calibri"/>
      <family val="2"/>
    </font>
    <font>
      <b/>
      <sz val="12"/>
      <color theme="0"/>
      <name val="Calibri"/>
      <family val="2"/>
      <scheme val="minor"/>
    </font>
    <font>
      <sz val="11"/>
      <color rgb="FFFF0000"/>
      <name val="Calibri (Hoofdtekst)"/>
    </font>
    <font>
      <sz val="11"/>
      <color theme="1"/>
      <name val="Calibri (Hoofdtekst)"/>
    </font>
    <font>
      <b/>
      <sz val="11"/>
      <color rgb="FFFF0000"/>
      <name val="Calibri"/>
      <family val="2"/>
      <scheme val="minor"/>
    </font>
    <font>
      <sz val="16"/>
      <color rgb="FFFF0000"/>
      <name val="Calibri"/>
      <family val="2"/>
      <scheme val="minor"/>
    </font>
    <font>
      <sz val="9"/>
      <name val="Calibri"/>
      <family val="2"/>
    </font>
    <font>
      <b/>
      <sz val="11"/>
      <color rgb="FF000000"/>
      <name val="Calibri"/>
      <family val="2"/>
    </font>
    <font>
      <strike/>
      <sz val="11"/>
      <color rgb="FF000000"/>
      <name val="Calibri"/>
      <family val="2"/>
    </font>
    <font>
      <b/>
      <strike/>
      <sz val="11"/>
      <name val="Calibri"/>
      <family val="2"/>
      <scheme val="minor"/>
    </font>
    <font>
      <strike/>
      <sz val="11"/>
      <name val="Calibri"/>
      <family val="2"/>
      <scheme val="minor"/>
    </font>
    <font>
      <sz val="11"/>
      <color theme="1"/>
      <name val="Calibri"/>
      <family val="2"/>
    </font>
    <font>
      <sz val="11"/>
      <name val="Calibri (Hoofdtekst)"/>
    </font>
    <font>
      <b/>
      <sz val="11"/>
      <color rgb="FF7030A0"/>
      <name val="Calibri"/>
      <family val="2"/>
      <scheme val="minor"/>
    </font>
    <font>
      <b/>
      <sz val="9"/>
      <color theme="1"/>
      <name val="Calibri"/>
      <family val="2"/>
      <scheme val="minor"/>
    </font>
    <font>
      <b/>
      <sz val="11"/>
      <color theme="1"/>
      <name val="Calibri"/>
      <family val="2"/>
    </font>
    <font>
      <u/>
      <sz val="11"/>
      <color theme="4"/>
      <name val="Calibri"/>
      <family val="2"/>
      <scheme val="minor"/>
    </font>
    <font>
      <b/>
      <sz val="10"/>
      <color theme="4"/>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14"/>
      <name val="Calibri"/>
      <family val="2"/>
      <scheme val="minor"/>
    </font>
    <font>
      <b/>
      <sz val="9"/>
      <name val="Calibri"/>
      <family val="2"/>
      <scheme val="minor"/>
    </font>
    <font>
      <b/>
      <sz val="9"/>
      <name val="Calibri"/>
      <family val="2"/>
    </font>
  </fonts>
  <fills count="23">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bgColor indexed="64"/>
      </patternFill>
    </fill>
    <fill>
      <patternFill patternType="solid">
        <fgColor theme="8" tint="-0.249977111117893"/>
        <bgColor indexed="64"/>
      </patternFill>
    </fill>
    <fill>
      <patternFill patternType="solid">
        <fgColor theme="0"/>
        <bgColor indexed="64"/>
      </patternFill>
    </fill>
    <fill>
      <patternFill patternType="solid">
        <fgColor theme="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2"/>
        <bgColor indexed="64"/>
      </patternFill>
    </fill>
    <fill>
      <patternFill patternType="solid">
        <fgColor rgb="FF7030A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E2EFDA"/>
        <bgColor rgb="FFE2EFDA"/>
      </patternFill>
    </fill>
    <fill>
      <patternFill patternType="solid">
        <fgColor theme="9" tint="0.79998168889431442"/>
        <bgColor theme="9" tint="0.79998168889431442"/>
      </patternFill>
    </fill>
    <fill>
      <patternFill patternType="solid">
        <fgColor rgb="FFFFFFFF"/>
        <bgColor indexed="64"/>
      </patternFill>
    </fill>
    <fill>
      <patternFill patternType="solid">
        <fgColor theme="0"/>
        <bgColor theme="9" tint="0.79998168889431442"/>
      </patternFill>
    </fill>
    <fill>
      <patternFill patternType="solid">
        <fgColor theme="0"/>
        <bgColor rgb="FFE2EFDA"/>
      </patternFill>
    </fill>
    <fill>
      <patternFill patternType="solid">
        <fgColor theme="5" tint="0.79998168889431442"/>
        <bgColor indexed="64"/>
      </patternFill>
    </fill>
    <fill>
      <patternFill patternType="solid">
        <fgColor rgb="FF002060"/>
        <bgColor indexed="64"/>
      </patternFill>
    </fill>
    <fill>
      <patternFill patternType="solid">
        <fgColor rgb="FF002060"/>
        <bgColor theme="9" tint="0.79998168889431442"/>
      </patternFill>
    </fill>
    <fill>
      <patternFill patternType="solid">
        <fgColor theme="9" tint="0.79998168889431442"/>
        <bgColor rgb="FFE2EFDA"/>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auto="1"/>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indexed="64"/>
      </right>
      <top style="medium">
        <color indexed="64"/>
      </top>
      <bottom style="thin">
        <color indexed="64"/>
      </bottom>
      <diagonal/>
    </border>
    <border>
      <left/>
      <right/>
      <top style="thin">
        <color rgb="FFA9D08E"/>
      </top>
      <bottom style="thin">
        <color rgb="FFA9D08E"/>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theme="8" tint="0.39997558519241921"/>
      </top>
      <bottom style="thin">
        <color indexed="64"/>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style="thin">
        <color auto="1"/>
      </bottom>
      <diagonal/>
    </border>
    <border>
      <left style="thin">
        <color auto="1"/>
      </left>
      <right style="thin">
        <color rgb="FF000000"/>
      </right>
      <top style="thin">
        <color rgb="FF000000"/>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rgb="FF000000"/>
      </left>
      <right/>
      <top style="thin">
        <color rgb="FF000000"/>
      </top>
      <bottom style="thin">
        <color auto="1"/>
      </bottom>
      <diagonal/>
    </border>
    <border>
      <left style="thin">
        <color theme="9"/>
      </left>
      <right style="thin">
        <color theme="9"/>
      </right>
      <top/>
      <bottom style="thin">
        <color theme="9"/>
      </bottom>
      <diagonal/>
    </border>
    <border>
      <left style="thin">
        <color theme="9"/>
      </left>
      <right style="thin">
        <color auto="1"/>
      </right>
      <top style="thin">
        <color auto="1"/>
      </top>
      <bottom style="thin">
        <color auto="1"/>
      </bottom>
      <diagonal/>
    </border>
    <border>
      <left style="thin">
        <color theme="9"/>
      </left>
      <right style="thin">
        <color theme="9"/>
      </right>
      <top style="thin">
        <color theme="9"/>
      </top>
      <bottom style="medium">
        <color theme="9"/>
      </bottom>
      <diagonal/>
    </border>
    <border>
      <left style="thin">
        <color theme="8" tint="0.59996337778862885"/>
      </left>
      <right/>
      <top style="thin">
        <color theme="8" tint="0.59996337778862885"/>
      </top>
      <bottom style="thin">
        <color theme="8" tint="0.59996337778862885"/>
      </bottom>
      <diagonal/>
    </border>
  </borders>
  <cellStyleXfs count="2">
    <xf numFmtId="0" fontId="0" fillId="0" borderId="0"/>
    <xf numFmtId="0" fontId="5" fillId="0" borderId="0" applyNumberFormat="0" applyFill="0" applyBorder="0" applyAlignment="0" applyProtection="0"/>
  </cellStyleXfs>
  <cellXfs count="423">
    <xf numFmtId="0" fontId="0" fillId="0" borderId="0" xfId="0"/>
    <xf numFmtId="0" fontId="6" fillId="0" borderId="0" xfId="0" applyFont="1"/>
    <xf numFmtId="0" fontId="6" fillId="2" borderId="1" xfId="0" applyFont="1" applyFill="1" applyBorder="1"/>
    <xf numFmtId="0" fontId="6" fillId="2" borderId="2" xfId="0" applyFont="1" applyFill="1" applyBorder="1"/>
    <xf numFmtId="0" fontId="6" fillId="2" borderId="2" xfId="0" applyFont="1" applyFill="1" applyBorder="1" applyAlignment="1">
      <alignment horizontal="left" vertical="top"/>
    </xf>
    <xf numFmtId="0" fontId="0" fillId="2" borderId="3" xfId="0" applyFill="1" applyBorder="1"/>
    <xf numFmtId="0" fontId="6" fillId="2" borderId="4" xfId="0" applyFont="1" applyFill="1" applyBorder="1"/>
    <xf numFmtId="0" fontId="6" fillId="2" borderId="10" xfId="0" applyFont="1" applyFill="1" applyBorder="1"/>
    <xf numFmtId="0" fontId="6" fillId="2" borderId="11" xfId="0" applyFont="1" applyFill="1" applyBorder="1"/>
    <xf numFmtId="0" fontId="6" fillId="2" borderId="11" xfId="0" applyFont="1" applyFill="1" applyBorder="1" applyAlignment="1">
      <alignment horizontal="center"/>
    </xf>
    <xf numFmtId="0" fontId="6" fillId="2" borderId="11" xfId="0" applyFont="1" applyFill="1" applyBorder="1" applyAlignment="1">
      <alignment horizontal="left" vertical="top"/>
    </xf>
    <xf numFmtId="0" fontId="6" fillId="0" borderId="4" xfId="0" applyFont="1" applyBorder="1"/>
    <xf numFmtId="0" fontId="3" fillId="0" borderId="0" xfId="0" applyFont="1"/>
    <xf numFmtId="0" fontId="0" fillId="0" borderId="11" xfId="0" applyBorder="1"/>
    <xf numFmtId="0" fontId="3" fillId="3" borderId="9" xfId="0" applyFont="1" applyFill="1" applyBorder="1" applyAlignment="1">
      <alignment horizontal="center" vertical="center" wrapText="1"/>
    </xf>
    <xf numFmtId="0" fontId="3" fillId="3" borderId="9" xfId="0" applyFont="1" applyFill="1" applyBorder="1" applyAlignment="1">
      <alignment horizontal="center" vertical="center"/>
    </xf>
    <xf numFmtId="0" fontId="0" fillId="0" borderId="9" xfId="0" applyBorder="1" applyAlignment="1">
      <alignment horizontal="center" vertical="top" wrapText="1"/>
    </xf>
    <xf numFmtId="0" fontId="0" fillId="0" borderId="9" xfId="0" applyBorder="1" applyAlignment="1">
      <alignment horizontal="left" vertical="top" wrapText="1"/>
    </xf>
    <xf numFmtId="0" fontId="0" fillId="0" borderId="9" xfId="0" applyBorder="1" applyAlignment="1">
      <alignment horizontal="center" vertical="center" wrapText="1"/>
    </xf>
    <xf numFmtId="0" fontId="0" fillId="0" borderId="9" xfId="0" applyBorder="1" applyAlignment="1">
      <alignment horizontal="center" vertical="center"/>
    </xf>
    <xf numFmtId="0" fontId="13" fillId="0" borderId="9" xfId="0" applyFont="1" applyBorder="1" applyAlignment="1">
      <alignment horizontal="left" vertical="top" wrapText="1"/>
    </xf>
    <xf numFmtId="49" fontId="13" fillId="0" borderId="9" xfId="0" applyNumberFormat="1" applyFont="1" applyBorder="1" applyAlignment="1">
      <alignment horizontal="left" vertical="top" wrapText="1"/>
    </xf>
    <xf numFmtId="0" fontId="3"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14" fillId="0" borderId="0" xfId="0" applyFont="1"/>
    <xf numFmtId="0" fontId="0" fillId="0" borderId="19" xfId="0" applyBorder="1" applyAlignment="1">
      <alignment horizontal="center" vertical="center"/>
    </xf>
    <xf numFmtId="0" fontId="13" fillId="0" borderId="8" xfId="0" applyFont="1" applyBorder="1" applyAlignment="1">
      <alignment horizontal="center" vertical="center"/>
    </xf>
    <xf numFmtId="1" fontId="13" fillId="0" borderId="8" xfId="0" applyNumberFormat="1" applyFont="1" applyBorder="1" applyAlignment="1">
      <alignment horizontal="center" vertical="center"/>
    </xf>
    <xf numFmtId="0" fontId="13" fillId="0" borderId="9" xfId="0" applyFont="1" applyBorder="1" applyAlignment="1" applyProtection="1">
      <alignment horizontal="center" vertical="center" wrapText="1"/>
      <protection locked="0"/>
    </xf>
    <xf numFmtId="0" fontId="13" fillId="0" borderId="9" xfId="0" applyFont="1" applyBorder="1" applyAlignment="1">
      <alignment horizontal="center" vertical="center"/>
    </xf>
    <xf numFmtId="0" fontId="13" fillId="0" borderId="0" xfId="0" applyFont="1"/>
    <xf numFmtId="0" fontId="15" fillId="0" borderId="9" xfId="0" applyFont="1" applyBorder="1" applyAlignment="1">
      <alignment vertical="top" wrapText="1"/>
    </xf>
    <xf numFmtId="0" fontId="0" fillId="0" borderId="0" xfId="0" applyAlignment="1">
      <alignment horizontal="center" vertical="center"/>
    </xf>
    <xf numFmtId="0" fontId="3" fillId="0" borderId="0" xfId="0" applyFont="1" applyAlignment="1">
      <alignment horizontal="center" vertical="center" wrapText="1"/>
    </xf>
    <xf numFmtId="0" fontId="0" fillId="0" borderId="0" xfId="0" applyAlignment="1" applyProtection="1">
      <alignment horizontal="center" vertical="center"/>
      <protection locked="0"/>
    </xf>
    <xf numFmtId="0" fontId="13" fillId="0" borderId="8" xfId="0" applyFont="1" applyBorder="1" applyAlignment="1">
      <alignment horizontal="center" vertical="top" wrapText="1"/>
    </xf>
    <xf numFmtId="0" fontId="16" fillId="0" borderId="9" xfId="0" applyFont="1" applyBorder="1" applyAlignment="1">
      <alignment horizontal="center" vertical="center" wrapText="1"/>
    </xf>
    <xf numFmtId="0" fontId="0" fillId="0" borderId="9" xfId="0" applyBorder="1" applyAlignment="1">
      <alignment wrapText="1"/>
    </xf>
    <xf numFmtId="0" fontId="0" fillId="0" borderId="9" xfId="0" applyBorder="1" applyAlignment="1">
      <alignment vertical="top" wrapText="1"/>
    </xf>
    <xf numFmtId="0" fontId="13" fillId="0" borderId="9" xfId="0" applyFont="1" applyBorder="1" applyAlignment="1">
      <alignment vertical="top" wrapText="1"/>
    </xf>
    <xf numFmtId="0" fontId="15" fillId="0" borderId="9" xfId="0" applyFont="1" applyBorder="1" applyAlignment="1">
      <alignment horizontal="left" vertical="top" wrapText="1"/>
    </xf>
    <xf numFmtId="0" fontId="13" fillId="0" borderId="0" xfId="0" applyFont="1" applyAlignment="1">
      <alignment wrapText="1"/>
    </xf>
    <xf numFmtId="0" fontId="13" fillId="0" borderId="8" xfId="0" applyFont="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13" fillId="0" borderId="9" xfId="0" applyFont="1" applyBorder="1" applyAlignment="1">
      <alignment horizontal="left" vertical="center" wrapText="1"/>
    </xf>
    <xf numFmtId="0" fontId="4" fillId="0" borderId="0" xfId="0" applyFont="1"/>
    <xf numFmtId="0" fontId="13" fillId="0" borderId="13" xfId="0" applyFont="1" applyBorder="1"/>
    <xf numFmtId="0" fontId="13" fillId="0" borderId="13" xfId="0" applyFont="1" applyBorder="1" applyAlignment="1">
      <alignment horizontal="center" vertical="center"/>
    </xf>
    <xf numFmtId="0" fontId="13" fillId="0" borderId="0" xfId="0" applyFont="1" applyAlignment="1">
      <alignment horizontal="center" vertical="center"/>
    </xf>
    <xf numFmtId="0" fontId="18" fillId="0" borderId="0" xfId="0" applyFont="1"/>
    <xf numFmtId="0" fontId="18" fillId="3" borderId="14" xfId="0" applyFont="1" applyFill="1" applyBorder="1" applyAlignment="1">
      <alignment horizontal="center" vertical="center"/>
    </xf>
    <xf numFmtId="0" fontId="18" fillId="3" borderId="9" xfId="0" applyFont="1" applyFill="1" applyBorder="1" applyAlignment="1">
      <alignment horizontal="center" vertical="center"/>
    </xf>
    <xf numFmtId="0" fontId="18" fillId="0" borderId="9" xfId="0" applyFont="1" applyBorder="1" applyAlignment="1">
      <alignment horizontal="center" vertical="center"/>
    </xf>
    <xf numFmtId="0" fontId="13" fillId="0" borderId="9" xfId="0" applyFont="1" applyBorder="1" applyAlignment="1">
      <alignment horizontal="center" vertical="top" wrapText="1"/>
    </xf>
    <xf numFmtId="0" fontId="18" fillId="0" borderId="9" xfId="0" applyFont="1" applyBorder="1" applyAlignment="1">
      <alignment horizontal="center" vertical="center" wrapText="1"/>
    </xf>
    <xf numFmtId="0" fontId="13" fillId="0" borderId="9" xfId="0" applyFont="1" applyBorder="1" applyAlignment="1">
      <alignment wrapText="1"/>
    </xf>
    <xf numFmtId="0" fontId="13" fillId="0" borderId="0" xfId="0" applyFont="1" applyAlignment="1">
      <alignment horizontal="center"/>
    </xf>
    <xf numFmtId="0" fontId="18" fillId="0" borderId="0" xfId="0" applyFont="1" applyAlignment="1">
      <alignment horizontal="center" vertical="center" wrapText="1"/>
    </xf>
    <xf numFmtId="0" fontId="18"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8" fillId="0" borderId="9" xfId="0" applyFont="1" applyBorder="1" applyAlignment="1">
      <alignment horizontal="left" vertical="center" wrapText="1"/>
    </xf>
    <xf numFmtId="0" fontId="13" fillId="0" borderId="0" xfId="0" applyFont="1" applyAlignment="1" applyProtection="1">
      <alignment horizontal="center" vertical="center"/>
      <protection locked="0"/>
    </xf>
    <xf numFmtId="0" fontId="3" fillId="0" borderId="9" xfId="0" applyFont="1" applyBorder="1" applyAlignment="1">
      <alignment horizontal="center" vertical="center"/>
    </xf>
    <xf numFmtId="1" fontId="0" fillId="0" borderId="9" xfId="0" applyNumberFormat="1" applyBorder="1" applyAlignment="1">
      <alignment horizontal="center" vertical="center" wrapText="1"/>
    </xf>
    <xf numFmtId="1" fontId="3" fillId="0" borderId="9" xfId="0" applyNumberFormat="1" applyFont="1" applyBorder="1" applyAlignment="1">
      <alignment horizontal="center" vertical="center" wrapText="1"/>
    </xf>
    <xf numFmtId="0" fontId="18" fillId="0" borderId="8" xfId="0" applyFont="1" applyBorder="1" applyAlignment="1">
      <alignment horizontal="center" vertical="center"/>
    </xf>
    <xf numFmtId="49" fontId="13" fillId="0" borderId="19" xfId="0" applyNumberFormat="1" applyFont="1" applyBorder="1" applyAlignment="1">
      <alignment horizontal="center" vertical="center" wrapText="1"/>
    </xf>
    <xf numFmtId="1" fontId="13" fillId="0" borderId="19" xfId="0" applyNumberFormat="1" applyFont="1" applyBorder="1" applyAlignment="1">
      <alignment horizontal="center" vertical="center"/>
    </xf>
    <xf numFmtId="0" fontId="21" fillId="0" borderId="9" xfId="0" applyFont="1" applyBorder="1" applyAlignment="1">
      <alignment horizontal="left" vertical="top" wrapText="1"/>
    </xf>
    <xf numFmtId="0" fontId="22" fillId="5" borderId="7" xfId="0" applyFont="1" applyFill="1" applyBorder="1" applyAlignment="1">
      <alignment vertical="center"/>
    </xf>
    <xf numFmtId="0" fontId="18" fillId="0" borderId="0" xfId="0" applyFont="1" applyAlignment="1">
      <alignment horizontal="left" vertical="top"/>
    </xf>
    <xf numFmtId="0" fontId="13" fillId="0" borderId="0" xfId="0" applyFont="1" applyAlignment="1">
      <alignment horizontal="left" vertical="top"/>
    </xf>
    <xf numFmtId="0" fontId="23" fillId="0" borderId="9" xfId="0" applyFont="1" applyBorder="1" applyAlignment="1">
      <alignment horizontal="left" vertical="top" wrapText="1"/>
    </xf>
    <xf numFmtId="0" fontId="24" fillId="0" borderId="0" xfId="0" applyFont="1"/>
    <xf numFmtId="0" fontId="18" fillId="0" borderId="0" xfId="0" applyFont="1" applyAlignment="1">
      <alignment horizontal="center" vertical="center"/>
    </xf>
    <xf numFmtId="0" fontId="18" fillId="3" borderId="14" xfId="0" applyFont="1" applyFill="1" applyBorder="1" applyAlignment="1">
      <alignment horizontal="center" vertical="center" wrapText="1"/>
    </xf>
    <xf numFmtId="1" fontId="13" fillId="0" borderId="9" xfId="0" applyNumberFormat="1" applyFont="1" applyBorder="1" applyAlignment="1">
      <alignment horizontal="center" vertical="center"/>
    </xf>
    <xf numFmtId="0" fontId="13" fillId="0" borderId="9" xfId="0" applyFont="1" applyBorder="1" applyAlignment="1">
      <alignment horizontal="center"/>
    </xf>
    <xf numFmtId="0" fontId="21" fillId="0" borderId="9" xfId="0" applyFont="1" applyBorder="1" applyAlignment="1">
      <alignment horizontal="center" vertical="center" wrapText="1"/>
    </xf>
    <xf numFmtId="0" fontId="4" fillId="9" borderId="0" xfId="0" applyFont="1" applyFill="1"/>
    <xf numFmtId="0" fontId="4" fillId="11" borderId="0" xfId="0" applyFont="1" applyFill="1"/>
    <xf numFmtId="1" fontId="0" fillId="0" borderId="0" xfId="0" applyNumberFormat="1"/>
    <xf numFmtId="0" fontId="6" fillId="0" borderId="0" xfId="0" applyFont="1" applyAlignment="1">
      <alignment horizontal="center"/>
    </xf>
    <xf numFmtId="0" fontId="6" fillId="0" borderId="0" xfId="0" applyFont="1" applyAlignment="1">
      <alignment horizontal="left" vertical="top"/>
    </xf>
    <xf numFmtId="164" fontId="6" fillId="3" borderId="9" xfId="0" applyNumberFormat="1" applyFont="1" applyFill="1" applyBorder="1" applyAlignment="1" applyProtection="1">
      <alignment horizontal="center" vertical="top"/>
      <protection locked="0"/>
    </xf>
    <xf numFmtId="0" fontId="0" fillId="6" borderId="9" xfId="0" applyFill="1" applyBorder="1" applyAlignment="1">
      <alignment horizontal="center" vertical="center"/>
    </xf>
    <xf numFmtId="0" fontId="26" fillId="0" borderId="0" xfId="0" applyFont="1"/>
    <xf numFmtId="0" fontId="0" fillId="6" borderId="9" xfId="0" applyFill="1" applyBorder="1" applyAlignment="1">
      <alignment vertical="top" wrapText="1"/>
    </xf>
    <xf numFmtId="0" fontId="4" fillId="5" borderId="0" xfId="0" applyFont="1" applyFill="1" applyAlignment="1">
      <alignment vertical="center"/>
    </xf>
    <xf numFmtId="0" fontId="0" fillId="0" borderId="0" xfId="0" applyAlignment="1">
      <alignment horizontal="center" vertical="top"/>
    </xf>
    <xf numFmtId="0" fontId="12" fillId="11" borderId="0" xfId="1" applyFont="1" applyFill="1" applyBorder="1" applyAlignment="1" applyProtection="1">
      <alignment wrapText="1"/>
    </xf>
    <xf numFmtId="0" fontId="18" fillId="3" borderId="21" xfId="0" applyFont="1" applyFill="1" applyBorder="1" applyAlignment="1">
      <alignment horizontal="center" vertical="center"/>
    </xf>
    <xf numFmtId="0" fontId="18" fillId="3" borderId="21" xfId="0" applyFont="1" applyFill="1" applyBorder="1" applyAlignment="1">
      <alignment horizontal="center" vertical="center" wrapText="1"/>
    </xf>
    <xf numFmtId="0" fontId="22" fillId="5" borderId="28" xfId="0" applyFont="1" applyFill="1" applyBorder="1" applyAlignment="1">
      <alignment vertical="center"/>
    </xf>
    <xf numFmtId="0" fontId="13" fillId="0" borderId="27" xfId="0" applyFont="1" applyBorder="1" applyAlignment="1">
      <alignment horizontal="center" vertical="center" wrapText="1"/>
    </xf>
    <xf numFmtId="0" fontId="18" fillId="3" borderId="9" xfId="0" applyFont="1" applyFill="1" applyBorder="1" applyAlignment="1">
      <alignment horizontal="center" vertical="center" wrapText="1"/>
    </xf>
    <xf numFmtId="0" fontId="3" fillId="0" borderId="0" xfId="0" applyFont="1" applyAlignment="1">
      <alignment horizontal="center" vertical="center"/>
    </xf>
    <xf numFmtId="0" fontId="18" fillId="3" borderId="30" xfId="0" applyFont="1" applyFill="1" applyBorder="1" applyAlignment="1">
      <alignment horizontal="center" vertical="center"/>
    </xf>
    <xf numFmtId="0" fontId="27" fillId="0" borderId="0" xfId="0" applyFont="1" applyAlignment="1">
      <alignment horizontal="left" vertical="top"/>
    </xf>
    <xf numFmtId="0" fontId="23" fillId="0" borderId="9" xfId="0" applyFont="1" applyBorder="1" applyAlignment="1">
      <alignment horizontal="center" vertical="center" wrapText="1"/>
    </xf>
    <xf numFmtId="0" fontId="0" fillId="0" borderId="25" xfId="0" applyBorder="1" applyAlignment="1">
      <alignment horizontal="center" vertical="top" wrapText="1"/>
    </xf>
    <xf numFmtId="0" fontId="0" fillId="0" borderId="16" xfId="0" applyBorder="1" applyAlignment="1">
      <alignment horizontal="center" vertical="center" wrapText="1"/>
    </xf>
    <xf numFmtId="0" fontId="0" fillId="0" borderId="9" xfId="0" applyBorder="1"/>
    <xf numFmtId="0" fontId="0" fillId="0" borderId="9" xfId="0" applyBorder="1" applyAlignment="1">
      <alignment horizontal="right"/>
    </xf>
    <xf numFmtId="0" fontId="13" fillId="3" borderId="0" xfId="0" applyFont="1" applyFill="1"/>
    <xf numFmtId="0" fontId="28" fillId="5" borderId="7" xfId="0" applyFont="1" applyFill="1" applyBorder="1" applyAlignment="1">
      <alignment vertical="center"/>
    </xf>
    <xf numFmtId="0" fontId="0" fillId="0" borderId="8" xfId="0" applyBorder="1" applyAlignment="1">
      <alignment horizontal="center" vertical="top" wrapText="1"/>
    </xf>
    <xf numFmtId="0" fontId="0" fillId="0" borderId="6" xfId="0" applyBorder="1" applyAlignment="1">
      <alignment horizontal="center" vertical="center" wrapText="1"/>
    </xf>
    <xf numFmtId="0" fontId="0" fillId="13" borderId="9" xfId="0" applyFill="1" applyBorder="1" applyAlignment="1">
      <alignment horizontal="center" vertical="center"/>
    </xf>
    <xf numFmtId="0" fontId="31" fillId="0" borderId="0" xfId="0" applyFont="1" applyAlignment="1">
      <alignment vertical="center"/>
    </xf>
    <xf numFmtId="0" fontId="13" fillId="0" borderId="9" xfId="0" applyFont="1" applyBorder="1"/>
    <xf numFmtId="49" fontId="13" fillId="0" borderId="8" xfId="0" applyNumberFormat="1" applyFont="1" applyBorder="1" applyAlignment="1">
      <alignment horizontal="left" vertical="center" wrapText="1"/>
    </xf>
    <xf numFmtId="0" fontId="21" fillId="0" borderId="8" xfId="0" applyFont="1" applyBorder="1" applyAlignment="1">
      <alignment horizontal="center" vertical="top" wrapText="1"/>
    </xf>
    <xf numFmtId="0" fontId="21" fillId="0" borderId="26" xfId="0" applyFont="1" applyBorder="1" applyAlignment="1">
      <alignment horizontal="center" vertical="top"/>
    </xf>
    <xf numFmtId="0" fontId="32" fillId="0" borderId="0" xfId="0" applyFont="1"/>
    <xf numFmtId="0" fontId="32" fillId="0" borderId="0" xfId="0" applyFont="1" applyAlignment="1">
      <alignment wrapText="1"/>
    </xf>
    <xf numFmtId="0" fontId="2" fillId="0" borderId="0" xfId="0" applyFont="1"/>
    <xf numFmtId="0" fontId="31" fillId="0" borderId="0" xfId="0" applyFont="1" applyAlignment="1">
      <alignment horizontal="center" vertical="center"/>
    </xf>
    <xf numFmtId="0" fontId="18" fillId="3" borderId="20" xfId="0" applyFont="1" applyFill="1" applyBorder="1" applyAlignment="1">
      <alignment horizontal="center" vertical="center"/>
    </xf>
    <xf numFmtId="1" fontId="13" fillId="0" borderId="0" xfId="0" applyNumberFormat="1" applyFont="1" applyAlignment="1">
      <alignment horizontal="center" vertical="center"/>
    </xf>
    <xf numFmtId="0" fontId="22" fillId="5" borderId="7" xfId="0" applyFont="1" applyFill="1" applyBorder="1" applyAlignment="1">
      <alignment horizontal="center" vertical="center"/>
    </xf>
    <xf numFmtId="0" fontId="3" fillId="12" borderId="32" xfId="0" applyFont="1" applyFill="1" applyBorder="1" applyAlignment="1">
      <alignment vertical="top"/>
    </xf>
    <xf numFmtId="0" fontId="0" fillId="12" borderId="32" xfId="0" applyFill="1" applyBorder="1" applyAlignment="1">
      <alignment vertical="top" wrapText="1"/>
    </xf>
    <xf numFmtId="0" fontId="0" fillId="12" borderId="32" xfId="0" applyFill="1" applyBorder="1" applyAlignment="1">
      <alignment vertical="top"/>
    </xf>
    <xf numFmtId="0" fontId="0" fillId="6" borderId="0" xfId="0" applyFill="1" applyAlignment="1">
      <alignment vertical="top"/>
    </xf>
    <xf numFmtId="0" fontId="17" fillId="0" borderId="9" xfId="0" applyFont="1" applyBorder="1" applyAlignment="1">
      <alignment vertical="top" wrapText="1"/>
    </xf>
    <xf numFmtId="0" fontId="13" fillId="15" borderId="9" xfId="0" applyFont="1" applyFill="1" applyBorder="1" applyAlignment="1">
      <alignment horizontal="left" vertical="center" wrapText="1"/>
    </xf>
    <xf numFmtId="0" fontId="18" fillId="15" borderId="9" xfId="0" applyFont="1" applyFill="1" applyBorder="1" applyAlignment="1">
      <alignment horizontal="center" vertical="center" wrapText="1"/>
    </xf>
    <xf numFmtId="0" fontId="36" fillId="0" borderId="9" xfId="0" applyFont="1" applyBorder="1" applyAlignment="1">
      <alignment horizontal="center" vertical="center" wrapText="1"/>
    </xf>
    <xf numFmtId="0" fontId="37" fillId="0" borderId="9" xfId="0" applyFont="1" applyBorder="1"/>
    <xf numFmtId="0" fontId="37" fillId="0" borderId="9" xfId="0" applyFont="1" applyBorder="1" applyAlignment="1">
      <alignment horizontal="center" vertical="center"/>
    </xf>
    <xf numFmtId="0" fontId="38" fillId="0" borderId="9" xfId="0" applyFont="1" applyBorder="1" applyAlignment="1">
      <alignment vertical="top" wrapText="1"/>
    </xf>
    <xf numFmtId="0" fontId="13" fillId="16" borderId="9" xfId="0" applyFont="1" applyFill="1" applyBorder="1" applyAlignment="1">
      <alignment horizontal="center" vertical="center"/>
    </xf>
    <xf numFmtId="0" fontId="15" fillId="0" borderId="9" xfId="0" applyFont="1" applyBorder="1" applyAlignment="1">
      <alignment horizontal="center" vertical="center"/>
    </xf>
    <xf numFmtId="0" fontId="0" fillId="0" borderId="19" xfId="0" applyBorder="1" applyAlignment="1">
      <alignment vertical="top" wrapText="1"/>
    </xf>
    <xf numFmtId="0" fontId="0" fillId="6" borderId="34" xfId="0" applyFill="1" applyBorder="1" applyAlignment="1">
      <alignment vertical="top" wrapText="1"/>
    </xf>
    <xf numFmtId="0" fontId="13" fillId="0" borderId="18" xfId="0" applyFont="1" applyBorder="1" applyAlignment="1">
      <alignment horizontal="center" vertical="top" wrapText="1"/>
    </xf>
    <xf numFmtId="0" fontId="13" fillId="0" borderId="6" xfId="0" applyFont="1" applyBorder="1" applyAlignment="1">
      <alignment horizontal="center" vertical="center" wrapText="1"/>
    </xf>
    <xf numFmtId="0" fontId="21" fillId="0" borderId="6" xfId="0" applyFont="1" applyBorder="1" applyAlignment="1">
      <alignment horizontal="center" vertical="center" wrapText="1"/>
    </xf>
    <xf numFmtId="1" fontId="0" fillId="0" borderId="6" xfId="0" applyNumberFormat="1" applyBorder="1" applyAlignment="1">
      <alignment horizontal="center" vertical="center" wrapText="1"/>
    </xf>
    <xf numFmtId="0" fontId="18" fillId="3" borderId="36" xfId="0" applyFont="1" applyFill="1" applyBorder="1" applyAlignment="1">
      <alignment horizontal="center" vertical="center"/>
    </xf>
    <xf numFmtId="0" fontId="3" fillId="15" borderId="9" xfId="0" applyFont="1" applyFill="1" applyBorder="1" applyAlignment="1">
      <alignment horizontal="center" vertical="center" wrapText="1"/>
    </xf>
    <xf numFmtId="0" fontId="4" fillId="5" borderId="8" xfId="0" applyFont="1" applyFill="1" applyBorder="1" applyAlignment="1">
      <alignment vertical="center"/>
    </xf>
    <xf numFmtId="0" fontId="4" fillId="5" borderId="9" xfId="0" applyFont="1" applyFill="1" applyBorder="1" applyAlignment="1">
      <alignment vertical="center"/>
    </xf>
    <xf numFmtId="0" fontId="4" fillId="5" borderId="19" xfId="0" applyFont="1" applyFill="1" applyBorder="1" applyAlignment="1">
      <alignment horizontal="center" vertical="center"/>
    </xf>
    <xf numFmtId="0" fontId="13" fillId="16" borderId="9" xfId="0" applyFont="1" applyFill="1" applyBorder="1" applyAlignment="1">
      <alignment horizontal="left" vertical="center" wrapText="1"/>
    </xf>
    <xf numFmtId="0" fontId="0" fillId="15" borderId="40" xfId="0" applyFill="1" applyBorder="1" applyAlignment="1">
      <alignment horizontal="center" vertical="center"/>
    </xf>
    <xf numFmtId="0" fontId="0" fillId="15" borderId="39" xfId="0" applyFill="1" applyBorder="1" applyAlignment="1">
      <alignment vertical="top" wrapText="1"/>
    </xf>
    <xf numFmtId="0" fontId="13" fillId="15" borderId="9" xfId="0" applyFont="1" applyFill="1" applyBorder="1" applyAlignment="1">
      <alignment horizontal="center" vertical="center"/>
    </xf>
    <xf numFmtId="49" fontId="13" fillId="15" borderId="39" xfId="0" applyNumberFormat="1" applyFont="1" applyFill="1" applyBorder="1" applyAlignment="1">
      <alignment horizontal="center" vertical="center" wrapText="1"/>
    </xf>
    <xf numFmtId="49" fontId="13" fillId="0" borderId="9" xfId="0" applyNumberFormat="1" applyFont="1" applyBorder="1" applyAlignment="1">
      <alignment horizontal="center" vertical="center" wrapText="1"/>
    </xf>
    <xf numFmtId="0" fontId="3" fillId="15" borderId="39" xfId="0" applyFont="1" applyFill="1" applyBorder="1" applyAlignment="1">
      <alignment horizontal="center" vertical="top" wrapText="1"/>
    </xf>
    <xf numFmtId="0" fontId="18" fillId="15" borderId="9" xfId="0" applyFont="1" applyFill="1" applyBorder="1" applyAlignment="1">
      <alignment horizontal="center" vertical="center"/>
    </xf>
    <xf numFmtId="0" fontId="3" fillId="6" borderId="9" xfId="0" applyFont="1" applyFill="1" applyBorder="1" applyAlignment="1">
      <alignment horizontal="center" vertical="top" wrapText="1"/>
    </xf>
    <xf numFmtId="0" fontId="0" fillId="15" borderId="9" xfId="0" applyFill="1" applyBorder="1" applyAlignment="1">
      <alignment vertical="top" wrapText="1"/>
    </xf>
    <xf numFmtId="1" fontId="13" fillId="0" borderId="35" xfId="0" applyNumberFormat="1" applyFont="1" applyBorder="1" applyAlignment="1">
      <alignment horizontal="center" vertical="center"/>
    </xf>
    <xf numFmtId="1" fontId="13" fillId="15" borderId="43" xfId="0" applyNumberFormat="1" applyFont="1" applyFill="1" applyBorder="1" applyAlignment="1">
      <alignment horizontal="center" vertical="center"/>
    </xf>
    <xf numFmtId="1" fontId="13" fillId="15" borderId="9" xfId="0" applyNumberFormat="1" applyFont="1" applyFill="1" applyBorder="1" applyAlignment="1">
      <alignment horizontal="center" vertical="center"/>
    </xf>
    <xf numFmtId="0" fontId="21" fillId="0" borderId="26" xfId="0" applyFont="1" applyBorder="1" applyAlignment="1">
      <alignment horizontal="center" vertical="center"/>
    </xf>
    <xf numFmtId="0" fontId="21" fillId="0" borderId="9" xfId="0" applyFont="1" applyBorder="1" applyAlignment="1">
      <alignment horizontal="center" vertical="top" wrapText="1"/>
    </xf>
    <xf numFmtId="0" fontId="33" fillId="0" borderId="9" xfId="0" applyFont="1" applyBorder="1" applyAlignment="1">
      <alignment horizontal="center" vertical="center" wrapText="1"/>
    </xf>
    <xf numFmtId="0" fontId="18" fillId="0" borderId="44" xfId="0" applyFont="1" applyBorder="1" applyAlignment="1">
      <alignment horizontal="center" vertical="center" wrapText="1"/>
    </xf>
    <xf numFmtId="0" fontId="0" fillId="13" borderId="0" xfId="0" applyFill="1"/>
    <xf numFmtId="0" fontId="0" fillId="13" borderId="0" xfId="0" applyFill="1" applyAlignment="1">
      <alignment horizontal="center" vertical="center"/>
    </xf>
    <xf numFmtId="0" fontId="13" fillId="3" borderId="2" xfId="0" applyFont="1" applyFill="1" applyBorder="1"/>
    <xf numFmtId="0" fontId="0" fillId="13" borderId="5" xfId="0" applyFill="1" applyBorder="1" applyAlignment="1">
      <alignment horizontal="center" vertical="center"/>
    </xf>
    <xf numFmtId="0" fontId="18" fillId="3" borderId="22" xfId="0" applyFont="1" applyFill="1" applyBorder="1" applyAlignment="1">
      <alignment horizontal="center" vertical="center" wrapText="1"/>
    </xf>
    <xf numFmtId="0" fontId="0" fillId="6" borderId="27" xfId="0" applyFill="1" applyBorder="1" applyAlignment="1">
      <alignment horizontal="center" vertical="center"/>
    </xf>
    <xf numFmtId="0" fontId="0" fillId="13" borderId="27" xfId="0" applyFill="1" applyBorder="1" applyAlignment="1">
      <alignment horizontal="center" vertical="center"/>
    </xf>
    <xf numFmtId="0" fontId="0" fillId="0" borderId="27" xfId="0" applyBorder="1" applyAlignment="1">
      <alignment horizontal="center"/>
    </xf>
    <xf numFmtId="0" fontId="0" fillId="0" borderId="24" xfId="0" applyBorder="1" applyAlignment="1">
      <alignment horizontal="center" vertical="top" wrapText="1"/>
    </xf>
    <xf numFmtId="0" fontId="3" fillId="0" borderId="23" xfId="0" applyFont="1" applyBorder="1" applyAlignment="1">
      <alignment horizontal="center" vertical="center" wrapText="1"/>
    </xf>
    <xf numFmtId="0" fontId="0" fillId="0" borderId="23" xfId="0" applyBorder="1" applyAlignment="1">
      <alignment horizontal="center" vertical="center" wrapText="1"/>
    </xf>
    <xf numFmtId="0" fontId="18" fillId="3" borderId="3" xfId="0" applyFont="1" applyFill="1" applyBorder="1"/>
    <xf numFmtId="0" fontId="3" fillId="3" borderId="8" xfId="0" applyFont="1" applyFill="1" applyBorder="1" applyAlignment="1">
      <alignment horizontal="center" vertical="center"/>
    </xf>
    <xf numFmtId="0" fontId="3" fillId="3" borderId="6" xfId="0" applyFont="1" applyFill="1" applyBorder="1" applyAlignment="1">
      <alignment horizontal="center" vertical="center" wrapText="1"/>
    </xf>
    <xf numFmtId="0" fontId="0" fillId="0" borderId="6" xfId="0" applyBorder="1" applyAlignment="1">
      <alignment horizontal="center" vertical="center"/>
    </xf>
    <xf numFmtId="0" fontId="0" fillId="0" borderId="6" xfId="0" applyBorder="1"/>
    <xf numFmtId="0" fontId="0" fillId="0" borderId="18" xfId="0" applyBorder="1" applyAlignment="1">
      <alignment horizontal="center" vertical="top" wrapText="1"/>
    </xf>
    <xf numFmtId="0" fontId="3" fillId="0" borderId="15" xfId="0" applyFont="1" applyBorder="1" applyAlignment="1">
      <alignment horizontal="center" vertical="center"/>
    </xf>
    <xf numFmtId="0" fontId="0" fillId="0" borderId="20" xfId="0" applyBorder="1" applyAlignment="1">
      <alignment horizontal="left" vertical="top"/>
    </xf>
    <xf numFmtId="0" fontId="0" fillId="0" borderId="14" xfId="0" applyBorder="1" applyAlignment="1">
      <alignment horizontal="left" vertical="top"/>
    </xf>
    <xf numFmtId="0" fontId="0" fillId="0" borderId="38" xfId="0" applyBorder="1" applyAlignment="1">
      <alignment horizontal="left" vertical="top"/>
    </xf>
    <xf numFmtId="0" fontId="0" fillId="0" borderId="8" xfId="0" applyBorder="1"/>
    <xf numFmtId="0" fontId="3" fillId="0" borderId="6" xfId="0" applyFont="1" applyBorder="1" applyAlignment="1">
      <alignment horizontal="center" vertical="center" wrapText="1"/>
    </xf>
    <xf numFmtId="0" fontId="19" fillId="10" borderId="9" xfId="0" applyFont="1" applyFill="1" applyBorder="1" applyAlignment="1">
      <alignment horizontal="center"/>
    </xf>
    <xf numFmtId="0" fontId="0" fillId="13" borderId="8" xfId="0" applyFill="1" applyBorder="1"/>
    <xf numFmtId="0" fontId="19" fillId="13" borderId="9" xfId="0" applyFont="1" applyFill="1" applyBorder="1" applyAlignment="1">
      <alignment horizontal="center"/>
    </xf>
    <xf numFmtId="0" fontId="0" fillId="13" borderId="6" xfId="0" applyFill="1" applyBorder="1" applyAlignment="1">
      <alignment horizontal="center" vertical="center"/>
    </xf>
    <xf numFmtId="0" fontId="4" fillId="7" borderId="20" xfId="0" applyFont="1" applyFill="1" applyBorder="1"/>
    <xf numFmtId="0" fontId="4" fillId="7" borderId="14" xfId="0" applyFont="1" applyFill="1" applyBorder="1"/>
    <xf numFmtId="0" fontId="4" fillId="7" borderId="38" xfId="0" applyFont="1" applyFill="1" applyBorder="1"/>
    <xf numFmtId="0" fontId="13" fillId="0" borderId="8" xfId="0" applyFont="1" applyBorder="1"/>
    <xf numFmtId="0" fontId="13" fillId="0" borderId="6" xfId="0" applyFont="1" applyBorder="1" applyAlignment="1">
      <alignment horizontal="center" vertical="center"/>
    </xf>
    <xf numFmtId="0" fontId="21" fillId="0" borderId="8" xfId="0" applyFont="1" applyBorder="1" applyAlignment="1">
      <alignment horizontal="left" vertical="top"/>
    </xf>
    <xf numFmtId="0" fontId="23" fillId="0" borderId="6" xfId="0" applyFont="1" applyBorder="1" applyAlignment="1">
      <alignment horizontal="left" vertical="top" wrapText="1"/>
    </xf>
    <xf numFmtId="0" fontId="13" fillId="0" borderId="18" xfId="0" applyFont="1" applyBorder="1"/>
    <xf numFmtId="0" fontId="18" fillId="0" borderId="15" xfId="0" applyFont="1" applyBorder="1" applyAlignment="1">
      <alignment horizontal="center" vertical="center"/>
    </xf>
    <xf numFmtId="0" fontId="13" fillId="0" borderId="15" xfId="0" applyFont="1" applyBorder="1" applyAlignment="1">
      <alignment horizontal="center"/>
    </xf>
    <xf numFmtId="0" fontId="18" fillId="0" borderId="15" xfId="0" applyFont="1" applyBorder="1" applyAlignment="1">
      <alignment horizontal="center"/>
    </xf>
    <xf numFmtId="0" fontId="3" fillId="13" borderId="0" xfId="0" applyFont="1" applyFill="1" applyAlignment="1">
      <alignment horizontal="center" vertical="center"/>
    </xf>
    <xf numFmtId="0" fontId="13" fillId="13" borderId="9" xfId="0" applyFont="1" applyFill="1" applyBorder="1" applyAlignment="1">
      <alignment horizontal="center" vertical="center"/>
    </xf>
    <xf numFmtId="0" fontId="36" fillId="0" borderId="9" xfId="0" applyFont="1" applyBorder="1" applyAlignment="1">
      <alignment horizontal="center" vertical="center"/>
    </xf>
    <xf numFmtId="0" fontId="18" fillId="3" borderId="15" xfId="0" applyFont="1" applyFill="1" applyBorder="1" applyAlignment="1">
      <alignment horizontal="center" vertical="center"/>
    </xf>
    <xf numFmtId="0" fontId="18" fillId="3" borderId="15"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18" fillId="3" borderId="16" xfId="0" applyFont="1" applyFill="1" applyBorder="1" applyAlignment="1">
      <alignment horizontal="center" vertical="center"/>
    </xf>
    <xf numFmtId="0" fontId="3" fillId="3" borderId="15" xfId="0" applyFont="1" applyFill="1" applyBorder="1" applyAlignment="1">
      <alignment horizontal="center" vertical="center"/>
    </xf>
    <xf numFmtId="0" fontId="13" fillId="0" borderId="26" xfId="0" applyFont="1" applyBorder="1" applyAlignment="1">
      <alignment horizontal="center" vertical="center" wrapText="1"/>
    </xf>
    <xf numFmtId="0" fontId="36" fillId="0" borderId="26"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6" xfId="0" applyFont="1" applyBorder="1"/>
    <xf numFmtId="0" fontId="37" fillId="0" borderId="27" xfId="0" applyFont="1" applyBorder="1" applyAlignment="1">
      <alignment horizontal="center" vertical="center"/>
    </xf>
    <xf numFmtId="0" fontId="13" fillId="0" borderId="26" xfId="0" applyFont="1" applyBorder="1"/>
    <xf numFmtId="0" fontId="13" fillId="0" borderId="27" xfId="0" applyFont="1" applyBorder="1" applyAlignment="1">
      <alignment horizontal="center" vertical="center"/>
    </xf>
    <xf numFmtId="0" fontId="13" fillId="0" borderId="41" xfId="0" applyFont="1" applyBorder="1"/>
    <xf numFmtId="0" fontId="3" fillId="0" borderId="42" xfId="0" applyFont="1" applyBorder="1" applyAlignment="1">
      <alignment horizontal="center" vertical="center"/>
    </xf>
    <xf numFmtId="0" fontId="13" fillId="0" borderId="42" xfId="0" applyFont="1" applyBorder="1" applyAlignment="1">
      <alignment horizontal="center" vertical="center"/>
    </xf>
    <xf numFmtId="0" fontId="18" fillId="0" borderId="42" xfId="0" applyFont="1" applyBorder="1" applyAlignment="1">
      <alignment horizontal="center" vertical="center"/>
    </xf>
    <xf numFmtId="0" fontId="4" fillId="9" borderId="20" xfId="0" applyFont="1" applyFill="1" applyBorder="1"/>
    <xf numFmtId="0" fontId="4" fillId="9" borderId="14" xfId="0" applyFont="1" applyFill="1" applyBorder="1"/>
    <xf numFmtId="0" fontId="4" fillId="9" borderId="38" xfId="0" applyFont="1" applyFill="1" applyBorder="1"/>
    <xf numFmtId="0" fontId="18" fillId="3" borderId="8" xfId="0" applyFont="1" applyFill="1" applyBorder="1" applyAlignment="1">
      <alignment horizontal="center" vertical="center"/>
    </xf>
    <xf numFmtId="0" fontId="18" fillId="0" borderId="9" xfId="0" applyFont="1" applyBorder="1" applyAlignment="1">
      <alignment horizontal="center"/>
    </xf>
    <xf numFmtId="0" fontId="13" fillId="0" borderId="18" xfId="0" applyFont="1" applyBorder="1" applyAlignment="1">
      <alignment horizontal="center" vertical="center"/>
    </xf>
    <xf numFmtId="1" fontId="13" fillId="0" borderId="15" xfId="0" applyNumberFormat="1" applyFont="1" applyBorder="1" applyAlignment="1">
      <alignment horizontal="center"/>
    </xf>
    <xf numFmtId="1" fontId="13" fillId="0" borderId="37" xfId="0" applyNumberFormat="1" applyFont="1" applyBorder="1" applyAlignment="1">
      <alignment horizontal="center"/>
    </xf>
    <xf numFmtId="0" fontId="41" fillId="15" borderId="9" xfId="0" applyFont="1" applyFill="1" applyBorder="1" applyAlignment="1">
      <alignment horizontal="center" vertical="top" wrapText="1"/>
    </xf>
    <xf numFmtId="0" fontId="3" fillId="17" borderId="9" xfId="0" applyFont="1" applyFill="1" applyBorder="1" applyAlignment="1">
      <alignment horizontal="center" vertical="center"/>
    </xf>
    <xf numFmtId="0" fontId="13" fillId="13" borderId="9" xfId="0" applyFont="1" applyFill="1" applyBorder="1"/>
    <xf numFmtId="0" fontId="18" fillId="13" borderId="9" xfId="0" applyFont="1" applyFill="1" applyBorder="1" applyAlignment="1">
      <alignment horizontal="center" vertical="center" wrapText="1"/>
    </xf>
    <xf numFmtId="0" fontId="18" fillId="13" borderId="9" xfId="0" applyFont="1" applyFill="1" applyBorder="1" applyAlignment="1">
      <alignment horizontal="center" vertical="center"/>
    </xf>
    <xf numFmtId="1" fontId="18" fillId="13" borderId="9" xfId="0" applyNumberFormat="1" applyFont="1" applyFill="1" applyBorder="1" applyAlignment="1">
      <alignment horizontal="center" vertical="center"/>
    </xf>
    <xf numFmtId="0" fontId="42" fillId="0" borderId="9" xfId="0" applyFont="1" applyBorder="1" applyAlignment="1">
      <alignment horizontal="center" vertical="top" wrapText="1"/>
    </xf>
    <xf numFmtId="0" fontId="3" fillId="3" borderId="14" xfId="0" applyFont="1" applyFill="1" applyBorder="1" applyAlignment="1">
      <alignment horizontal="center" vertical="center" wrapText="1"/>
    </xf>
    <xf numFmtId="0" fontId="3" fillId="3" borderId="14" xfId="0" applyFont="1" applyFill="1" applyBorder="1" applyAlignment="1">
      <alignment horizontal="center" vertical="center"/>
    </xf>
    <xf numFmtId="0" fontId="3" fillId="3" borderId="38" xfId="0" applyFont="1" applyFill="1" applyBorder="1" applyAlignment="1">
      <alignment horizontal="center" vertical="center" wrapText="1"/>
    </xf>
    <xf numFmtId="0" fontId="15" fillId="0" borderId="8" xfId="0" applyFont="1" applyBorder="1" applyAlignment="1">
      <alignment horizontal="center" vertical="center"/>
    </xf>
    <xf numFmtId="0" fontId="15" fillId="0" borderId="18" xfId="0" applyFont="1" applyBorder="1" applyAlignment="1">
      <alignment horizontal="center" vertical="center"/>
    </xf>
    <xf numFmtId="0" fontId="42" fillId="0" borderId="15" xfId="0" applyFont="1" applyBorder="1" applyAlignment="1">
      <alignment horizontal="center" vertical="top" wrapText="1"/>
    </xf>
    <xf numFmtId="49" fontId="13" fillId="0" borderId="15" xfId="0" applyNumberFormat="1" applyFont="1" applyBorder="1" applyAlignment="1">
      <alignment horizontal="center" vertical="center" wrapText="1"/>
    </xf>
    <xf numFmtId="1" fontId="13" fillId="0" borderId="15" xfId="0" applyNumberFormat="1" applyFont="1" applyBorder="1" applyAlignment="1">
      <alignment horizontal="center" vertical="center"/>
    </xf>
    <xf numFmtId="49" fontId="18" fillId="0" borderId="15" xfId="0" applyNumberFormat="1" applyFont="1" applyBorder="1" applyAlignment="1">
      <alignment horizontal="center" vertical="center" wrapText="1"/>
    </xf>
    <xf numFmtId="49" fontId="18" fillId="17" borderId="9" xfId="0" applyNumberFormat="1" applyFont="1" applyFill="1" applyBorder="1" applyAlignment="1">
      <alignment horizontal="center" vertical="center" wrapText="1"/>
    </xf>
    <xf numFmtId="0" fontId="15" fillId="15" borderId="9" xfId="0" applyFont="1" applyFill="1" applyBorder="1" applyAlignment="1">
      <alignment horizontal="center" vertical="center"/>
    </xf>
    <xf numFmtId="49" fontId="13" fillId="15" borderId="9" xfId="0" applyNumberFormat="1" applyFont="1" applyFill="1" applyBorder="1" applyAlignment="1">
      <alignment horizontal="center" vertical="center" wrapText="1"/>
    </xf>
    <xf numFmtId="0" fontId="0" fillId="13" borderId="9" xfId="0" applyFill="1" applyBorder="1" applyAlignment="1">
      <alignment vertical="top" wrapText="1"/>
    </xf>
    <xf numFmtId="1" fontId="13" fillId="13" borderId="9" xfId="0" applyNumberFormat="1" applyFont="1" applyFill="1" applyBorder="1" applyAlignment="1">
      <alignment horizontal="center" vertical="center"/>
    </xf>
    <xf numFmtId="0" fontId="13" fillId="13" borderId="9" xfId="0" applyFont="1" applyFill="1" applyBorder="1" applyAlignment="1">
      <alignment horizontal="center" vertical="center" wrapText="1"/>
    </xf>
    <xf numFmtId="0" fontId="3" fillId="0" borderId="15" xfId="0" applyFont="1" applyBorder="1" applyAlignment="1">
      <alignment horizontal="center" vertical="center" wrapText="1"/>
    </xf>
    <xf numFmtId="0" fontId="6" fillId="0" borderId="9" xfId="0" applyFont="1" applyBorder="1" applyAlignment="1">
      <alignment horizontal="center"/>
    </xf>
    <xf numFmtId="0" fontId="6" fillId="0" borderId="9" xfId="0" applyFont="1" applyBorder="1" applyAlignment="1">
      <alignment horizontal="center" vertical="center" wrapText="1"/>
    </xf>
    <xf numFmtId="0" fontId="9" fillId="0" borderId="9" xfId="0" applyFont="1" applyBorder="1" applyAlignment="1">
      <alignment horizontal="center" vertical="top"/>
    </xf>
    <xf numFmtId="49" fontId="11" fillId="4" borderId="9" xfId="0" applyNumberFormat="1" applyFont="1" applyFill="1" applyBorder="1" applyAlignment="1">
      <alignment horizontal="center"/>
    </xf>
    <xf numFmtId="49" fontId="11" fillId="7" borderId="9" xfId="0" applyNumberFormat="1" applyFont="1" applyFill="1" applyBorder="1" applyAlignment="1">
      <alignment horizontal="center"/>
    </xf>
    <xf numFmtId="49" fontId="11" fillId="9" borderId="9" xfId="0" applyNumberFormat="1" applyFont="1" applyFill="1" applyBorder="1" applyAlignment="1">
      <alignment horizontal="center"/>
    </xf>
    <xf numFmtId="1" fontId="6" fillId="0" borderId="9" xfId="0" applyNumberFormat="1" applyFont="1" applyBorder="1" applyAlignment="1">
      <alignment horizontal="center" vertical="center" wrapText="1"/>
    </xf>
    <xf numFmtId="1" fontId="9" fillId="0" borderId="9" xfId="0" applyNumberFormat="1" applyFont="1" applyBorder="1" applyAlignment="1">
      <alignment horizontal="center" vertical="top"/>
    </xf>
    <xf numFmtId="49" fontId="11" fillId="8" borderId="9" xfId="0" applyNumberFormat="1" applyFont="1" applyFill="1" applyBorder="1" applyAlignment="1">
      <alignment horizontal="center"/>
    </xf>
    <xf numFmtId="49" fontId="11" fillId="11" borderId="9" xfId="0" applyNumberFormat="1" applyFont="1" applyFill="1" applyBorder="1" applyAlignment="1">
      <alignment horizontal="center"/>
    </xf>
    <xf numFmtId="49" fontId="19" fillId="12" borderId="9" xfId="0" applyNumberFormat="1" applyFont="1" applyFill="1" applyBorder="1" applyAlignment="1">
      <alignment horizontal="center"/>
    </xf>
    <xf numFmtId="0" fontId="13" fillId="13" borderId="0" xfId="0" applyFont="1" applyFill="1"/>
    <xf numFmtId="0" fontId="13" fillId="13" borderId="0" xfId="0" applyFont="1" applyFill="1" applyAlignment="1">
      <alignment horizontal="center" vertical="center"/>
    </xf>
    <xf numFmtId="0" fontId="0" fillId="13" borderId="9" xfId="0" applyFill="1" applyBorder="1"/>
    <xf numFmtId="0" fontId="17" fillId="14" borderId="9" xfId="0" applyFont="1" applyFill="1" applyBorder="1" applyAlignment="1">
      <alignment horizontal="center" vertical="center" wrapText="1"/>
    </xf>
    <xf numFmtId="0" fontId="0" fillId="13" borderId="0" xfId="0" applyFill="1" applyAlignment="1">
      <alignment horizontal="center" vertical="center" wrapText="1"/>
    </xf>
    <xf numFmtId="0" fontId="43" fillId="0" borderId="9" xfId="1" applyFont="1" applyBorder="1"/>
    <xf numFmtId="0" fontId="44" fillId="0" borderId="9" xfId="0" applyFont="1" applyBorder="1"/>
    <xf numFmtId="0" fontId="23" fillId="15" borderId="9" xfId="0" applyFont="1" applyFill="1" applyBorder="1" applyAlignment="1">
      <alignment horizontal="center" vertical="center" wrapText="1"/>
    </xf>
    <xf numFmtId="0" fontId="21" fillId="15" borderId="9" xfId="0" applyFont="1" applyFill="1" applyBorder="1" applyAlignment="1">
      <alignment horizontal="center" vertical="center" wrapText="1"/>
    </xf>
    <xf numFmtId="0" fontId="18" fillId="13" borderId="9" xfId="0" applyFont="1" applyFill="1" applyBorder="1" applyAlignment="1">
      <alignment horizontal="center"/>
    </xf>
    <xf numFmtId="0" fontId="0" fillId="4" borderId="20" xfId="0" applyFill="1" applyBorder="1"/>
    <xf numFmtId="0" fontId="0" fillId="4" borderId="14" xfId="0" applyFill="1" applyBorder="1"/>
    <xf numFmtId="0" fontId="0" fillId="4" borderId="38" xfId="0" applyFill="1" applyBorder="1"/>
    <xf numFmtId="0" fontId="18" fillId="12" borderId="9" xfId="0" applyFont="1" applyFill="1" applyBorder="1" applyAlignment="1">
      <alignment horizontal="center" vertical="center"/>
    </xf>
    <xf numFmtId="0" fontId="0" fillId="0" borderId="9" xfId="0" applyBorder="1" applyAlignment="1" applyProtection="1">
      <alignment horizontal="center" vertical="center"/>
      <protection locked="0"/>
    </xf>
    <xf numFmtId="0" fontId="40" fillId="0" borderId="1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37" xfId="0" applyFont="1" applyBorder="1" applyAlignment="1">
      <alignment horizontal="center" vertical="center" wrapText="1"/>
    </xf>
    <xf numFmtId="0" fontId="3" fillId="13" borderId="9" xfId="0" applyFont="1" applyFill="1" applyBorder="1" applyAlignment="1">
      <alignment horizontal="center"/>
    </xf>
    <xf numFmtId="0" fontId="3" fillId="13" borderId="0" xfId="0" applyFont="1" applyFill="1" applyAlignment="1">
      <alignment horizontal="center"/>
    </xf>
    <xf numFmtId="0" fontId="3" fillId="13" borderId="9" xfId="0" applyFont="1" applyFill="1" applyBorder="1" applyAlignment="1">
      <alignment horizontal="center" wrapText="1"/>
    </xf>
    <xf numFmtId="0" fontId="18" fillId="13" borderId="17" xfId="0" applyFont="1" applyFill="1" applyBorder="1" applyAlignment="1">
      <alignment horizontal="center" wrapText="1"/>
    </xf>
    <xf numFmtId="0" fontId="18" fillId="13" borderId="0" xfId="0" applyFont="1" applyFill="1" applyAlignment="1">
      <alignment horizontal="center"/>
    </xf>
    <xf numFmtId="0" fontId="0" fillId="13" borderId="23" xfId="0" applyFill="1" applyBorder="1" applyAlignment="1">
      <alignment horizontal="center" vertical="center" wrapText="1"/>
    </xf>
    <xf numFmtId="0" fontId="3" fillId="0" borderId="8" xfId="0" applyFont="1" applyBorder="1" applyAlignment="1">
      <alignment horizontal="center" vertical="top" wrapText="1"/>
    </xf>
    <xf numFmtId="0" fontId="0" fillId="0" borderId="6" xfId="0" applyBorder="1" applyAlignment="1">
      <alignment horizontal="left" vertical="top" wrapText="1"/>
    </xf>
    <xf numFmtId="0" fontId="0" fillId="13" borderId="8" xfId="0" applyFill="1" applyBorder="1" applyAlignment="1">
      <alignment horizontal="center" vertical="top" wrapText="1"/>
    </xf>
    <xf numFmtId="0" fontId="3" fillId="13" borderId="9" xfId="0" applyFont="1" applyFill="1" applyBorder="1" applyAlignment="1">
      <alignment horizontal="center" vertical="center" wrapText="1"/>
    </xf>
    <xf numFmtId="0" fontId="0" fillId="13" borderId="9" xfId="0" applyFill="1" applyBorder="1" applyAlignment="1">
      <alignment horizontal="center" vertical="center" wrapText="1"/>
    </xf>
    <xf numFmtId="1" fontId="3" fillId="13" borderId="9" xfId="0" applyNumberFormat="1" applyFont="1" applyFill="1" applyBorder="1" applyAlignment="1">
      <alignment horizontal="center" vertical="center" wrapText="1"/>
    </xf>
    <xf numFmtId="0" fontId="17" fillId="18" borderId="31" xfId="0" applyFont="1" applyFill="1" applyBorder="1" applyAlignment="1">
      <alignment wrapText="1"/>
    </xf>
    <xf numFmtId="0" fontId="17" fillId="18" borderId="9" xfId="0" applyFont="1" applyFill="1" applyBorder="1" applyAlignment="1">
      <alignment horizontal="center" vertical="center" wrapText="1"/>
    </xf>
    <xf numFmtId="0" fontId="21" fillId="19" borderId="9" xfId="0" applyFont="1" applyFill="1" applyBorder="1" applyAlignment="1">
      <alignment horizontal="center" vertical="top" wrapText="1"/>
    </xf>
    <xf numFmtId="0" fontId="0" fillId="19" borderId="9" xfId="0" applyFill="1" applyBorder="1" applyAlignment="1">
      <alignment horizontal="left" vertical="top" wrapText="1"/>
    </xf>
    <xf numFmtId="0" fontId="33" fillId="19" borderId="9" xfId="0" applyFont="1" applyFill="1" applyBorder="1" applyAlignment="1">
      <alignment horizontal="center" vertical="center" wrapText="1"/>
    </xf>
    <xf numFmtId="0" fontId="21" fillId="19" borderId="9" xfId="0" applyFont="1" applyFill="1" applyBorder="1" applyAlignment="1">
      <alignment horizontal="center" vertical="center" wrapText="1"/>
    </xf>
    <xf numFmtId="0" fontId="0" fillId="19" borderId="9" xfId="0" applyFill="1" applyBorder="1" applyAlignment="1">
      <alignment horizontal="center" vertical="center" wrapText="1"/>
    </xf>
    <xf numFmtId="0" fontId="13" fillId="3" borderId="1" xfId="0" applyFont="1" applyFill="1" applyBorder="1" applyAlignment="1">
      <alignment horizontal="center"/>
    </xf>
    <xf numFmtId="0" fontId="0" fillId="13" borderId="4" xfId="0" applyFill="1" applyBorder="1" applyAlignment="1">
      <alignment horizontal="center"/>
    </xf>
    <xf numFmtId="0" fontId="0" fillId="0" borderId="0" xfId="0" applyAlignment="1">
      <alignment horizontal="center"/>
    </xf>
    <xf numFmtId="0" fontId="4" fillId="5" borderId="20" xfId="0" applyFont="1" applyFill="1" applyBorder="1" applyAlignment="1">
      <alignment vertical="center"/>
    </xf>
    <xf numFmtId="0" fontId="4" fillId="5" borderId="33" xfId="0" applyFont="1" applyFill="1" applyBorder="1" applyAlignment="1">
      <alignment horizontal="center" vertical="center"/>
    </xf>
    <xf numFmtId="1" fontId="13" fillId="0" borderId="6" xfId="0" applyNumberFormat="1" applyFont="1" applyBorder="1" applyAlignment="1">
      <alignment horizontal="center" vertical="center"/>
    </xf>
    <xf numFmtId="0" fontId="13" fillId="15" borderId="8" xfId="0" applyFont="1" applyFill="1" applyBorder="1" applyAlignment="1">
      <alignment horizontal="center" vertical="center" wrapText="1"/>
    </xf>
    <xf numFmtId="0" fontId="1" fillId="20" borderId="9" xfId="0" applyFont="1" applyFill="1" applyBorder="1"/>
    <xf numFmtId="0" fontId="1" fillId="20" borderId="9" xfId="0" applyFont="1" applyFill="1" applyBorder="1" applyAlignment="1">
      <alignment wrapText="1"/>
    </xf>
    <xf numFmtId="0" fontId="4" fillId="20" borderId="9" xfId="0" applyFont="1" applyFill="1" applyBorder="1" applyAlignment="1">
      <alignment horizontal="center" vertical="center"/>
    </xf>
    <xf numFmtId="0" fontId="1" fillId="20" borderId="9" xfId="0" applyFont="1" applyFill="1" applyBorder="1" applyAlignment="1">
      <alignment horizontal="center" vertical="center"/>
    </xf>
    <xf numFmtId="0" fontId="1" fillId="20" borderId="9" xfId="0" applyFont="1" applyFill="1" applyBorder="1" applyAlignment="1" applyProtection="1">
      <alignment horizontal="center" vertical="center"/>
      <protection locked="0"/>
    </xf>
    <xf numFmtId="0" fontId="4" fillId="20" borderId="9" xfId="0" applyFont="1" applyFill="1" applyBorder="1" applyAlignment="1">
      <alignment horizontal="center" vertical="top" wrapText="1"/>
    </xf>
    <xf numFmtId="0" fontId="1" fillId="20" borderId="9" xfId="0" applyFont="1" applyFill="1" applyBorder="1" applyAlignment="1">
      <alignment horizontal="left" vertical="center" wrapText="1"/>
    </xf>
    <xf numFmtId="0" fontId="4" fillId="20" borderId="9" xfId="0" applyFont="1" applyFill="1" applyBorder="1" applyAlignment="1">
      <alignment horizontal="center" vertical="center" wrapText="1"/>
    </xf>
    <xf numFmtId="0" fontId="1" fillId="21" borderId="9" xfId="0" applyFont="1" applyFill="1" applyBorder="1" applyAlignment="1">
      <alignment horizontal="left" vertical="center" wrapText="1"/>
    </xf>
    <xf numFmtId="0" fontId="45" fillId="21" borderId="9" xfId="0" applyFont="1" applyFill="1" applyBorder="1" applyAlignment="1">
      <alignment horizontal="left" vertical="top" wrapText="1"/>
    </xf>
    <xf numFmtId="0" fontId="1" fillId="21" borderId="9" xfId="0" applyFont="1" applyFill="1" applyBorder="1" applyAlignment="1">
      <alignment horizontal="center" vertical="center" wrapText="1"/>
    </xf>
    <xf numFmtId="0" fontId="1" fillId="21" borderId="9" xfId="0" applyFont="1" applyFill="1" applyBorder="1" applyAlignment="1">
      <alignment horizontal="center" vertical="center"/>
    </xf>
    <xf numFmtId="0" fontId="4" fillId="21" borderId="9" xfId="0" applyFont="1" applyFill="1" applyBorder="1" applyAlignment="1">
      <alignment horizontal="center" vertical="center" wrapText="1"/>
    </xf>
    <xf numFmtId="0" fontId="1" fillId="20" borderId="8" xfId="0" applyFont="1" applyFill="1" applyBorder="1" applyAlignment="1">
      <alignment vertical="center"/>
    </xf>
    <xf numFmtId="0" fontId="1" fillId="20" borderId="9" xfId="0" applyFont="1" applyFill="1" applyBorder="1" applyAlignment="1">
      <alignment vertical="center" wrapText="1"/>
    </xf>
    <xf numFmtId="0" fontId="1" fillId="20" borderId="6" xfId="0" applyFont="1" applyFill="1" applyBorder="1" applyAlignment="1">
      <alignment horizontal="center" vertical="center" wrapText="1"/>
    </xf>
    <xf numFmtId="0" fontId="1" fillId="20" borderId="9" xfId="0" applyFont="1" applyFill="1" applyBorder="1" applyAlignment="1">
      <alignment horizontal="center" vertical="center" wrapText="1"/>
    </xf>
    <xf numFmtId="0" fontId="1" fillId="20" borderId="8" xfId="0" applyFont="1" applyFill="1" applyBorder="1" applyAlignment="1">
      <alignment horizontal="center" vertical="center"/>
    </xf>
    <xf numFmtId="1" fontId="1" fillId="20" borderId="9" xfId="0" applyNumberFormat="1" applyFont="1" applyFill="1" applyBorder="1" applyAlignment="1">
      <alignment horizontal="center" vertical="center"/>
    </xf>
    <xf numFmtId="0" fontId="1" fillId="20" borderId="30" xfId="0" applyFont="1" applyFill="1" applyBorder="1" applyAlignment="1">
      <alignment vertical="center"/>
    </xf>
    <xf numFmtId="0" fontId="1" fillId="20" borderId="21" xfId="0" applyFont="1" applyFill="1" applyBorder="1" applyAlignment="1">
      <alignment vertical="center" wrapText="1"/>
    </xf>
    <xf numFmtId="0" fontId="1" fillId="20" borderId="21" xfId="0" applyFont="1" applyFill="1" applyBorder="1" applyAlignment="1">
      <alignment horizontal="center" vertical="center"/>
    </xf>
    <xf numFmtId="0" fontId="1" fillId="20" borderId="22" xfId="0" applyFont="1" applyFill="1" applyBorder="1" applyAlignment="1">
      <alignment horizontal="center" vertical="center" wrapText="1"/>
    </xf>
    <xf numFmtId="0" fontId="1" fillId="20" borderId="26" xfId="0" applyFont="1" applyFill="1" applyBorder="1" applyAlignment="1">
      <alignment horizontal="center" vertical="center" wrapText="1"/>
    </xf>
    <xf numFmtId="0" fontId="46" fillId="20" borderId="9" xfId="0" applyFont="1" applyFill="1" applyBorder="1" applyAlignment="1">
      <alignment horizontal="center" vertical="center" wrapText="1"/>
    </xf>
    <xf numFmtId="0" fontId="1" fillId="20" borderId="27" xfId="0" applyFont="1" applyFill="1" applyBorder="1" applyAlignment="1">
      <alignment horizontal="center" vertical="center" wrapText="1"/>
    </xf>
    <xf numFmtId="0" fontId="4" fillId="20" borderId="26" xfId="0" applyFont="1" applyFill="1" applyBorder="1" applyAlignment="1">
      <alignment horizontal="center" vertical="center" wrapText="1"/>
    </xf>
    <xf numFmtId="0" fontId="45" fillId="20" borderId="9" xfId="0" applyFont="1" applyFill="1" applyBorder="1" applyAlignment="1">
      <alignment horizontal="center" vertical="center" wrapText="1"/>
    </xf>
    <xf numFmtId="0" fontId="4" fillId="20" borderId="27" xfId="0" applyFont="1" applyFill="1" applyBorder="1" applyAlignment="1">
      <alignment horizontal="center" vertical="center" wrapText="1"/>
    </xf>
    <xf numFmtId="0" fontId="28" fillId="20" borderId="8" xfId="0" applyFont="1" applyFill="1" applyBorder="1" applyAlignment="1">
      <alignment vertical="center"/>
    </xf>
    <xf numFmtId="0" fontId="28" fillId="20" borderId="9" xfId="0" applyFont="1" applyFill="1" applyBorder="1" applyAlignment="1">
      <alignment horizontal="center" vertical="center"/>
    </xf>
    <xf numFmtId="0" fontId="28" fillId="20" borderId="9" xfId="0" applyFont="1" applyFill="1" applyBorder="1" applyAlignment="1">
      <alignment vertical="center"/>
    </xf>
    <xf numFmtId="0" fontId="28" fillId="20" borderId="6" xfId="0" applyFont="1" applyFill="1" applyBorder="1" applyAlignment="1">
      <alignment vertical="center"/>
    </xf>
    <xf numFmtId="0" fontId="28" fillId="20" borderId="9" xfId="0" applyFont="1" applyFill="1" applyBorder="1" applyAlignment="1">
      <alignment horizontal="left" vertical="top"/>
    </xf>
    <xf numFmtId="0" fontId="46" fillId="20" borderId="8" xfId="0" applyFont="1" applyFill="1" applyBorder="1" applyAlignment="1">
      <alignment horizontal="left" vertical="top"/>
    </xf>
    <xf numFmtId="0" fontId="28" fillId="20" borderId="9" xfId="0" applyFont="1" applyFill="1" applyBorder="1" applyAlignment="1">
      <alignment horizontal="center" vertical="top"/>
    </xf>
    <xf numFmtId="0" fontId="28" fillId="20" borderId="6" xfId="0" applyFont="1" applyFill="1" applyBorder="1" applyAlignment="1">
      <alignment horizontal="left" vertical="top"/>
    </xf>
    <xf numFmtId="0" fontId="22" fillId="20" borderId="28" xfId="0" applyFont="1" applyFill="1" applyBorder="1" applyAlignment="1">
      <alignment horizontal="center" vertical="center"/>
    </xf>
    <xf numFmtId="0" fontId="28" fillId="20" borderId="7" xfId="0" applyFont="1" applyFill="1" applyBorder="1" applyAlignment="1">
      <alignment vertical="center"/>
    </xf>
    <xf numFmtId="0" fontId="22" fillId="20" borderId="7" xfId="0" applyFont="1" applyFill="1" applyBorder="1" applyAlignment="1">
      <alignment vertical="center"/>
    </xf>
    <xf numFmtId="0" fontId="22" fillId="20" borderId="29" xfId="0" applyFont="1" applyFill="1" applyBorder="1" applyAlignment="1">
      <alignment vertical="center"/>
    </xf>
    <xf numFmtId="0" fontId="18" fillId="20" borderId="26" xfId="0" applyFont="1" applyFill="1" applyBorder="1" applyAlignment="1">
      <alignment vertical="center"/>
    </xf>
    <xf numFmtId="0" fontId="13" fillId="15" borderId="8" xfId="0" applyFont="1" applyFill="1" applyBorder="1"/>
    <xf numFmtId="0" fontId="1" fillId="21" borderId="8" xfId="0" applyFont="1" applyFill="1" applyBorder="1" applyAlignment="1">
      <alignment horizontal="left" vertical="center" wrapText="1"/>
    </xf>
    <xf numFmtId="0" fontId="13" fillId="0" borderId="8" xfId="0" applyFont="1" applyBorder="1" applyAlignment="1">
      <alignment horizontal="left" vertical="center" wrapText="1"/>
    </xf>
    <xf numFmtId="0" fontId="13" fillId="15" borderId="8" xfId="0" applyFont="1" applyFill="1" applyBorder="1" applyAlignment="1">
      <alignment horizontal="left" vertical="center" wrapText="1"/>
    </xf>
    <xf numFmtId="0" fontId="13" fillId="15" borderId="6" xfId="0" applyFont="1" applyFill="1" applyBorder="1"/>
    <xf numFmtId="0" fontId="4" fillId="21" borderId="6" xfId="0" applyFont="1" applyFill="1" applyBorder="1" applyAlignment="1">
      <alignment vertical="center"/>
    </xf>
    <xf numFmtId="0" fontId="1" fillId="9" borderId="20" xfId="0" applyFont="1" applyFill="1" applyBorder="1"/>
    <xf numFmtId="0" fontId="1" fillId="9" borderId="14" xfId="0" applyFont="1" applyFill="1" applyBorder="1"/>
    <xf numFmtId="0" fontId="1" fillId="9" borderId="38" xfId="0" applyFont="1" applyFill="1" applyBorder="1"/>
    <xf numFmtId="0" fontId="13" fillId="0" borderId="18" xfId="0" applyFont="1" applyBorder="1" applyAlignment="1">
      <alignment horizontal="left" vertical="center" wrapText="1"/>
    </xf>
    <xf numFmtId="0" fontId="41" fillId="0" borderId="15" xfId="0" applyFont="1" applyBorder="1" applyAlignment="1">
      <alignment horizontal="center" vertical="top" wrapText="1"/>
    </xf>
    <xf numFmtId="0" fontId="13" fillId="0" borderId="15" xfId="0" applyFont="1" applyBorder="1" applyAlignment="1">
      <alignment horizontal="center" vertical="center" wrapText="1"/>
    </xf>
    <xf numFmtId="0" fontId="13" fillId="0" borderId="37" xfId="0" applyFont="1" applyBorder="1" applyAlignment="1">
      <alignment horizontal="center" vertical="center"/>
    </xf>
    <xf numFmtId="0" fontId="0" fillId="20" borderId="9" xfId="0" applyFill="1" applyBorder="1" applyAlignment="1">
      <alignment horizontal="center" vertical="top" wrapText="1"/>
    </xf>
    <xf numFmtId="0" fontId="0" fillId="20" borderId="9" xfId="0" applyFill="1" applyBorder="1" applyAlignment="1">
      <alignment horizontal="center" vertical="center" wrapText="1"/>
    </xf>
    <xf numFmtId="0" fontId="3" fillId="20" borderId="9" xfId="0" applyFont="1" applyFill="1" applyBorder="1" applyAlignment="1">
      <alignment horizontal="center" vertical="center" wrapText="1"/>
    </xf>
    <xf numFmtId="1" fontId="0" fillId="20" borderId="9" xfId="0" applyNumberFormat="1" applyFill="1" applyBorder="1" applyAlignment="1">
      <alignment horizontal="center" vertical="center" wrapText="1"/>
    </xf>
    <xf numFmtId="0" fontId="13" fillId="20" borderId="9" xfId="0" applyFont="1" applyFill="1" applyBorder="1" applyAlignment="1">
      <alignment horizontal="center" vertical="center" wrapText="1"/>
    </xf>
    <xf numFmtId="1" fontId="4" fillId="5" borderId="9" xfId="0" applyNumberFormat="1" applyFont="1" applyFill="1" applyBorder="1" applyAlignment="1">
      <alignment vertical="center"/>
    </xf>
    <xf numFmtId="1" fontId="4" fillId="5" borderId="0" xfId="0" applyNumberFormat="1" applyFont="1" applyFill="1" applyAlignment="1">
      <alignment vertical="center"/>
    </xf>
    <xf numFmtId="0" fontId="13" fillId="0" borderId="45" xfId="0" applyFont="1" applyBorder="1" applyAlignment="1">
      <alignment horizontal="center" vertical="center" wrapText="1"/>
    </xf>
    <xf numFmtId="0" fontId="0" fillId="15" borderId="9" xfId="0" applyFill="1" applyBorder="1" applyAlignment="1">
      <alignment horizontal="center" vertical="center"/>
    </xf>
    <xf numFmtId="0" fontId="0" fillId="17" borderId="9" xfId="0" applyFill="1" applyBorder="1" applyAlignment="1">
      <alignment horizontal="center" vertical="center"/>
    </xf>
    <xf numFmtId="1" fontId="13" fillId="17" borderId="9" xfId="0" applyNumberFormat="1" applyFont="1" applyFill="1" applyBorder="1" applyAlignment="1">
      <alignment horizontal="center" vertical="center"/>
    </xf>
    <xf numFmtId="0" fontId="0" fillId="6" borderId="9" xfId="0" applyFill="1" applyBorder="1" applyAlignment="1">
      <alignment horizontal="center" vertical="center" wrapText="1"/>
    </xf>
    <xf numFmtId="0" fontId="6" fillId="2" borderId="0" xfId="0" applyFont="1" applyFill="1" applyAlignment="1">
      <alignment horizontal="left" vertical="top"/>
    </xf>
    <xf numFmtId="0" fontId="7" fillId="2" borderId="0" xfId="0" applyFont="1" applyFill="1" applyAlignment="1">
      <alignment horizontal="right" vertical="top"/>
    </xf>
    <xf numFmtId="0" fontId="6" fillId="2" borderId="0" xfId="0" applyFont="1" applyFill="1"/>
    <xf numFmtId="0" fontId="0" fillId="2" borderId="0" xfId="0" applyFill="1" applyAlignment="1">
      <alignment horizontal="right" vertical="top"/>
    </xf>
    <xf numFmtId="0" fontId="8" fillId="2" borderId="0" xfId="0" applyFont="1" applyFill="1" applyAlignment="1">
      <alignment horizontal="right" vertical="top"/>
    </xf>
    <xf numFmtId="0" fontId="7" fillId="2" borderId="0" xfId="0" applyFont="1" applyFill="1"/>
    <xf numFmtId="0" fontId="10" fillId="2" borderId="0" xfId="0" applyFont="1" applyFill="1"/>
    <xf numFmtId="0" fontId="0" fillId="6" borderId="0" xfId="0" applyFill="1"/>
    <xf numFmtId="0" fontId="47" fillId="6" borderId="0" xfId="0" applyFont="1" applyFill="1"/>
    <xf numFmtId="0" fontId="4" fillId="6" borderId="0" xfId="0" applyFont="1" applyFill="1" applyAlignment="1">
      <alignment horizontal="center" vertical="center"/>
    </xf>
    <xf numFmtId="0" fontId="1" fillId="6" borderId="14" xfId="0" applyFont="1" applyFill="1" applyBorder="1"/>
    <xf numFmtId="0" fontId="4" fillId="6" borderId="14" xfId="0" applyFont="1" applyFill="1" applyBorder="1" applyAlignment="1">
      <alignment horizontal="center"/>
    </xf>
    <xf numFmtId="0" fontId="4" fillId="6" borderId="14" xfId="0" applyFont="1" applyFill="1" applyBorder="1" applyAlignment="1">
      <alignment wrapText="1"/>
    </xf>
    <xf numFmtId="0" fontId="1" fillId="6" borderId="14" xfId="0" applyFont="1" applyFill="1" applyBorder="1" applyAlignment="1">
      <alignment horizontal="center" vertical="center"/>
    </xf>
    <xf numFmtId="0" fontId="48" fillId="0" borderId="46" xfId="0" applyFont="1" applyBorder="1"/>
    <xf numFmtId="0" fontId="4" fillId="0" borderId="9" xfId="0" applyFont="1" applyBorder="1"/>
    <xf numFmtId="0" fontId="0" fillId="6" borderId="0" xfId="0" applyFill="1" applyAlignment="1">
      <alignment horizontal="center" vertical="center"/>
    </xf>
    <xf numFmtId="0" fontId="0" fillId="12" borderId="47" xfId="0" applyFill="1" applyBorder="1" applyAlignment="1">
      <alignment vertical="top"/>
    </xf>
    <xf numFmtId="0" fontId="0" fillId="6" borderId="9" xfId="0" applyFill="1" applyBorder="1"/>
    <xf numFmtId="0" fontId="7" fillId="2" borderId="4" xfId="0" applyFont="1" applyFill="1" applyBorder="1" applyAlignment="1">
      <alignment vertical="top"/>
    </xf>
    <xf numFmtId="0" fontId="6" fillId="2" borderId="0" xfId="0" quotePrefix="1" applyFont="1" applyFill="1" applyAlignment="1">
      <alignment horizontal="left" vertical="top"/>
    </xf>
    <xf numFmtId="0" fontId="3" fillId="17" borderId="9" xfId="0" applyFont="1" applyFill="1" applyBorder="1" applyAlignment="1">
      <alignment horizontal="center" vertical="center" wrapText="1"/>
    </xf>
    <xf numFmtId="0" fontId="44" fillId="0" borderId="9" xfId="0" applyFont="1" applyBorder="1" applyAlignment="1">
      <alignment horizontal="center" vertical="center" wrapText="1"/>
    </xf>
    <xf numFmtId="0" fontId="17" fillId="0" borderId="9" xfId="0" applyFont="1" applyBorder="1" applyAlignment="1">
      <alignment vertical="top"/>
    </xf>
    <xf numFmtId="0" fontId="17" fillId="0" borderId="9" xfId="0" applyFont="1" applyBorder="1"/>
    <xf numFmtId="3" fontId="15" fillId="0" borderId="9" xfId="0" applyNumberFormat="1" applyFont="1" applyBorder="1" applyAlignment="1">
      <alignment horizontal="center" vertical="center"/>
    </xf>
    <xf numFmtId="0" fontId="13" fillId="0" borderId="6" xfId="0" applyFont="1" applyBorder="1" applyAlignment="1">
      <alignment horizontal="center"/>
    </xf>
    <xf numFmtId="0" fontId="13" fillId="6" borderId="9" xfId="0" applyFont="1" applyFill="1" applyBorder="1"/>
    <xf numFmtId="0" fontId="3" fillId="0" borderId="9" xfId="0" applyFont="1" applyBorder="1" applyAlignment="1">
      <alignment horizontal="center"/>
    </xf>
    <xf numFmtId="0" fontId="3" fillId="0" borderId="15" xfId="0" applyFont="1" applyBorder="1" applyAlignment="1">
      <alignment horizontal="center"/>
    </xf>
    <xf numFmtId="0" fontId="7" fillId="0" borderId="9" xfId="0" applyFont="1" applyBorder="1"/>
    <xf numFmtId="0" fontId="7" fillId="0" borderId="9" xfId="0" applyFont="1" applyBorder="1" applyAlignment="1">
      <alignment horizontal="center"/>
    </xf>
    <xf numFmtId="0" fontId="7" fillId="0" borderId="9" xfId="0" applyFont="1" applyBorder="1" applyAlignment="1">
      <alignment horizontal="center" vertical="top"/>
    </xf>
    <xf numFmtId="0" fontId="49" fillId="0" borderId="9" xfId="0" applyFont="1" applyBorder="1" applyAlignment="1">
      <alignment horizontal="center" vertical="center" wrapText="1"/>
    </xf>
    <xf numFmtId="0" fontId="50" fillId="0" borderId="9" xfId="0" applyFont="1" applyBorder="1" applyAlignment="1">
      <alignment horizontal="center" vertical="center" wrapText="1"/>
    </xf>
    <xf numFmtId="0" fontId="34" fillId="18" borderId="9" xfId="0" applyFont="1" applyFill="1" applyBorder="1" applyAlignment="1">
      <alignment horizontal="center" vertical="center" wrapText="1"/>
    </xf>
    <xf numFmtId="0" fontId="18" fillId="16" borderId="9" xfId="0" applyFont="1" applyFill="1" applyBorder="1" applyAlignment="1">
      <alignment horizontal="center" vertical="center"/>
    </xf>
    <xf numFmtId="0" fontId="0" fillId="0" borderId="15" xfId="0" applyBorder="1" applyAlignment="1">
      <alignment horizontal="center" vertical="center"/>
    </xf>
    <xf numFmtId="49" fontId="18" fillId="0" borderId="9" xfId="0" applyNumberFormat="1" applyFont="1" applyBorder="1" applyAlignment="1">
      <alignment horizontal="center" vertical="center" wrapText="1"/>
    </xf>
    <xf numFmtId="0" fontId="34" fillId="22" borderId="9" xfId="0" applyFont="1" applyFill="1" applyBorder="1" applyAlignment="1">
      <alignment horizontal="center" vertical="center" wrapText="1"/>
    </xf>
    <xf numFmtId="0" fontId="33" fillId="6" borderId="9" xfId="0" applyFont="1" applyFill="1" applyBorder="1" applyAlignment="1">
      <alignment horizontal="center" vertical="center" wrapText="1"/>
    </xf>
    <xf numFmtId="0" fontId="6" fillId="2" borderId="0" xfId="0" applyFont="1" applyFill="1" applyAlignment="1">
      <alignment horizontal="left" vertical="top" wrapText="1"/>
    </xf>
    <xf numFmtId="0" fontId="0" fillId="0" borderId="0" xfId="0" applyAlignment="1">
      <alignment wrapText="1"/>
    </xf>
    <xf numFmtId="0" fontId="6" fillId="3" borderId="6" xfId="0" applyFont="1" applyFill="1" applyBorder="1" applyAlignment="1" applyProtection="1">
      <alignment horizontal="left" vertical="top"/>
      <protection locked="0"/>
    </xf>
    <xf numFmtId="0" fontId="6" fillId="3" borderId="7" xfId="0" applyFont="1" applyFill="1" applyBorder="1" applyAlignment="1" applyProtection="1">
      <alignment horizontal="left" vertical="top"/>
      <protection locked="0"/>
    </xf>
    <xf numFmtId="0" fontId="6" fillId="3" borderId="8" xfId="0" applyFont="1" applyFill="1" applyBorder="1" applyAlignment="1" applyProtection="1">
      <alignment horizontal="left" vertical="top"/>
      <protection locked="0"/>
    </xf>
    <xf numFmtId="0" fontId="6" fillId="2" borderId="5"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12" xfId="0" applyFont="1" applyFill="1" applyBorder="1" applyAlignment="1">
      <alignment horizontal="left" vertical="top" wrapText="1"/>
    </xf>
  </cellXfs>
  <cellStyles count="2">
    <cellStyle name="Hyperlink" xfId="1" builtinId="8"/>
    <cellStyle name="Standaard" xfId="0" builtinId="0"/>
  </cellStyles>
  <dxfs count="299">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top" textRotation="0" wrapText="1" indent="0" justifyLastLine="0" shrinkToFit="0" readingOrder="0"/>
      <border diagonalUp="0" diagonalDown="0" outline="0">
        <left/>
        <right style="thin">
          <color auto="1"/>
        </right>
        <top style="thin">
          <color auto="1"/>
        </top>
        <bottom style="thin">
          <color auto="1"/>
        </bottom>
      </border>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9"/>
        <color auto="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center" vertical="top" textRotation="0" wrapText="1" indent="0" justifyLastLine="0" shrinkToFit="0" readingOrder="0"/>
      <border diagonalUp="0" diagonalDown="0">
        <left/>
        <right style="thin">
          <color auto="1"/>
        </right>
        <top style="thin">
          <color auto="1"/>
        </top>
        <bottom style="thin">
          <color auto="1"/>
        </bottom>
        <vertical/>
        <horizontal/>
      </border>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top" textRotation="0" wrapText="1" indent="0" justifyLastLine="0" shrinkToFit="0" readingOrder="0"/>
      <border diagonalUp="0" diagonalDown="0">
        <left/>
        <right style="thin">
          <color auto="1"/>
        </right>
        <top style="thin">
          <color auto="1"/>
        </top>
        <bottom style="thin">
          <color auto="1"/>
        </bottom>
        <vertical/>
        <horizontal/>
      </border>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numFmt numFmtId="1" formatCode="0"/>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numFmt numFmtId="1" formatCode="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numFmt numFmtId="0" formatCode="Genera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numFmt numFmtId="0" formatCode="Genera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top" textRotation="0" wrapText="1" indent="0" justifyLastLine="0" shrinkToFit="0" readingOrder="0"/>
      <border diagonalUp="0" diagonalDown="0">
        <left/>
        <right style="thin">
          <color auto="1"/>
        </right>
        <top style="thin">
          <color auto="1"/>
        </top>
        <bottom style="thin">
          <color auto="1"/>
        </bottom>
        <vertical/>
        <horizontal/>
      </border>
    </dxf>
    <dxf>
      <border diagonalUp="0" diagonalDown="0">
        <left style="medium">
          <color indexed="64"/>
        </left>
        <right style="medium">
          <color indexed="64"/>
        </right>
        <top style="medium">
          <color indexed="64"/>
        </top>
        <bottom style="medium">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rgb="FF7030A0"/>
        </patternFill>
      </fill>
      <alignment horizontal="center" vertical="center" textRotation="0" wrapText="0" indent="0" justifyLastLine="0" shrinkToFit="0" readingOrder="0"/>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1"/>
        <color auto="1"/>
        <name val="Calibri"/>
        <family val="2"/>
        <scheme val="minor"/>
      </font>
      <numFmt numFmtId="0" formatCode="Genera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fill>
        <patternFill patternType="solid">
          <fgColor indexed="64"/>
          <bgColor theme="8" tint="-0.249977111117893"/>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theme="0"/>
        <name val="Calibri"/>
        <family val="2"/>
        <scheme val="minor"/>
      </font>
      <fill>
        <patternFill patternType="solid">
          <fgColor indexed="64"/>
          <bgColor theme="8" tint="-0.249977111117893"/>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border outline="0">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1"/>
        <color auto="1"/>
        <name val="Calibri"/>
        <family val="2"/>
        <scheme val="minor"/>
      </font>
      <numFmt numFmtId="0" formatCode="Genera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 formatCode="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fill>
        <patternFill patternType="solid">
          <fgColor indexed="64"/>
          <bgColor theme="8" tint="-0.249977111117893"/>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theme="0"/>
        <name val="Calibri"/>
        <family val="2"/>
        <scheme val="minor"/>
      </font>
      <fill>
        <patternFill patternType="solid">
          <fgColor indexed="64"/>
          <bgColor theme="8" tint="-0.249977111117893"/>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border outline="0">
        <bottom style="thin">
          <color rgb="FF000000"/>
        </bottom>
      </border>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fill>
        <patternFill patternType="solid">
          <fgColor indexed="64"/>
          <bgColor theme="8"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theme="0"/>
        <name val="Calibri"/>
        <family val="2"/>
        <scheme val="minor"/>
      </font>
      <fill>
        <patternFill patternType="solid">
          <fgColor indexed="64"/>
          <bgColor theme="8" tint="-0.249977111117893"/>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1"/>
        <color auto="1"/>
        <name val="Calibri"/>
        <family val="2"/>
        <scheme val="minor"/>
      </font>
      <numFmt numFmtId="0" formatCode="Genera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auto="1"/>
        <name val="Calibri"/>
        <family val="2"/>
        <scheme val="minor"/>
      </font>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border outline="0">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b val="0"/>
        <i val="0"/>
        <strike val="0"/>
        <condense val="0"/>
        <extend val="0"/>
        <outline val="0"/>
        <shadow val="0"/>
        <u val="none"/>
        <vertAlign val="baseline"/>
        <sz val="11"/>
        <color auto="1"/>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1" formatCode="0"/>
      <fill>
        <patternFill patternType="solid">
          <fgColor indexed="64"/>
          <bgColor rgb="FFFFFF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FF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right style="thin">
          <color auto="1"/>
        </right>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6"/>
        <color auto="1"/>
        <name val="Calibri"/>
        <family val="2"/>
        <scheme val="minor"/>
      </font>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b/>
        <i val="0"/>
        <strike val="0"/>
        <condense val="0"/>
        <extend val="0"/>
        <outline val="0"/>
        <shadow val="0"/>
        <u val="none"/>
        <vertAlign val="baseline"/>
        <sz val="11"/>
        <color auto="1"/>
        <name val="Calibri"/>
        <family val="2"/>
        <scheme val="minor"/>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auto="1"/>
        </top>
      </border>
    </dxf>
    <dxf>
      <font>
        <b val="0"/>
        <i val="0"/>
        <strike val="0"/>
        <condense val="0"/>
        <extend val="0"/>
        <outline val="0"/>
        <shadow val="0"/>
        <u val="none"/>
        <vertAlign val="baseline"/>
        <sz val="11"/>
        <color theme="0"/>
        <name val="Calibri"/>
        <family val="2"/>
        <scheme val="minor"/>
      </font>
      <fill>
        <patternFill patternType="solid">
          <fgColor indexed="64"/>
          <bgColor theme="9" tint="-0.249977111117893"/>
        </patternFill>
      </fill>
      <alignment horizontal="center" vertical="center" textRotation="0" wrapText="0" indent="0" justifyLastLine="0" shrinkToFit="0" readingOrder="0"/>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numFmt numFmtId="0" formatCode="General"/>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numFmt numFmtId="1" formatCode="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numFmt numFmtId="1" formatCode="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numFmt numFmtId="0" formatCode="Genera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numFmt numFmtId="0" formatCode="Genera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font>
        <b val="0"/>
        <i val="0"/>
        <strike val="0"/>
        <condense val="0"/>
        <extend val="0"/>
        <outline val="0"/>
        <shadow val="0"/>
        <u val="none"/>
        <vertAlign val="baseline"/>
        <sz val="11"/>
        <color theme="0"/>
        <name val="Calibri"/>
        <family val="2"/>
        <scheme val="minor"/>
      </font>
      <fill>
        <patternFill patternType="solid">
          <fgColor indexed="64"/>
          <bgColor theme="9" tint="-0.249977111117893"/>
        </patternFill>
      </fill>
      <alignment horizontal="center" vertical="center" textRotation="0" wrapText="0" indent="0" justifyLastLine="0" shrinkToFit="0" readingOrder="0"/>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numFmt numFmtId="0" formatCode="General"/>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1"/>
        <color theme="0"/>
        <name val="Calibri"/>
        <family val="2"/>
        <scheme val="minor"/>
      </font>
      <fill>
        <patternFill patternType="solid">
          <fgColor indexed="64"/>
          <bgColor theme="9" tint="-0.249977111117893"/>
        </patternFill>
      </fill>
      <border diagonalUp="0" diagonalDown="0" outline="0">
        <left style="thin">
          <color indexed="64"/>
        </left>
        <right style="thin">
          <color indexed="64"/>
        </right>
        <top/>
        <bottom/>
      </border>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theme="9" tint="-0.249977111117893"/>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b val="0"/>
        <i val="0"/>
        <strike val="0"/>
        <condense val="0"/>
        <extend val="0"/>
        <outline val="0"/>
        <shadow val="0"/>
        <u val="none"/>
        <vertAlign val="baseline"/>
        <sz val="11"/>
        <color auto="1"/>
        <name val="Calibri"/>
        <family val="2"/>
        <scheme val="minor"/>
      </font>
      <numFmt numFmtId="0" formatCode="General"/>
    </dxf>
    <dxf>
      <numFmt numFmtId="0" formatCode="General"/>
    </dxf>
    <dxf>
      <border outline="0">
        <top style="thin">
          <color auto="1"/>
        </top>
      </border>
    </dxf>
    <dxf>
      <font>
        <b val="0"/>
        <i val="0"/>
        <strike val="0"/>
        <condense val="0"/>
        <extend val="0"/>
        <outline val="0"/>
        <shadow val="0"/>
        <u val="none"/>
        <vertAlign val="baseline"/>
        <sz val="11"/>
        <color theme="0"/>
        <name val="Calibri"/>
        <family val="2"/>
        <scheme val="minor"/>
      </font>
      <fill>
        <patternFill patternType="solid">
          <fgColor indexed="64"/>
          <bgColor theme="9" tint="-0.249977111117893"/>
        </patternFill>
      </fill>
      <alignment horizontal="center" vertical="center" textRotation="0" wrapText="0" indent="0" justifyLastLine="0" shrinkToFit="0" readingOrder="0"/>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numFmt numFmtId="0" formatCode="Genera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numFmt numFmtId="0" formatCode="General"/>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7030A0"/>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2"/>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theme="0"/>
      </font>
      <fill>
        <patternFill patternType="solid">
          <bgColor theme="0"/>
        </patternFill>
      </fill>
    </dxf>
    <dxf>
      <fill>
        <patternFill patternType="solid">
          <bgColor rgb="FFFF0000"/>
        </patternFill>
      </fill>
    </dxf>
    <dxf>
      <font>
        <color rgb="FFFF0000"/>
      </font>
      <fill>
        <patternFill patternType="solid">
          <bgColor rgb="FFFF0000"/>
        </patternFill>
      </fill>
    </dxf>
  </dxfs>
  <tableStyles count="1" defaultTableStyle="TableStyleMedium2" defaultPivotStyle="PivotStyleLight16">
    <tableStyle name="Tabelstijl 1" pivot="0" count="0" xr9:uid="{9E4209FE-5DA9-409E-B001-2351F63CA8ED}"/>
  </tableStyles>
  <colors>
    <mruColors>
      <color rgb="FF8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D7FB-4AF1-8352-6EDEE3A598C9}"/>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D7FB-4AF1-8352-6EDEE3A598C9}"/>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D7FB-4AF1-8352-6EDEE3A598C9}"/>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D7FB-4AF1-8352-6EDEE3A598C9}"/>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D7FB-4AF1-8352-6EDEE3A598C9}"/>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D7FB-4AF1-8352-6EDEE3A598C9}"/>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D7FB-4AF1-8352-6EDEE3A598C9}"/>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D7FB-4AF1-8352-6EDEE3A598C9}"/>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nl-NL"/>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Voorblad!$C$34:$C$41</c:f>
              <c:strCache>
                <c:ptCount val="8"/>
                <c:pt idx="0">
                  <c:v>Algemeen</c:v>
                </c:pt>
                <c:pt idx="1">
                  <c:v>ICT </c:v>
                </c:pt>
                <c:pt idx="2">
                  <c:v>Inkoop&amp;Contracten</c:v>
                </c:pt>
                <c:pt idx="3">
                  <c:v>Finance</c:v>
                </c:pt>
                <c:pt idx="4">
                  <c:v>HR</c:v>
                </c:pt>
                <c:pt idx="5">
                  <c:v>Tijdschrijven</c:v>
                </c:pt>
                <c:pt idx="6">
                  <c:v>Beheer</c:v>
                </c:pt>
                <c:pt idx="7">
                  <c:v>IB en Privacy</c:v>
                </c:pt>
              </c:strCache>
            </c:strRef>
          </c:cat>
          <c:val>
            <c:numRef>
              <c:f>Voorblad!$D$34:$D$41</c:f>
              <c:numCache>
                <c:formatCode>General</c:formatCode>
                <c:ptCount val="8"/>
                <c:pt idx="0">
                  <c:v>220</c:v>
                </c:pt>
                <c:pt idx="1">
                  <c:v>200</c:v>
                </c:pt>
                <c:pt idx="2">
                  <c:v>150</c:v>
                </c:pt>
                <c:pt idx="3" formatCode="0">
                  <c:v>440</c:v>
                </c:pt>
                <c:pt idx="4" formatCode="0">
                  <c:v>930</c:v>
                </c:pt>
                <c:pt idx="5" formatCode="0">
                  <c:v>150</c:v>
                </c:pt>
                <c:pt idx="6" formatCode="0">
                  <c:v>80</c:v>
                </c:pt>
                <c:pt idx="7" formatCode="0">
                  <c:v>440</c:v>
                </c:pt>
              </c:numCache>
            </c:numRef>
          </c:val>
          <c:extLst>
            <c:ext xmlns:c16="http://schemas.microsoft.com/office/drawing/2014/chart" uri="{C3380CC4-5D6E-409C-BE32-E72D297353CC}">
              <c16:uniqueId val="{00000000-D80B-4689-BC9A-F7391A1238ED}"/>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750741177857998"/>
          <c:y val="0.17359552796950262"/>
          <c:w val="0.32249258822141996"/>
          <c:h val="0.70444296078900004"/>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7938</xdr:colOff>
      <xdr:row>32</xdr:row>
      <xdr:rowOff>132556</xdr:rowOff>
    </xdr:from>
    <xdr:to>
      <xdr:col>4</xdr:col>
      <xdr:colOff>523876</xdr:colOff>
      <xdr:row>50</xdr:row>
      <xdr:rowOff>150813</xdr:rowOff>
    </xdr:to>
    <xdr:graphicFrame macro="">
      <xdr:nvGraphicFramePr>
        <xdr:cNvPr id="3" name="Grafiek 2">
          <a:extLst>
            <a:ext uri="{FF2B5EF4-FFF2-40B4-BE49-F238E27FC236}">
              <a16:creationId xmlns:a16="http://schemas.microsoft.com/office/drawing/2014/main" id="{2FB1EEAA-384C-484F-B1F7-552B408100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A9FA1E-AF0C-4456-AB4E-215129428B99}" name="Tabel4" displayName="Tabel4" ref="B1:K32" totalsRowShown="0" headerRowDxfId="295" headerRowBorderDxfId="294" tableBorderDxfId="293" totalsRowBorderDxfId="292">
  <tableColumns count="10">
    <tableColumn id="2" xr3:uid="{3A0BFD23-2350-43FC-84E6-2B0292B457D3}" name="Kolom1" dataDxfId="291"/>
    <tableColumn id="3" xr3:uid="{9217A3F0-9897-4F23-8D50-641BB05157B9}" name="Kolom2" dataDxfId="290"/>
    <tableColumn id="4" xr3:uid="{ADF1CDED-5E44-402D-9B08-AE4EEB74248D}" name="Kolom3" dataDxfId="289"/>
    <tableColumn id="5" xr3:uid="{6B9CE084-04FA-4BB9-B988-AECC05DE073A}" name="Kolom4" dataDxfId="288"/>
    <tableColumn id="10" xr3:uid="{DFB97553-4BE6-4C8A-AFEA-BAFA4AD5A52A}" name="Kolom5" dataDxfId="287"/>
    <tableColumn id="9" xr3:uid="{A99B867A-1518-4463-8A1C-F9A1B93ABB44}" name="Kolom6" dataDxfId="286"/>
    <tableColumn id="6" xr3:uid="{92744A41-F41A-4545-BDA2-584794D3D79D}" name="Kolom7" dataDxfId="285"/>
    <tableColumn id="8" xr3:uid="{4AED6DE1-2E6C-490C-B588-27599F59F586}" name="Kolom8" dataDxfId="284"/>
    <tableColumn id="7" xr3:uid="{7F9B04CA-8A42-4CFC-9859-7952DFC390C4}" name="Kolom9" dataDxfId="283">
      <calculatedColumnFormula>#REF!</calculatedColumnFormula>
    </tableColumn>
    <tableColumn id="1" xr3:uid="{C8B8CA1F-C88E-4D54-A20A-60E25E7E49EF}" name="Kolom10" dataDxfId="282">
      <calculatedColumnFormula>COUNTA(Tabel4[[#This Row],[Kolom4]:[Kolom6]])</calculatedColumnFormula>
    </tableColumn>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E148F74-A580-4BAA-BA79-1A107EF38BE7}" name="Tabel14" displayName="Tabel14" ref="B3:J24" totalsRowShown="0" headerRowDxfId="150" dataDxfId="148" headerRowBorderDxfId="149" tableBorderDxfId="147" totalsRowBorderDxfId="146">
  <autoFilter ref="B3:J24" xr:uid="{64225BD9-560B-4C7B-9F66-F5C285246C2E}"/>
  <tableColumns count="9">
    <tableColumn id="1" xr3:uid="{7FCCDDFB-8DAC-4B63-9F83-1269BDD28825}" name="Volgnr." dataDxfId="145" totalsRowDxfId="144"/>
    <tableColumn id="2" xr3:uid="{C8D5A165-3DD0-4ABE-B7B8-F36BE4ACA2F2}" name="Beschrijving" dataDxfId="143" totalsRowDxfId="142"/>
    <tableColumn id="3" xr3:uid="{E6358062-BA6F-407A-A84B-11E54DB79396}" name="Eis/  Wens" dataDxfId="141" totalsRowDxfId="140"/>
    <tableColumn id="4" xr3:uid="{2C1E98E7-BC36-4688-9F43-34A9DB6C3738}" name="Standaardfunctionaliteit, operationeel aanwezig bij inschrijving" dataDxfId="139" totalsRowDxfId="138"/>
    <tableColumn id="5" xr3:uid="{125B2486-3691-4C58-86B3-C3DAB60C9703}" name="Roadmap-functionaliteit, operationeel aanwezig bij Go-Live datum" dataDxfId="137" totalsRowDxfId="136"/>
    <tableColumn id="6" xr3:uid="{8C9F23F0-6EC0-432E-BDA8-4C6510D3AC24}" name="Maatwerk" dataDxfId="135" totalsRowDxfId="134"/>
    <tableColumn id="7" xr3:uid="{48FF66A5-22B7-40C9-B8E0-6D22020D3349}" name="Max.score" dataDxfId="133" totalsRowDxfId="132"/>
    <tableColumn id="8" xr3:uid="{4C10C217-68CC-462D-B42F-B94A3ADAA961}" name="Toegekende score met standaard-functionaliteit" dataDxfId="131" totalsRowDxfId="130">
      <calculatedColumnFormula>IF(Tabel14[[#This Row],[Standaardfunctionaliteit, operationeel aanwezig bij inschrijving]]="Ja",Tabel14[[#This Row],[Max.score]],0)</calculatedColumnFormula>
    </tableColumn>
    <tableColumn id="9" xr3:uid="{96848FA2-4821-46DA-B0AD-10AB08C9B3D0}" name="Toegekende score met Roadmap-functionaliteit" dataDxfId="129" totalsRowDxfId="128">
      <calculatedColumnFormula>IF(Tabel14[[#This Row],[Roadmap-functionaliteit, operationeel aanwezig bij Go-Live datum]]="Ja",Tabel14[[#This Row],[Max.score]]/2,0)</calculatedColumnFormula>
    </tableColumn>
  </tableColumns>
  <tableStyleInfo name="TableStyleLight2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E4EF510-9336-4974-80A0-637B7FFF7A47}" name="Tabel1417" displayName="Tabel1417" ref="B3:J20" totalsRowShown="0" headerRowDxfId="124" dataDxfId="122" headerRowBorderDxfId="123" tableBorderDxfId="121" totalsRowBorderDxfId="120">
  <autoFilter ref="B3:J20" xr:uid="{64225BD9-560B-4C7B-9F66-F5C285246C2E}"/>
  <tableColumns count="9">
    <tableColumn id="1" xr3:uid="{BBEAA079-1D32-44D3-8016-140AB8DFA317}" name="Volgnr." dataDxfId="119" totalsRowDxfId="118"/>
    <tableColumn id="2" xr3:uid="{A612BA16-7613-4175-B2CC-E567C63FF110}" name="Beschrijving" dataDxfId="117" totalsRowDxfId="116"/>
    <tableColumn id="3" xr3:uid="{97C368E0-A09F-441E-8C2B-C24066ADF927}" name="Eis/  Wens" dataDxfId="115" totalsRowDxfId="114"/>
    <tableColumn id="4" xr3:uid="{D3774EA1-2393-4634-95AE-5AB29066E3B2}" name="Standaardfunctionaliteit, operationeel aanwezig bij inschrijving" dataDxfId="113" totalsRowDxfId="112"/>
    <tableColumn id="5" xr3:uid="{BD0B6F17-447D-4907-A62A-9CDA3A690873}" name="Roadmap-functionaliteit, operationeel aanwezig bij Go-Live datum" dataDxfId="111" totalsRowDxfId="110"/>
    <tableColumn id="6" xr3:uid="{789A2916-C4A6-4CBA-8D2C-B18B18D57718}" name="Maatwerk" dataDxfId="109" totalsRowDxfId="108"/>
    <tableColumn id="7" xr3:uid="{CF185AEB-673E-451A-92E7-6B532AEDBCB6}" name="Max.score" dataDxfId="107" totalsRowDxfId="106"/>
    <tableColumn id="8" xr3:uid="{285F45C0-6E8A-45D5-AA65-6511848FE116}" name="Toegekende score met standaard-functionaliteit" dataDxfId="105" totalsRowDxfId="104"/>
    <tableColumn id="9" xr3:uid="{62217E79-35E1-47F7-95B5-DE74920B79C1}" name="Toegekende score met Roadmap-functionaliteit" dataDxfId="103" totalsRowDxfId="102"/>
  </tableColumns>
  <tableStyleInfo name="TableStyleLight2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027617A-8CD9-4F71-B730-60158B81D844}" name="Tabel141718" displayName="Tabel141718" ref="B3:J18" totalsRowShown="0" dataDxfId="97" headerRowBorderDxfId="98" tableBorderDxfId="96" totalsRowBorderDxfId="95">
  <tableColumns count="9">
    <tableColumn id="1" xr3:uid="{137BFADE-C992-4C0A-B372-EDAC7C5D8198}" name="Volgnr." dataDxfId="94" totalsRowDxfId="93"/>
    <tableColumn id="2" xr3:uid="{A647ADF3-797C-4B54-B456-77725952C1CF}" name="Beschrijving" dataDxfId="92" totalsRowDxfId="91"/>
    <tableColumn id="3" xr3:uid="{803312FD-8AA4-4C6B-9D5C-F67A6D37EFCA}" name="Eis/  Wens" dataDxfId="90" totalsRowDxfId="89"/>
    <tableColumn id="4" xr3:uid="{118B5641-DBA3-49B1-9388-A1EA9BF850A0}" name="Standaardfunctionaliteit, operationeel aanwezig bij inschrijving" dataDxfId="88" totalsRowDxfId="87"/>
    <tableColumn id="5" xr3:uid="{28269C68-0456-435D-A1F1-4EC7BC515F07}" name="Roadmap-functionaliteit, operationeel aanwezig bij Go-Live datum" dataDxfId="86" totalsRowDxfId="85"/>
    <tableColumn id="6" xr3:uid="{377FD307-AF2F-4A75-B40A-9D2853821936}" name="Maatwerk" dataDxfId="84" totalsRowDxfId="83"/>
    <tableColumn id="7" xr3:uid="{9D0D8407-4AFB-40E7-81E0-D6A47A6F7AAE}" name="Max.score" dataDxfId="82" totalsRowDxfId="81"/>
    <tableColumn id="8" xr3:uid="{97B303E3-BDBE-427E-BED0-CC8FE3314ED1}" name="Toegekende score met standaard-functionaliteit" dataDxfId="80" totalsRowDxfId="79">
      <calculatedColumnFormula>IF(Tabel141718[[#This Row],[Standaardfunctionaliteit, operationeel aanwezig bij inschrijving]]="Ja",Tabel141718[[#This Row],[Max.score]],0)</calculatedColumnFormula>
    </tableColumn>
    <tableColumn id="9" xr3:uid="{D1751DBA-CA88-427B-BD40-699E254DACA7}" name="Toegekende score met Roadmap-functionaliteit" dataDxfId="78" totalsRowDxfId="77">
      <calculatedColumnFormula>IF(Tabel141718[[#This Row],[Roadmap-functionaliteit, operationeel aanwezig bij Go-Live datum]]="Ja",Tabel141718[[#This Row],[Toegekende score met standaard-functionaliteit]]/2,0)</calculatedColumnFormula>
    </tableColumn>
  </tableColumns>
  <tableStyleInfo name="TableStyleLight2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D200F39-E901-43E7-939E-1CDAE0783978}" name="Tabel14171819" displayName="Tabel14171819" ref="B3:J17" totalsRowShown="0" headerRowDxfId="73" dataDxfId="71" headerRowBorderDxfId="72" tableBorderDxfId="70" totalsRowBorderDxfId="69">
  <autoFilter ref="B3:J17" xr:uid="{64225BD9-560B-4C7B-9F66-F5C285246C2E}"/>
  <tableColumns count="9">
    <tableColumn id="1" xr3:uid="{D6159459-92A1-47A7-8655-24A2E3DEE9DD}" name="Volgnr." dataDxfId="68" totalsRowDxfId="67"/>
    <tableColumn id="2" xr3:uid="{1B34A00B-C169-46B0-8165-9341BD07BDDE}" name="Beschrijving" dataDxfId="66" totalsRowDxfId="65"/>
    <tableColumn id="3" xr3:uid="{005CA2DC-44AE-4744-A382-70C4DC2D1275}" name="Eis/  Wens" dataDxfId="64" totalsRowDxfId="63"/>
    <tableColumn id="4" xr3:uid="{6D082581-F1D8-45F0-BE5C-4749E5831BE8}" name="Standaardfunctionaliteit, operationeel aanwezig bij inschrijving" dataDxfId="62" totalsRowDxfId="61"/>
    <tableColumn id="5" xr3:uid="{9FF858A9-558F-4B90-AF78-020AF33EACB9}" name="Roadmap-functionaliteit, operationeel aanwezig bij Go-Live datum" dataDxfId="60" totalsRowDxfId="59"/>
    <tableColumn id="6" xr3:uid="{C12DAA29-028F-4ABC-8A32-4DD2EEB4B21C}" name="Maatwerk" dataDxfId="58" totalsRowDxfId="57"/>
    <tableColumn id="7" xr3:uid="{638E5E90-FA9C-4459-A9BC-01041CAEAFF9}" name="Max.score" dataDxfId="56" totalsRowDxfId="55"/>
    <tableColumn id="8" xr3:uid="{2C6D9AD3-4ED4-4BEC-B128-BFD9B6F2EE11}" name="Toegekende score met standaard-functionaliteit" dataDxfId="54" totalsRowDxfId="53">
      <calculatedColumnFormula>IF(Tabel14171819[[#This Row],[Standaardfunctionaliteit, operationeel aanwezig bij inschrijving]]="Ja",Tabel14171819[[#This Row],[Max.score]],0)</calculatedColumnFormula>
    </tableColumn>
    <tableColumn id="9" xr3:uid="{294E14CE-FE42-4365-A4C7-94FBF0E096DF}" name="Toegekende score met Roadmap-functionaliteit" dataDxfId="52" totalsRowDxfId="51">
      <calculatedColumnFormula>IF(Tabel14171819[[#This Row],[Roadmap-functionaliteit, operationeel aanwezig bij Go-Live datum]]="Ja",Tabel14171819[[#This Row],[Max.score]]/2,0)</calculatedColumnFormula>
    </tableColumn>
  </tableColumns>
  <tableStyleInfo name="TableStyleLight2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A3D6127-2E76-423D-A7E8-3F33587211DE}" name="Tabel11" displayName="Tabel11" ref="B1:K18" totalsRowShown="0" headerRowDxfId="47" dataDxfId="46" tableBorderDxfId="45">
  <autoFilter ref="B1:K18" xr:uid="{F8257772-8686-4B92-9D96-828CDF74AB6C}"/>
  <tableColumns count="10">
    <tableColumn id="1" xr3:uid="{3E911B14-DF9F-4D60-8BDF-3EAFE87A7D06}" name="Kolom1" dataDxfId="44"/>
    <tableColumn id="2" xr3:uid="{AFC5195F-6914-4458-ACCA-C7E1DE005BA8}" name="Kolom2"/>
    <tableColumn id="3" xr3:uid="{E0915AE1-50D2-4ADD-9BA8-517267AFA785}" name="Kolom3" dataDxfId="43"/>
    <tableColumn id="4" xr3:uid="{D3C0F1F5-2F23-4570-B3EA-8D50EE5B9173}" name="Kolom4" dataDxfId="42"/>
    <tableColumn id="9" xr3:uid="{8D1BB3CD-0183-4676-9916-08E2936AE0CA}" name="Kolom5" dataDxfId="41">
      <calculatedColumnFormula>Tabel4[[#This Row],[Kolom5]]</calculatedColumnFormula>
    </tableColumn>
    <tableColumn id="10" xr3:uid="{CB717856-4B14-4E6B-AA0B-A4DFB3367F99}" name="Kolom6" dataDxfId="40">
      <calculatedColumnFormula>Tabel4[[#This Row],[Kolom6]]</calculatedColumnFormula>
    </tableColumn>
    <tableColumn id="5" xr3:uid="{D2D4DDD5-7342-43CD-8A2B-942FCDC26C8F}" name="Kolom7" dataDxfId="39"/>
    <tableColumn id="6" xr3:uid="{C62E78A4-9B7C-4F17-8832-335489B8D3D2}" name="Kolom8" dataDxfId="38"/>
    <tableColumn id="7" xr3:uid="{2F83D6DC-AF6F-4DC8-90FB-DF85B967CDF2}" name="Naar Voorblad" dataDxfId="37"/>
    <tableColumn id="8" xr3:uid="{31B97DB1-AE26-466E-BBF2-FFD5996C57C8}" name="Column1" dataDxfId="36">
      <calculatedColumnFormula>COUNTA(E2:G2)</calculatedColumnFormula>
    </tableColumn>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0D51C75-24F2-462D-BC5A-D213C68ED548}" name="Tabel11216" displayName="Tabel11216" ref="B1:K21" totalsRowShown="0" headerRowDxfId="32" dataDxfId="31" tableBorderDxfId="30">
  <autoFilter ref="B1:K21" xr:uid="{F8257772-8686-4B92-9D96-828CDF74AB6C}"/>
  <tableColumns count="10">
    <tableColumn id="1" xr3:uid="{4480169F-29B0-437F-9251-1252A1158FDB}" name="Kolom1" dataDxfId="29"/>
    <tableColumn id="2" xr3:uid="{B11324F4-B092-49EB-B303-9BFC83E4B52D}" name="Kolom2"/>
    <tableColumn id="3" xr3:uid="{999EA36C-AECD-46AD-8017-64141EFABB24}" name="Kolom3" dataDxfId="28"/>
    <tableColumn id="4" xr3:uid="{1AAE8F52-5080-4744-876F-B605A1005C72}" name="Kolom4" dataDxfId="27"/>
    <tableColumn id="5" xr3:uid="{8E0F9D4D-8284-4E9B-92B4-C32159CC4B4B}" name="Kolom5" dataDxfId="26">
      <calculatedColumnFormula>Tabel4[[#This Row],[Kolom5]]</calculatedColumnFormula>
    </tableColumn>
    <tableColumn id="6" xr3:uid="{0AC41230-DF73-4CF5-A1DD-2DF6F14318C7}" name="Kolom6" dataDxfId="25">
      <calculatedColumnFormula>Tabel4[[#This Row],[Kolom6]]</calculatedColumnFormula>
    </tableColumn>
    <tableColumn id="7" xr3:uid="{A4A6A27C-4AC3-4766-884E-F2C4DA8AB741}" name="Kolom7" dataDxfId="24"/>
    <tableColumn id="8" xr3:uid="{3FCC0A6C-535E-44E5-804E-86DC02C28716}" name="Kolom8" dataDxfId="23"/>
    <tableColumn id="9" xr3:uid="{8D12072D-2902-4845-B5D0-E2304E6CB4EC}" name="Kolom9" dataDxfId="22"/>
    <tableColumn id="10" xr3:uid="{C0538AFC-8341-43E4-B2FD-3FDED11335F4}" name="Kolom10" dataDxfId="21">
      <calculatedColumnFormula>COUNTA(E2:G2)</calculatedColumnFormula>
    </tableColumn>
  </tableColumns>
  <tableStyleInfo name="TableStyleLight17"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02E731-586A-4390-A60B-9FB08FCE9F4F}" name="Tabel112" displayName="Tabel112" ref="B1:K66" totalsRowShown="0" headerRowDxfId="17" dataDxfId="16" tableBorderDxfId="15">
  <autoFilter ref="B1:K66" xr:uid="{F8257772-8686-4B92-9D96-828CDF74AB6C}"/>
  <tableColumns count="10">
    <tableColumn id="1" xr3:uid="{2C94DDF5-ED1A-48A8-BFEC-4E74D9FC99A6}" name="Kolom1" dataDxfId="14"/>
    <tableColumn id="2" xr3:uid="{B4C2A892-711D-437A-98A4-83B305D7A3F4}" name="Kolom2"/>
    <tableColumn id="3" xr3:uid="{7F0E797F-A94D-4359-8430-724D80D2C7CA}" name="Kolom3" dataDxfId="13"/>
    <tableColumn id="4" xr3:uid="{FD69EA6F-BD76-4E75-B1F5-3ECAE0C6300A}" name="Kolom4" dataDxfId="12"/>
    <tableColumn id="5" xr3:uid="{F1AD383A-4B12-4DBB-9906-13BBD4E6D176}" name="Kolom5" dataDxfId="11">
      <calculatedColumnFormula>Tabel4[[#This Row],[Kolom5]]</calculatedColumnFormula>
    </tableColumn>
    <tableColumn id="6" xr3:uid="{123E9B7B-ECD6-4C74-A8B1-9C407F730CD9}" name="Kolom6" dataDxfId="10">
      <calculatedColumnFormula>Tabel4[[#This Row],[Kolom6]]</calculatedColumnFormula>
    </tableColumn>
    <tableColumn id="7" xr3:uid="{BCA3E059-5AC5-4A95-8309-0968C6E63C2B}" name="Kolom7" dataDxfId="9"/>
    <tableColumn id="8" xr3:uid="{AF70A6A3-4A21-4178-A61E-88E5D9457E8F}" name="Kolom8" dataDxfId="8"/>
    <tableColumn id="9" xr3:uid="{DB0127D2-0703-4D2E-8F6F-9A68E510F52F}" name="Kolom9" dataDxfId="7"/>
    <tableColumn id="10" xr3:uid="{7AA22C46-64BE-4877-8214-F6FA46AAB1D0}" name="Kolom10" dataDxfId="6">
      <calculatedColumnFormula>COUNTA(E2:G2)</calculatedColumnFormula>
    </tableColumn>
  </tableColumns>
  <tableStyleInfo name="TableStyleMedium5"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E49DCED-E49A-4D16-8433-FB1690349DA3}" name="Tabel11214" displayName="Tabel11214" ref="B1:E18" totalsRowShown="0" headerRowDxfId="5" dataDxfId="4" tableBorderDxfId="3">
  <autoFilter ref="B1:E18" xr:uid="{F8257772-8686-4B92-9D96-828CDF74AB6C}"/>
  <tableColumns count="4">
    <tableColumn id="1" xr3:uid="{BAA9A2C6-A79E-41CC-A78E-178956D822D1}" name="Kolom1" dataDxfId="2"/>
    <tableColumn id="2" xr3:uid="{E50C3A08-D483-4229-A07C-B549B0173338}" name="Kolom2"/>
    <tableColumn id="3" xr3:uid="{012FF9CC-670E-4142-B918-F60866B4C98C}" name="Kolom3" dataDxfId="1"/>
    <tableColumn id="4" xr3:uid="{FF961C92-435B-4EBC-A5AE-A6E7C90FD961}" name="Kolom4" dataDxfId="0"/>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3B3E17-686A-4A60-8517-6768F04A707C}" name="Tabel5" displayName="Tabel5" ref="B1:K35" totalsRowShown="0" headerRowDxfId="278" headerRowBorderDxfId="277" tableBorderDxfId="276" totalsRowBorderDxfId="275">
  <autoFilter ref="B1:K35" xr:uid="{F4EE1F08-327D-46D1-BDBC-2FAB94B372BC}"/>
  <tableColumns count="10">
    <tableColumn id="1" xr3:uid="{31FFE166-FC63-49AC-B45B-8DAA2643497C}" name="Kolom1" dataDxfId="274"/>
    <tableColumn id="2" xr3:uid="{72BD4AE2-BA7F-4CB5-8CC5-DF5ABAF0B2D0}" name="Kolom2" dataDxfId="273"/>
    <tableColumn id="3" xr3:uid="{07D26FE3-EC46-4A00-BA46-AB9F8515A8EC}" name="Kolom3" dataDxfId="272"/>
    <tableColumn id="4" xr3:uid="{CBA0CED7-4D5C-495E-9BC1-19EE61BC067E}" name="Kolom4" dataDxfId="271"/>
    <tableColumn id="9" xr3:uid="{F67FDB7F-18B5-40D8-BAA1-29179980A406}" name="Kolom5" dataDxfId="270">
      <calculatedColumnFormula>Tabel4[[#This Row],[Kolom5]]</calculatedColumnFormula>
    </tableColumn>
    <tableColumn id="8" xr3:uid="{C567ADC1-56A2-427B-8FC4-86776A4995CE}" name="Kolom6" dataDxfId="269">
      <calculatedColumnFormula>Tabel4[[#This Row],[Kolom6]]</calculatedColumnFormula>
    </tableColumn>
    <tableColumn id="6" xr3:uid="{E7CF2C38-8D46-4CCF-82BD-01207018023C}" name="Kolom7" dataDxfId="268"/>
    <tableColumn id="5" xr3:uid="{E63032BA-DA7E-490D-9A2A-AB3AF42069E1}" name="Kolom8" dataDxfId="267"/>
    <tableColumn id="7" xr3:uid="{BF835833-DF3B-4B62-8F4B-51BE9DA0E733}" name="Kolom9" dataDxfId="266"/>
    <tableColumn id="10" xr3:uid="{8CD0FCCC-BF02-4BF9-BD32-98ED2906D4F3}" name="Kolom10" dataDxfId="265">
      <calculatedColumnFormula>COUNTA(Tabel5[[#This Row],[Kolom4]:[Kolom6]])</calculatedColumnFormula>
    </tableColumn>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D5BFFA4-AD46-4E56-832A-AD87FE458319}" name="Tabel6" displayName="Tabel6" ref="B1:K24" totalsRowShown="0" headerRowDxfId="261" headerRowBorderDxfId="260" tableBorderDxfId="259" totalsRowBorderDxfId="258">
  <autoFilter ref="B1:K24" xr:uid="{AC4DCAA8-27B0-4702-A7DF-C3FF17C3CC7F}"/>
  <tableColumns count="10">
    <tableColumn id="1" xr3:uid="{ACDA06E9-84B1-42CB-858A-F02D6B313994}" name="Kolom1" dataDxfId="257" totalsRowDxfId="256"/>
    <tableColumn id="2" xr3:uid="{D48E7EE0-FC62-47F2-8C1E-2D4262B6FFE2}" name="Kolom2" dataDxfId="255" totalsRowDxfId="254"/>
    <tableColumn id="3" xr3:uid="{F7379F5E-1650-4BDE-9D7C-C09A4929F530}" name="Kolom3" dataDxfId="253" totalsRowDxfId="252"/>
    <tableColumn id="4" xr3:uid="{3A52E95C-D6C8-4ECB-A247-8C21C8BACE6E}" name="Kolom4" dataDxfId="251" totalsRowDxfId="250"/>
    <tableColumn id="9" xr3:uid="{CD9B683B-B381-4941-B419-00E8D9FD3E07}" name="Kolom5" dataDxfId="249" totalsRowDxfId="248">
      <calculatedColumnFormula>Tabel4[[#This Row],[Kolom5]]</calculatedColumnFormula>
    </tableColumn>
    <tableColumn id="8" xr3:uid="{87166537-CE05-4D3F-BDBA-72EA55D9C18A}" name="Kolom6" dataDxfId="247" totalsRowDxfId="246"/>
    <tableColumn id="5" xr3:uid="{62C0CDB2-14B9-41FD-9728-00976425A902}" name="Kolom7" dataDxfId="245" totalsRowDxfId="244"/>
    <tableColumn id="6" xr3:uid="{E9195B00-297F-44B4-B75E-32AC7A95F831}" name="Kolom8" dataDxfId="243" totalsRowDxfId="242"/>
    <tableColumn id="7" xr3:uid="{C489521F-D727-46C1-901F-7162E18CB520}" name="Kolom9" dataDxfId="241" totalsRowDxfId="240"/>
    <tableColumn id="10" xr3:uid="{58E60C40-F66C-4C4F-B991-951BD5F9BAE3}" name="Kolom10" dataDxfId="239" totalsRowDxfId="238">
      <calculatedColumnFormula>COUNTA(H2:J2)</calculatedColumn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5E0841-52B1-40C9-8185-39EFD326581A}" name="Tabel7" displayName="Tabel7" ref="B1:K32" totalsRowShown="0" headerRowDxfId="234" tableBorderDxfId="233">
  <autoFilter ref="B1:K32" xr:uid="{110A6A6B-519E-4D13-A720-C6AAD3CD9ECC}"/>
  <tableColumns count="10">
    <tableColumn id="1" xr3:uid="{D8922924-DCA2-40CB-956E-B31DD463FB7C}" name="Kolom1"/>
    <tableColumn id="2" xr3:uid="{B05CA723-AB3D-4FD3-B934-FB5E3A4B5CA2}" name="Kolom2"/>
    <tableColumn id="3" xr3:uid="{58FDABB3-313E-4C15-873B-90032E90C1E3}" name="Kolom3"/>
    <tableColumn id="4" xr3:uid="{0DC7BEA5-5134-40AB-A0C3-3BAB3C0F6240}" name="Kolom4"/>
    <tableColumn id="9" xr3:uid="{B4086188-0AE0-4BCE-B9DA-3F2330EA8600}" name="Kolom5" dataDxfId="232">
      <calculatedColumnFormula>Tabel4[[#This Row],[Kolom5]]</calculatedColumnFormula>
    </tableColumn>
    <tableColumn id="8" xr3:uid="{AEEA5111-E9BE-4AAD-AEC1-C5D50624439C}" name="Kolom6"/>
    <tableColumn id="5" xr3:uid="{99A4DD0C-8724-4FCB-A6B2-AD07AAFC4B88}" name="Kolom7"/>
    <tableColumn id="6" xr3:uid="{D862050E-8EB8-4EE0-8659-B3004AAE9A5D}" name="Kolom8"/>
    <tableColumn id="7" xr3:uid="{B0E99B49-E602-4175-AF35-F2B8407D2F63}" name="Kolom9"/>
    <tableColumn id="10" xr3:uid="{B5B41885-4D65-410C-AF18-8429ED24DC71}" name="Kolom10" dataDxfId="231">
      <calculatedColumnFormula>COUNTA(Tabel7[[#This Row],[Kolom4]:[Kolom6]])</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FCAE5BE-3347-4CF6-803A-8A90A596BABA}" name="Tabel8" displayName="Tabel8" ref="B1:K26" totalsRowShown="0" headerRowDxfId="227" headerRowBorderDxfId="226" tableBorderDxfId="225" totalsRowBorderDxfId="224">
  <autoFilter ref="B1:K26" xr:uid="{E6535641-6CC3-4ABA-85DF-11C87349F1B4}"/>
  <tableColumns count="10">
    <tableColumn id="1" xr3:uid="{1FBA5E4E-E51E-450F-AACA-A064CAC1D278}" name="Kolom1" dataDxfId="223"/>
    <tableColumn id="2" xr3:uid="{EFA0677E-333B-47B9-A5A2-2CDB648AFD62}" name="Kolom2" dataDxfId="222"/>
    <tableColumn id="3" xr3:uid="{6B341CFE-C56D-4A3D-A325-23AE005D3D51}" name="Kolom3" dataDxfId="221"/>
    <tableColumn id="4" xr3:uid="{D91139BA-5948-400F-B35C-5A8B7799B867}" name="Kolom4" dataDxfId="220"/>
    <tableColumn id="8" xr3:uid="{8ABDA536-2DAC-4063-9FF7-224476F74468}" name="Kolom5" dataDxfId="219">
      <calculatedColumnFormula>Tabel4[[#This Row],[Kolom5]]</calculatedColumnFormula>
    </tableColumn>
    <tableColumn id="9" xr3:uid="{C98AD6A6-DF0D-4F53-ABF7-144209DE10F2}" name="Kolom6" dataDxfId="218"/>
    <tableColumn id="5" xr3:uid="{4CD479B4-7897-4766-BBAF-ABF9A813E475}" name="Kolom7" dataDxfId="217"/>
    <tableColumn id="6" xr3:uid="{1F54590C-7D2B-451D-B740-CA8172F4ACD5}" name="Kolom8" dataDxfId="216"/>
    <tableColumn id="7" xr3:uid="{D7155D1A-C2CC-4352-8EFB-D23DAF3BE3A2}" name="Kolom9" dataDxfId="215"/>
    <tableColumn id="10" xr3:uid="{D34A2365-0361-4C6C-A672-7CFA4E4E4D88}" name="Kolom10" dataDxfId="214">
      <calculatedColumnFormula>COUNTA(Tabel8[[#This Row],[Kolom4]:[Kolom6]])</calculatedColumnFormula>
    </tableColumn>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3FEC2B-3B36-480C-8D76-B7BD6DFB5752}" name="Table2" displayName="Table2" ref="B1:K11" totalsRowShown="0" headerRowDxfId="210" headerRowBorderDxfId="209" tableBorderDxfId="208" totalsRowBorderDxfId="207">
  <autoFilter ref="B1:K11" xr:uid="{803FEC2B-3B36-480C-8D76-B7BD6DFB5752}"/>
  <tableColumns count="10">
    <tableColumn id="1" xr3:uid="{C1A7C10E-E0FC-49D4-82D3-F8819B983CEB}" name="Kolom1" dataDxfId="206"/>
    <tableColumn id="2" xr3:uid="{9F8A0C2D-126F-4FFB-A2E6-4A262FA1AD24}" name="Kolom2"/>
    <tableColumn id="3" xr3:uid="{0D9E0D6A-FBAE-460B-9D7E-2919133B0F97}" name="Kolom3"/>
    <tableColumn id="4" xr3:uid="{0727B5C4-8812-4476-BEDF-DC9B90C15DE1}" name="Kolom4" dataDxfId="205"/>
    <tableColumn id="5" xr3:uid="{4533C892-8FF5-4472-9613-95AC52F1D924}" name="Kolom5" dataDxfId="204"/>
    <tableColumn id="6" xr3:uid="{4ACDDE21-9486-41A2-A71D-8FD897B0B1BB}" name="Kolom6" dataDxfId="203"/>
    <tableColumn id="7" xr3:uid="{FC4ADBD5-31D4-4D3B-8644-62448891FAF5}" name="Kolom7" dataDxfId="202"/>
    <tableColumn id="8" xr3:uid="{15CF1522-0E54-4427-9151-A567885EADC2}" name="Kolom8" dataDxfId="201"/>
    <tableColumn id="9" xr3:uid="{C3C31439-85F0-489C-8A3C-D5B41FB50860}" name="Kolom9" dataDxfId="200"/>
    <tableColumn id="10" xr3:uid="{B6B5D4C2-954F-4084-800B-4A72EF5EE865}" name="Kolom10" dataDxfId="199">
      <calculatedColumnFormula>COUNTA(E2:G2)</calculatedColumnFormula>
    </tableColumn>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A8A24A6-9674-4A7E-9476-22BD49068357}" name="Tabel9" displayName="Tabel9" ref="B1:K19" totalsRowShown="0" headerRowDxfId="195" tableBorderDxfId="194">
  <autoFilter ref="B1:K19" xr:uid="{4129DD62-FB39-4355-8927-46E1B3C07111}"/>
  <tableColumns count="10">
    <tableColumn id="1" xr3:uid="{00963C19-B97E-4F1B-B3C1-502285B9AB26}" name="Kolom1" dataDxfId="193"/>
    <tableColumn id="2" xr3:uid="{066E57E6-48BA-4483-92F3-4A1A1D424934}" name="Kolom2"/>
    <tableColumn id="3" xr3:uid="{C97BC6C1-321A-4405-80CD-20DBD7114575}" name="Kolom3" dataDxfId="192"/>
    <tableColumn id="4" xr3:uid="{C6E901E4-CF37-43DA-BA37-B05FC60566D7}" name="Kolom4" dataDxfId="191"/>
    <tableColumn id="8" xr3:uid="{E367096C-6CF3-4D00-AC82-D571BDDF3B51}" name="Kolom5" dataDxfId="190">
      <calculatedColumnFormula>Tabel4[[#This Row],[Kolom5]]</calculatedColumnFormula>
    </tableColumn>
    <tableColumn id="9" xr3:uid="{DE58F670-0EF5-43EE-8B67-0E50C8ACF0D1}" name="Kolom6" dataDxfId="189">
      <calculatedColumnFormula>Tabel4[[#This Row],[Kolom6]]</calculatedColumnFormula>
    </tableColumn>
    <tableColumn id="5" xr3:uid="{53E9DF19-98B8-410D-BE5C-B2D991CC2E7C}" name="Kolom7" dataDxfId="188"/>
    <tableColumn id="6" xr3:uid="{B4A1B04B-D7C6-4F33-9BF3-10B51334F081}" name="Kolom8" dataDxfId="187"/>
    <tableColumn id="7" xr3:uid="{70A6224A-13A6-4897-98E0-A8BD959B47BA}" name="Kolom9" dataDxfId="186"/>
    <tableColumn id="10" xr3:uid="{20E2C39F-3090-4F7D-AFD1-3E036FD65623}" name="Kolom10" dataDxfId="185">
      <calculatedColumnFormula>COUNTA(E2:G2)</calculatedColumnFormula>
    </tableColumn>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3B3435E-652B-47B8-ABA0-26EA446802BC}" name="Tabel10" displayName="Tabel10" ref="B1:K15" totalsRowShown="0" headerRowDxfId="181" tableBorderDxfId="180">
  <autoFilter ref="B1:K15" xr:uid="{9424FF60-44B7-48BC-ACC1-682C5E1F71BC}"/>
  <tableColumns count="10">
    <tableColumn id="1" xr3:uid="{28E68CF4-BA87-4780-A53D-506444C222D8}" name="Kolom1" dataDxfId="179"/>
    <tableColumn id="2" xr3:uid="{592DE096-FA4A-4654-90F3-2F6C1FF94E00}" name="Kolom2" dataDxfId="178"/>
    <tableColumn id="3" xr3:uid="{13F6D08D-77DA-45E8-B43C-4E5C4873CB56}" name="Kolom3" dataDxfId="177"/>
    <tableColumn id="4" xr3:uid="{CEA3E6DE-EA1A-4429-87F0-F058CC1852B9}" name="Kolom4" dataDxfId="176"/>
    <tableColumn id="8" xr3:uid="{B38709A5-4033-445B-AB74-AA68CCF19976}" name="Kolom5" dataDxfId="175"/>
    <tableColumn id="9" xr3:uid="{5326E079-9D9E-427E-8B45-3CE949A479B8}" name="Kolom6" dataDxfId="174"/>
    <tableColumn id="5" xr3:uid="{1534FF39-F58F-4308-8896-93EC17C573B3}" name="Kolom7" dataDxfId="173"/>
    <tableColumn id="6" xr3:uid="{42B25BE5-2F14-4F1D-AC45-4A858634E498}" name="Kolom8" dataDxfId="172"/>
    <tableColumn id="7" xr3:uid="{9EB38467-3E34-448F-A39E-2DDECFE0CB26}" name="Kolom9" dataDxfId="171"/>
    <tableColumn id="10" xr3:uid="{BA61F085-1B05-4795-AEAF-3195A856E05D}" name="Kolom10" dataDxfId="170">
      <calculatedColumnFormula>COUNTA(E2:G2)</calculatedColumnFormula>
    </tableColumn>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1F1EFF-2FB4-4CE1-9973-261DC205B3E5}" name="Tabel19" displayName="Tabel19" ref="B1:K32" totalsRowShown="0" headerRowDxfId="166" dataDxfId="165" tableBorderDxfId="164">
  <tableColumns count="10">
    <tableColumn id="1" xr3:uid="{AB027CEA-22CA-4F9A-84CA-44F64700ED91}" name="Kolom1" dataDxfId="163"/>
    <tableColumn id="2" xr3:uid="{710A6C69-8CA3-4B73-A64D-AB925897154C}" name="Kolom2" dataDxfId="162"/>
    <tableColumn id="3" xr3:uid="{A0EFFCC0-6687-4D3C-897B-13582050C7A3}" name="Kolom3" dataDxfId="161"/>
    <tableColumn id="4" xr3:uid="{4DCADC85-74F0-4543-980C-6F30B2303B1A}" name="Kolom4" dataDxfId="160"/>
    <tableColumn id="5" xr3:uid="{C23CBC1F-3006-4C0A-AFDB-97BBAD292E01}" name="Kolom5" dataDxfId="159"/>
    <tableColumn id="6" xr3:uid="{35AD1CEA-E0E3-457B-BDBE-FB54419CB180}" name="Kolom6" dataDxfId="158"/>
    <tableColumn id="7" xr3:uid="{1A0726D3-31A1-494C-A142-17D564B3C063}" name="Kolom7" dataDxfId="157"/>
    <tableColumn id="9" xr3:uid="{0D1C51D8-21D6-4671-8FF0-59FAEC451BAF}" name="Kolom8" dataDxfId="156"/>
    <tableColumn id="8" xr3:uid="{337B07A2-7B68-481A-8699-E8F97A0C1143}" name="Kolom9" dataDxfId="155"/>
    <tableColumn id="10" xr3:uid="{189F8F36-3130-432C-8878-148220D0990C}" name="Kolom10" dataDxfId="154">
      <calculatedColumnFormula>COUNTA(E2:G2)</calculatedColumnFormula>
    </tableColumn>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04A50-5A5D-4A45-9D48-79A7D263EDE1}">
  <dimension ref="A1:I42"/>
  <sheetViews>
    <sheetView tabSelected="1" zoomScaleNormal="100" workbookViewId="0">
      <selection activeCell="E13" sqref="E13"/>
    </sheetView>
  </sheetViews>
  <sheetFormatPr defaultColWidth="9.140625" defaultRowHeight="15"/>
  <cols>
    <col min="1" max="1" width="1.7109375" customWidth="1"/>
    <col min="2" max="2" width="9.140625" customWidth="1"/>
    <col min="3" max="3" width="21.7109375" customWidth="1"/>
    <col min="4" max="4" width="27" customWidth="1"/>
    <col min="5" max="5" width="22.28515625" customWidth="1"/>
    <col min="6" max="7" width="9.140625" customWidth="1"/>
    <col min="8" max="8" width="19.5703125" customWidth="1"/>
    <col min="9" max="9" width="28.140625" customWidth="1"/>
    <col min="11" max="11" width="18.5703125" bestFit="1" customWidth="1"/>
    <col min="13" max="13" width="18.5703125" bestFit="1" customWidth="1"/>
  </cols>
  <sheetData>
    <row r="1" spans="1:9" ht="15.75" thickBot="1"/>
    <row r="2" spans="1:9">
      <c r="A2" s="1"/>
      <c r="B2" s="2"/>
      <c r="C2" s="3"/>
      <c r="D2" s="3"/>
      <c r="E2" s="4"/>
      <c r="F2" s="3"/>
      <c r="G2" s="3"/>
      <c r="H2" s="3"/>
      <c r="I2" s="5"/>
    </row>
    <row r="3" spans="1:9" ht="29.1" customHeight="1">
      <c r="A3" s="1"/>
      <c r="B3" s="393" t="s">
        <v>0</v>
      </c>
      <c r="C3" s="415" t="s">
        <v>783</v>
      </c>
      <c r="D3" s="416"/>
      <c r="E3" s="416"/>
      <c r="F3" s="374"/>
      <c r="G3" s="375" t="s">
        <v>1</v>
      </c>
      <c r="H3" s="415" t="s">
        <v>2</v>
      </c>
      <c r="I3" s="420"/>
    </row>
    <row r="4" spans="1:9">
      <c r="A4" s="1"/>
      <c r="B4" s="6"/>
      <c r="C4" s="416"/>
      <c r="D4" s="416"/>
      <c r="E4" s="416"/>
      <c r="F4" s="376"/>
      <c r="G4" s="377"/>
      <c r="H4" s="415"/>
      <c r="I4" s="420"/>
    </row>
    <row r="5" spans="1:9">
      <c r="A5" s="1"/>
      <c r="B5" s="6"/>
      <c r="C5" s="376" t="s">
        <v>3</v>
      </c>
      <c r="D5" s="376"/>
      <c r="E5" s="374"/>
      <c r="F5" s="376"/>
      <c r="G5" s="378"/>
      <c r="H5" s="415"/>
      <c r="I5" s="420"/>
    </row>
    <row r="6" spans="1:9" ht="14.85" customHeight="1">
      <c r="A6" s="1"/>
      <c r="B6" s="6"/>
      <c r="C6" s="376"/>
      <c r="D6" s="376"/>
      <c r="E6" s="394"/>
      <c r="F6" s="376"/>
      <c r="G6" s="375" t="s">
        <v>4</v>
      </c>
      <c r="H6" s="415" t="s">
        <v>5</v>
      </c>
      <c r="I6" s="420"/>
    </row>
    <row r="7" spans="1:9">
      <c r="A7" s="1"/>
      <c r="B7" s="6"/>
      <c r="C7" s="379" t="s">
        <v>6</v>
      </c>
      <c r="D7" s="417"/>
      <c r="E7" s="418"/>
      <c r="F7" s="419"/>
      <c r="G7" s="374"/>
      <c r="H7" s="415"/>
      <c r="I7" s="420"/>
    </row>
    <row r="8" spans="1:9">
      <c r="A8" s="1"/>
      <c r="B8" s="6"/>
      <c r="C8" s="379" t="s">
        <v>7</v>
      </c>
      <c r="D8" s="417"/>
      <c r="E8" s="418"/>
      <c r="F8" s="419"/>
      <c r="G8" s="374"/>
      <c r="H8" s="415"/>
      <c r="I8" s="420"/>
    </row>
    <row r="9" spans="1:9" ht="16.5" customHeight="1">
      <c r="A9" s="1"/>
      <c r="B9" s="6"/>
      <c r="C9" s="379" t="s">
        <v>8</v>
      </c>
      <c r="D9" s="417"/>
      <c r="E9" s="418"/>
      <c r="F9" s="419"/>
      <c r="G9" s="374"/>
      <c r="H9" s="415"/>
      <c r="I9" s="420"/>
    </row>
    <row r="10" spans="1:9" ht="35.25" customHeight="1">
      <c r="A10" s="1"/>
      <c r="B10" s="6"/>
      <c r="C10" s="379"/>
      <c r="D10" s="376"/>
      <c r="E10" s="376"/>
      <c r="F10" s="376"/>
      <c r="G10" s="376"/>
      <c r="H10" s="415"/>
      <c r="I10" s="420"/>
    </row>
    <row r="11" spans="1:9" ht="17.25" customHeight="1">
      <c r="A11" s="1"/>
      <c r="B11" s="6"/>
      <c r="C11" s="379" t="s">
        <v>9</v>
      </c>
      <c r="D11" s="86"/>
      <c r="E11" s="380"/>
      <c r="F11" s="376"/>
      <c r="G11" s="376"/>
      <c r="H11" s="415"/>
      <c r="I11" s="420"/>
    </row>
    <row r="12" spans="1:9" ht="35.25" customHeight="1">
      <c r="A12" s="1"/>
      <c r="B12" s="6"/>
      <c r="C12" s="379"/>
      <c r="D12" s="380"/>
      <c r="E12" s="380"/>
      <c r="F12" s="376"/>
      <c r="G12" s="376"/>
      <c r="H12" s="415"/>
      <c r="I12" s="420"/>
    </row>
    <row r="13" spans="1:9" ht="123.75" customHeight="1" thickBot="1">
      <c r="A13" s="1"/>
      <c r="B13" s="7"/>
      <c r="C13" s="8"/>
      <c r="D13" s="9"/>
      <c r="E13" s="10"/>
      <c r="F13" s="8"/>
      <c r="G13" s="8"/>
      <c r="H13" s="421"/>
      <c r="I13" s="422"/>
    </row>
    <row r="14" spans="1:9">
      <c r="A14" s="1"/>
      <c r="B14" s="11"/>
      <c r="C14" s="1"/>
      <c r="D14" s="84"/>
      <c r="E14" s="85"/>
      <c r="F14" s="1"/>
      <c r="G14" s="1"/>
      <c r="H14" s="1"/>
    </row>
    <row r="15" spans="1:9">
      <c r="A15" s="1"/>
      <c r="B15" s="404"/>
      <c r="C15" s="404" t="s">
        <v>10</v>
      </c>
      <c r="D15" s="405" t="s">
        <v>11</v>
      </c>
      <c r="E15" s="406" t="s">
        <v>12</v>
      </c>
      <c r="F15" s="406" t="s">
        <v>13</v>
      </c>
      <c r="G15" s="406" t="s">
        <v>14</v>
      </c>
      <c r="H15" s="406" t="s">
        <v>15</v>
      </c>
    </row>
    <row r="16" spans="1:9">
      <c r="A16" s="1"/>
      <c r="B16" s="187">
        <v>1</v>
      </c>
      <c r="C16" s="268" t="s">
        <v>16</v>
      </c>
      <c r="D16" s="253">
        <f>'1 Algemeen'!H32</f>
        <v>220</v>
      </c>
      <c r="E16" s="254">
        <f>'1 Algemeen'!I32+'1 Algemeen'!J32</f>
        <v>0</v>
      </c>
      <c r="F16" s="254">
        <f>'1 Algemeen'!D31</f>
        <v>15</v>
      </c>
      <c r="G16" s="254">
        <f>'1 Algemeen'!D32</f>
        <v>9</v>
      </c>
      <c r="H16" s="254">
        <f>F16+G16</f>
        <v>24</v>
      </c>
    </row>
    <row r="17" spans="1:8">
      <c r="A17" s="1"/>
      <c r="B17" s="255" t="s">
        <v>17</v>
      </c>
      <c r="C17" s="268" t="s">
        <v>18</v>
      </c>
      <c r="D17" s="253">
        <f>'2 ICT'!H35</f>
        <v>200</v>
      </c>
      <c r="E17" s="254">
        <f>'2 ICT'!I35+'2 ICT'!J35</f>
        <v>0</v>
      </c>
      <c r="F17" s="254">
        <f>'2 ICT'!D34</f>
        <v>12</v>
      </c>
      <c r="G17" s="254">
        <f>'2 ICT'!D35</f>
        <v>17</v>
      </c>
      <c r="H17" s="254">
        <f t="shared" ref="H17:H31" si="0">F17+G17</f>
        <v>29</v>
      </c>
    </row>
    <row r="18" spans="1:8">
      <c r="A18" s="1"/>
      <c r="B18" s="256" t="s">
        <v>19</v>
      </c>
      <c r="C18" s="268" t="s">
        <v>20</v>
      </c>
      <c r="D18" s="253">
        <f>'3 Inkoop&amp;Contracten'!H24</f>
        <v>150</v>
      </c>
      <c r="E18" s="254">
        <f>'3 Inkoop&amp;Contracten'!I24+'3 Inkoop&amp;Contracten'!J24</f>
        <v>0</v>
      </c>
      <c r="F18" s="254">
        <f>'3 Inkoop&amp;Contracten'!D23</f>
        <v>10</v>
      </c>
      <c r="G18" s="254">
        <f>'3 Inkoop&amp;Contracten'!D24</f>
        <v>6</v>
      </c>
      <c r="H18" s="254">
        <f t="shared" si="0"/>
        <v>16</v>
      </c>
    </row>
    <row r="19" spans="1:8">
      <c r="A19" s="1"/>
      <c r="B19" s="257" t="s">
        <v>21</v>
      </c>
      <c r="C19" s="268" t="s">
        <v>22</v>
      </c>
      <c r="D19" s="253">
        <f>'4 Crediteuren'!H32</f>
        <v>130</v>
      </c>
      <c r="E19" s="254">
        <f>'4 Crediteuren'!I32+'4 Crediteuren'!J32</f>
        <v>0</v>
      </c>
      <c r="F19" s="254">
        <f>'4 Crediteuren'!D31</f>
        <v>13</v>
      </c>
      <c r="G19" s="254">
        <f>'4 Crediteuren'!D32</f>
        <v>6</v>
      </c>
      <c r="H19" s="254">
        <f t="shared" si="0"/>
        <v>19</v>
      </c>
    </row>
    <row r="20" spans="1:8">
      <c r="A20" s="1"/>
      <c r="B20" s="257" t="s">
        <v>23</v>
      </c>
      <c r="C20" s="268" t="s">
        <v>24</v>
      </c>
      <c r="D20" s="258">
        <f>'5 Debiteuren'!H26</f>
        <v>110</v>
      </c>
      <c r="E20" s="259">
        <f>'5 Debiteuren'!I26+'5 Debiteuren'!J26</f>
        <v>0</v>
      </c>
      <c r="F20" s="254">
        <f>'5 Debiteuren'!D25</f>
        <v>11</v>
      </c>
      <c r="G20" s="254">
        <f>'5 Debiteuren'!D26</f>
        <v>7</v>
      </c>
      <c r="H20" s="254">
        <f t="shared" si="0"/>
        <v>18</v>
      </c>
    </row>
    <row r="21" spans="1:8">
      <c r="A21" s="1"/>
      <c r="B21" s="257" t="s">
        <v>25</v>
      </c>
      <c r="C21" s="268" t="s">
        <v>26</v>
      </c>
      <c r="D21" s="258">
        <f>'5 Debiteuren 1 '!H11</f>
        <v>50</v>
      </c>
      <c r="E21" s="259">
        <f>'5 Debiteuren 1 '!I11+'5 Debiteuren 1 '!J11</f>
        <v>0</v>
      </c>
      <c r="F21" s="254">
        <f>'5 Debiteuren 1 '!D10</f>
        <v>5</v>
      </c>
      <c r="G21" s="254">
        <f>'5 Debiteuren 1 '!D11</f>
        <v>0</v>
      </c>
      <c r="H21" s="254">
        <f t="shared" si="0"/>
        <v>5</v>
      </c>
    </row>
    <row r="22" spans="1:8">
      <c r="A22" s="1"/>
      <c r="B22" s="257" t="s">
        <v>27</v>
      </c>
      <c r="C22" s="268" t="s">
        <v>28</v>
      </c>
      <c r="D22" s="258">
        <f>'6 Financieel Beheer'!H19</f>
        <v>100</v>
      </c>
      <c r="E22" s="259">
        <f>'6 Financieel Beheer'!I19+'6 Financieel Beheer'!J19</f>
        <v>0</v>
      </c>
      <c r="F22" s="254">
        <f>'6 Financieel Beheer'!D18</f>
        <v>10</v>
      </c>
      <c r="G22" s="254">
        <f>'6 Financieel Beheer'!D19</f>
        <v>2</v>
      </c>
      <c r="H22" s="254">
        <f t="shared" si="0"/>
        <v>12</v>
      </c>
    </row>
    <row r="23" spans="1:8">
      <c r="A23" s="1"/>
      <c r="B23" s="257" t="s">
        <v>29</v>
      </c>
      <c r="C23" s="268" t="s">
        <v>30</v>
      </c>
      <c r="D23" s="253">
        <f>'7 Control'!H15</f>
        <v>50</v>
      </c>
      <c r="E23" s="254">
        <f>'7 Control'!I15+'7 Control'!J15</f>
        <v>0</v>
      </c>
      <c r="F23" s="254">
        <f>'7 Control'!D14</f>
        <v>5</v>
      </c>
      <c r="G23" s="254">
        <f>'7 Control'!D15</f>
        <v>2</v>
      </c>
      <c r="H23" s="254">
        <f t="shared" si="0"/>
        <v>7</v>
      </c>
    </row>
    <row r="24" spans="1:8">
      <c r="A24" s="1"/>
      <c r="B24" s="260" t="s">
        <v>31</v>
      </c>
      <c r="C24" s="268" t="s">
        <v>32</v>
      </c>
      <c r="D24" s="258">
        <f>'8 HR'!H32</f>
        <v>230</v>
      </c>
      <c r="E24" s="259">
        <f>'8 HR'!I32+'8 HR'!J32</f>
        <v>0</v>
      </c>
      <c r="F24" s="254">
        <f>'8 HR'!D31</f>
        <v>16</v>
      </c>
      <c r="G24" s="254">
        <f>'8 HR'!D32</f>
        <v>11</v>
      </c>
      <c r="H24" s="254">
        <f t="shared" si="0"/>
        <v>27</v>
      </c>
    </row>
    <row r="25" spans="1:8">
      <c r="A25" s="1"/>
      <c r="B25" s="260" t="s">
        <v>33</v>
      </c>
      <c r="C25" s="268" t="s">
        <v>34</v>
      </c>
      <c r="D25" s="258">
        <f>'8 HR 1'!H26</f>
        <v>150</v>
      </c>
      <c r="E25" s="259">
        <f>'8 HR 1'!I26+'8 HR 1'!J26</f>
        <v>0</v>
      </c>
      <c r="F25" s="254">
        <f>'8 HR 1'!D25</f>
        <v>13</v>
      </c>
      <c r="G25" s="254">
        <f>'8 HR 1'!D26</f>
        <v>7</v>
      </c>
      <c r="H25" s="254">
        <f t="shared" si="0"/>
        <v>20</v>
      </c>
    </row>
    <row r="26" spans="1:8">
      <c r="A26" s="1"/>
      <c r="B26" s="260" t="s">
        <v>35</v>
      </c>
      <c r="C26" s="268" t="s">
        <v>36</v>
      </c>
      <c r="D26" s="258">
        <f>'8 HR 2'!H20</f>
        <v>70</v>
      </c>
      <c r="E26" s="259">
        <f>'8 HR 2'!I20+'8 HR 2'!J20</f>
        <v>0</v>
      </c>
      <c r="F26" s="254">
        <f>'8 HR 2'!D19</f>
        <v>6</v>
      </c>
      <c r="G26" s="254">
        <f>'8 HR 2'!D20</f>
        <v>8</v>
      </c>
      <c r="H26" s="254">
        <f t="shared" si="0"/>
        <v>14</v>
      </c>
    </row>
    <row r="27" spans="1:8">
      <c r="A27" s="1"/>
      <c r="B27" s="260" t="s">
        <v>37</v>
      </c>
      <c r="C27" s="268" t="s">
        <v>38</v>
      </c>
      <c r="D27" s="258">
        <f>'8 HR 3'!H25</f>
        <v>110</v>
      </c>
      <c r="E27" s="259">
        <f>'8 HR 3'!I25+'8 HR 3'!J25</f>
        <v>0</v>
      </c>
      <c r="F27" s="254">
        <f>'8 HR 3'!D24</f>
        <v>9</v>
      </c>
      <c r="G27" s="254">
        <f>'8 HR 3'!D25</f>
        <v>9</v>
      </c>
      <c r="H27" s="254">
        <f t="shared" si="0"/>
        <v>18</v>
      </c>
    </row>
    <row r="28" spans="1:8">
      <c r="A28" s="1"/>
      <c r="B28" s="260" t="s">
        <v>39</v>
      </c>
      <c r="C28" s="268" t="s">
        <v>40</v>
      </c>
      <c r="D28" s="258">
        <f>'8 HR 4'!H49</f>
        <v>370</v>
      </c>
      <c r="E28" s="259">
        <f>'8 HR 4'!I49+'8 HR 4'!J49</f>
        <v>0</v>
      </c>
      <c r="F28" s="254">
        <f>'8 HR 4'!D48</f>
        <v>27</v>
      </c>
      <c r="G28" s="254">
        <f>'8 HR 4'!D49</f>
        <v>12</v>
      </c>
      <c r="H28" s="254">
        <f t="shared" si="0"/>
        <v>39</v>
      </c>
    </row>
    <row r="29" spans="1:8">
      <c r="A29" s="1"/>
      <c r="B29" s="260">
        <f>B24+1</f>
        <v>9</v>
      </c>
      <c r="C29" s="268" t="s">
        <v>41</v>
      </c>
      <c r="D29" s="258">
        <f>'9 Tijdschrijven'!H18</f>
        <v>150</v>
      </c>
      <c r="E29" s="259">
        <f>'9 Tijdschrijven'!I18+'9 Tijdschrijven'!J18</f>
        <v>0</v>
      </c>
      <c r="F29" s="254">
        <f>'9 Tijdschrijven'!D17</f>
        <v>9</v>
      </c>
      <c r="G29" s="254">
        <f>'9 Tijdschrijven'!D18</f>
        <v>4</v>
      </c>
      <c r="H29" s="254">
        <f t="shared" si="0"/>
        <v>13</v>
      </c>
    </row>
    <row r="30" spans="1:8">
      <c r="A30" s="1"/>
      <c r="B30" s="261">
        <f>B29+1</f>
        <v>10</v>
      </c>
      <c r="C30" s="268" t="s">
        <v>42</v>
      </c>
      <c r="D30" s="253">
        <f>'10 Beheer'!H21</f>
        <v>80</v>
      </c>
      <c r="E30" s="254">
        <f>'10 Beheer'!I21+'10 Beheer'!J21</f>
        <v>0</v>
      </c>
      <c r="F30" s="254">
        <f>'10 Beheer'!D20</f>
        <v>8</v>
      </c>
      <c r="G30" s="254">
        <f>'10 Beheer'!D21</f>
        <v>4</v>
      </c>
      <c r="H30" s="254">
        <f t="shared" si="0"/>
        <v>12</v>
      </c>
    </row>
    <row r="31" spans="1:8">
      <c r="A31" s="1"/>
      <c r="B31" s="262">
        <f>B30+1</f>
        <v>11</v>
      </c>
      <c r="C31" s="268" t="s">
        <v>43</v>
      </c>
      <c r="D31" s="253">
        <f>'11  IB en Privacy'!H66</f>
        <v>440</v>
      </c>
      <c r="E31" s="254">
        <f>'11  IB en Privacy'!I66+'11  IB en Privacy'!J66</f>
        <v>0</v>
      </c>
      <c r="F31" s="254">
        <f>'11  IB en Privacy'!D65</f>
        <v>25</v>
      </c>
      <c r="G31" s="254">
        <f>'11  IB en Privacy'!D66</f>
        <v>28</v>
      </c>
      <c r="H31" s="254">
        <f t="shared" si="0"/>
        <v>53</v>
      </c>
    </row>
    <row r="32" spans="1:8">
      <c r="A32" s="1"/>
      <c r="B32" s="252"/>
      <c r="C32" s="269" t="s">
        <v>44</v>
      </c>
      <c r="D32" s="396">
        <f>SUM(D16:D31)</f>
        <v>2610</v>
      </c>
      <c r="E32" s="396">
        <f t="shared" ref="E32:H32" si="1">SUM(E16:E31)</f>
        <v>0</v>
      </c>
      <c r="F32" s="396">
        <f t="shared" si="1"/>
        <v>194</v>
      </c>
      <c r="G32" s="396">
        <f t="shared" si="1"/>
        <v>132</v>
      </c>
      <c r="H32" s="396">
        <f t="shared" si="1"/>
        <v>326</v>
      </c>
    </row>
    <row r="34" spans="3:4">
      <c r="C34" t="str">
        <f t="shared" ref="C34:D36" si="2">C16</f>
        <v>Algemeen</v>
      </c>
      <c r="D34">
        <f t="shared" si="2"/>
        <v>220</v>
      </c>
    </row>
    <row r="35" spans="3:4">
      <c r="C35" t="str">
        <f t="shared" si="2"/>
        <v xml:space="preserve">ICT </v>
      </c>
      <c r="D35">
        <f t="shared" si="2"/>
        <v>200</v>
      </c>
    </row>
    <row r="36" spans="3:4">
      <c r="C36" t="str">
        <f t="shared" si="2"/>
        <v>Inkoop&amp;Contracten</v>
      </c>
      <c r="D36">
        <f t="shared" si="2"/>
        <v>150</v>
      </c>
    </row>
    <row r="37" spans="3:4">
      <c r="C37" t="s">
        <v>45</v>
      </c>
      <c r="D37" s="83">
        <f>D19+D20+D21+D22+D23</f>
        <v>440</v>
      </c>
    </row>
    <row r="38" spans="3:4">
      <c r="C38" t="s">
        <v>32</v>
      </c>
      <c r="D38" s="83">
        <f>D24+D25+D26+D27+D28</f>
        <v>930</v>
      </c>
    </row>
    <row r="39" spans="3:4">
      <c r="C39" t="s">
        <v>41</v>
      </c>
      <c r="D39" s="83">
        <f>D29</f>
        <v>150</v>
      </c>
    </row>
    <row r="40" spans="3:4">
      <c r="C40" t="s">
        <v>42</v>
      </c>
      <c r="D40" s="83">
        <f>D30</f>
        <v>80</v>
      </c>
    </row>
    <row r="41" spans="3:4">
      <c r="C41" t="str">
        <f>C31</f>
        <v>IB en Privacy</v>
      </c>
      <c r="D41" s="83">
        <f>D31</f>
        <v>440</v>
      </c>
    </row>
    <row r="42" spans="3:4">
      <c r="D42">
        <f>SUM(D34:D41)</f>
        <v>2610</v>
      </c>
    </row>
  </sheetData>
  <sheetProtection algorithmName="SHA-512" hashValue="GirVfcJ/QkQhK1odDrbYLp6m+s5f69BLvbdO1R7dpCJrwDwP/pXbYR3zixOEZTNMLTnjgWnesuULCKVDXwL9UQ==" saltValue="roVXC6mF3aZbO1euwvosag==" spinCount="100000" sheet="1" objects="1" scenarios="1"/>
  <protectedRanges>
    <protectedRange sqref="D7:F9 D11" name="Naam etc"/>
  </protectedRanges>
  <mergeCells count="6">
    <mergeCell ref="C3:E4"/>
    <mergeCell ref="D7:F7"/>
    <mergeCell ref="D8:F8"/>
    <mergeCell ref="D9:F9"/>
    <mergeCell ref="H3:I5"/>
    <mergeCell ref="H6:I13"/>
  </mergeCells>
  <phoneticPr fontId="20" type="noConversion"/>
  <hyperlinks>
    <hyperlink ref="C16" location="'1 Algemeen'!A1" display="Algemeen" xr:uid="{6602163F-223B-4FD5-A19F-6D37452A02D2}"/>
    <hyperlink ref="C29" location="'9 Tijdschrijven'!A1" display="Tijdschrijven" xr:uid="{C818BFA3-E2D5-4009-BC45-945525DBDF81}"/>
    <hyperlink ref="C23" location="'7 Control'!A1" display="Control" xr:uid="{A5898F14-D272-4CD4-9968-4D395F15F263}"/>
    <hyperlink ref="C22" location="'6 Financieel Beheer'!A1" display="Financieel Beheer" xr:uid="{6B7D7328-9F31-4075-8CBB-92A8A8C5C761}"/>
    <hyperlink ref="C20" location="'5 Debiteuren'!A1" display="Debiteuren" xr:uid="{CA906C1C-DF88-4EED-9D9D-971406EEBEE1}"/>
    <hyperlink ref="C19" location="'4 Crediteuren'!A1" display="Crediteuren" xr:uid="{4A539A5F-EDC7-452A-B860-AB18EDFE6E19}"/>
    <hyperlink ref="C18" location="'3 Inkoop&amp;Contracten'!A1" display="Inkoop&amp;Contracten" xr:uid="{AF9DEF3A-EB61-4385-8269-56E2B6ED2B09}"/>
    <hyperlink ref="C17" location="'2 ICT'!A1" display="ICT " xr:uid="{24F45BAD-8D2B-4D9A-A2A9-1A18B02F686E}"/>
    <hyperlink ref="C30" location="'10 Beheer'!A1" display="Beheer" xr:uid="{8A7D5D57-B701-416A-A81A-C34A0CA9CFB9}"/>
    <hyperlink ref="C31" location="'11  IB en Privacy'!A1" display="IB en Privacy" xr:uid="{C4F0AFED-C94E-4E66-8BA5-09392C3234F4}"/>
    <hyperlink ref="C21" location="'5 Debiteuren 1 '!A1" display="Debiteuren 1" xr:uid="{24302C74-C6F6-44C7-BE22-6F99FACA73FC}"/>
    <hyperlink ref="C24" location="'8 HR'!A1" display="HR" xr:uid="{7051947A-A94C-4ECB-829D-2FD80981ECD9}"/>
    <hyperlink ref="C25" location="'8 HR 1'!A1" display="HR 1" xr:uid="{282321AD-6E6C-4800-A9C5-05770AF32DA6}"/>
    <hyperlink ref="C26" location="'8 HR 2'!A1" display="HR 2" xr:uid="{2E549F90-B134-48E2-8FF9-F36A30C3C5BB}"/>
    <hyperlink ref="C27" location="'8 HR 3'!A1" display="HR 3" xr:uid="{100C2431-794F-4C8A-9BDC-E36128A7EE5F}"/>
    <hyperlink ref="C28" location="'8 HR 4'!A1" display="HR 4" xr:uid="{11C83809-AA35-45AF-80FB-D5D1FC78D329}"/>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6931-77D7-4640-92C6-2CB61537023F}">
  <sheetPr>
    <tabColor theme="9" tint="0.59999389629810485"/>
  </sheetPr>
  <dimension ref="A1:V82"/>
  <sheetViews>
    <sheetView zoomScale="90" zoomScaleNormal="90" workbookViewId="0">
      <selection activeCell="E29" sqref="E4:E29"/>
    </sheetView>
  </sheetViews>
  <sheetFormatPr defaultColWidth="9.140625" defaultRowHeight="15"/>
  <cols>
    <col min="1" max="1" width="9.5703125" style="118" customWidth="1"/>
    <col min="2" max="2" width="10.85546875" style="30" bestFit="1" customWidth="1"/>
    <col min="3" max="3" width="79.85546875" style="41" customWidth="1"/>
    <col min="4" max="4" width="10.28515625" style="49" bestFit="1" customWidth="1"/>
    <col min="5" max="5" width="25.42578125" style="49" bestFit="1" customWidth="1"/>
    <col min="6" max="7" width="25.42578125" style="49" customWidth="1"/>
    <col min="8" max="8" width="10.7109375" style="49" customWidth="1"/>
    <col min="9" max="9" width="14.5703125" style="49" customWidth="1"/>
    <col min="10" max="10" width="17.42578125" style="49" bestFit="1" customWidth="1"/>
    <col min="11" max="11" width="3" style="30" customWidth="1"/>
    <col min="12" max="16384" width="9.140625" style="30"/>
  </cols>
  <sheetData>
    <row r="1" spans="1:22" s="88" customFormat="1" ht="21">
      <c r="A1" s="116"/>
      <c r="B1" s="88" t="s">
        <v>46</v>
      </c>
      <c r="C1" s="88" t="s">
        <v>47</v>
      </c>
      <c r="D1" s="88" t="s">
        <v>48</v>
      </c>
      <c r="E1" s="88" t="s">
        <v>49</v>
      </c>
      <c r="F1" s="88" t="s">
        <v>50</v>
      </c>
      <c r="G1" s="88" t="s">
        <v>51</v>
      </c>
      <c r="H1" s="88" t="s">
        <v>52</v>
      </c>
      <c r="I1" s="88" t="s">
        <v>53</v>
      </c>
      <c r="J1" s="88" t="s">
        <v>54</v>
      </c>
      <c r="K1" s="382" t="s">
        <v>55</v>
      </c>
      <c r="L1"/>
      <c r="M1"/>
      <c r="N1"/>
      <c r="O1"/>
      <c r="P1"/>
      <c r="Q1"/>
      <c r="R1" s="30"/>
      <c r="S1" s="30"/>
      <c r="T1" s="30"/>
      <c r="U1" s="30"/>
      <c r="V1" s="30"/>
    </row>
    <row r="2" spans="1:22">
      <c r="B2" s="263"/>
      <c r="C2" s="284" t="s">
        <v>772</v>
      </c>
      <c r="D2" s="264"/>
      <c r="E2" s="264"/>
      <c r="F2" s="264"/>
      <c r="G2" s="264"/>
      <c r="H2" s="264"/>
      <c r="I2" s="264"/>
      <c r="J2" s="264"/>
      <c r="K2" s="19">
        <f t="shared" ref="K2:K32" si="0">COUNTA(E2:G2)</f>
        <v>0</v>
      </c>
    </row>
    <row r="3" spans="1:22" s="49" customFormat="1" ht="60">
      <c r="A3" s="119"/>
      <c r="B3" s="52" t="s">
        <v>57</v>
      </c>
      <c r="C3" s="97" t="s">
        <v>58</v>
      </c>
      <c r="D3" s="14" t="s">
        <v>121</v>
      </c>
      <c r="E3" s="14" t="s">
        <v>60</v>
      </c>
      <c r="F3" s="14" t="s">
        <v>61</v>
      </c>
      <c r="G3" s="142" t="s">
        <v>62</v>
      </c>
      <c r="H3" s="15" t="s">
        <v>63</v>
      </c>
      <c r="I3" s="14" t="s">
        <v>64</v>
      </c>
      <c r="J3" s="14" t="s">
        <v>65</v>
      </c>
      <c r="K3" s="19"/>
    </row>
    <row r="4" spans="1:22" s="88" customFormat="1" ht="21">
      <c r="A4" s="116"/>
      <c r="B4" s="16" t="s">
        <v>33</v>
      </c>
      <c r="C4" s="38" t="s">
        <v>354</v>
      </c>
      <c r="D4" s="18" t="s">
        <v>68</v>
      </c>
      <c r="E4" s="19"/>
      <c r="F4" s="152"/>
      <c r="G4" s="152"/>
      <c r="H4" s="78"/>
      <c r="I4" s="78"/>
      <c r="J4" s="23"/>
      <c r="K4" s="19">
        <f t="shared" si="0"/>
        <v>0</v>
      </c>
      <c r="L4"/>
      <c r="M4"/>
      <c r="N4"/>
      <c r="O4"/>
      <c r="P4"/>
      <c r="Q4"/>
      <c r="R4" s="30"/>
      <c r="S4" s="30"/>
      <c r="T4" s="30"/>
      <c r="U4" s="30"/>
      <c r="V4" s="30"/>
    </row>
    <row r="5" spans="1:22" s="88" customFormat="1" ht="45">
      <c r="A5" s="116"/>
      <c r="B5" s="16" t="s">
        <v>35</v>
      </c>
      <c r="C5" s="38" t="s">
        <v>355</v>
      </c>
      <c r="D5" s="22" t="s">
        <v>68</v>
      </c>
      <c r="E5" s="19"/>
      <c r="F5" s="152"/>
      <c r="G5" s="152"/>
      <c r="H5" s="78"/>
      <c r="I5" s="78"/>
      <c r="J5" s="23"/>
      <c r="K5" s="19">
        <f t="shared" si="0"/>
        <v>0</v>
      </c>
      <c r="L5"/>
      <c r="M5"/>
      <c r="N5"/>
      <c r="O5"/>
      <c r="P5"/>
      <c r="Q5"/>
      <c r="R5" s="30"/>
      <c r="S5" s="30"/>
      <c r="T5" s="30"/>
      <c r="U5" s="30"/>
      <c r="V5" s="30"/>
    </row>
    <row r="6" spans="1:22" s="88" customFormat="1" ht="60">
      <c r="A6" s="116"/>
      <c r="B6" s="16" t="s">
        <v>37</v>
      </c>
      <c r="C6" s="38" t="s">
        <v>356</v>
      </c>
      <c r="D6" s="18" t="s">
        <v>88</v>
      </c>
      <c r="E6" s="19"/>
      <c r="F6" s="19"/>
      <c r="G6" s="19"/>
      <c r="H6" s="78">
        <v>20</v>
      </c>
      <c r="I6" s="78">
        <f>IF(Tabel19[[#This Row],[Kolom4]]="Ja",Tabel19[[#This Row],[Kolom7]],0)</f>
        <v>0</v>
      </c>
      <c r="J6" s="23">
        <f>IF(Tabel19[[#This Row],[Kolom5]]="Ja",Tabel19[[#This Row],[Kolom7]]/2,0)</f>
        <v>0</v>
      </c>
      <c r="K6" s="19">
        <f t="shared" si="0"/>
        <v>0</v>
      </c>
      <c r="L6"/>
      <c r="M6"/>
      <c r="N6"/>
      <c r="O6"/>
      <c r="P6"/>
      <c r="Q6"/>
      <c r="R6" s="30"/>
      <c r="S6" s="30"/>
      <c r="T6" s="30"/>
      <c r="U6" s="30"/>
      <c r="V6" s="30"/>
    </row>
    <row r="7" spans="1:22" s="88" customFormat="1" ht="45">
      <c r="A7" s="116"/>
      <c r="B7" s="16" t="s">
        <v>39</v>
      </c>
      <c r="C7" s="38" t="s">
        <v>357</v>
      </c>
      <c r="D7" s="18" t="s">
        <v>88</v>
      </c>
      <c r="E7" s="19"/>
      <c r="F7" s="19"/>
      <c r="G7" s="19"/>
      <c r="H7" s="78">
        <v>20</v>
      </c>
      <c r="I7" s="78">
        <f>IF(Tabel19[[#This Row],[Kolom4]]="Ja",Tabel19[[#This Row],[Kolom7]],0)</f>
        <v>0</v>
      </c>
      <c r="J7" s="23">
        <f>IF(Tabel19[[#This Row],[Kolom5]]="Ja",Tabel19[[#This Row],[Kolom7]]/2,0)</f>
        <v>0</v>
      </c>
      <c r="K7" s="19">
        <f t="shared" si="0"/>
        <v>0</v>
      </c>
      <c r="L7"/>
      <c r="M7"/>
      <c r="N7"/>
      <c r="O7"/>
      <c r="P7"/>
      <c r="Q7"/>
      <c r="R7" s="30"/>
      <c r="S7" s="30"/>
      <c r="T7" s="30"/>
      <c r="U7" s="30"/>
      <c r="V7" s="30"/>
    </row>
    <row r="8" spans="1:22" s="88" customFormat="1" ht="30">
      <c r="A8" s="116"/>
      <c r="B8" s="16" t="s">
        <v>358</v>
      </c>
      <c r="C8" s="38" t="s">
        <v>359</v>
      </c>
      <c r="D8" s="18" t="s">
        <v>88</v>
      </c>
      <c r="E8" s="19"/>
      <c r="F8" s="19"/>
      <c r="G8" s="19"/>
      <c r="H8" s="78">
        <v>10</v>
      </c>
      <c r="I8" s="78">
        <f>IF(Tabel19[[#This Row],[Kolom4]]="Ja",Tabel19[[#This Row],[Kolom7]],0)</f>
        <v>0</v>
      </c>
      <c r="J8" s="23">
        <f>IF(Tabel19[[#This Row],[Kolom5]]="Ja",Tabel19[[#This Row],[Kolom7]]/2,0)</f>
        <v>0</v>
      </c>
      <c r="K8" s="19">
        <f t="shared" si="0"/>
        <v>0</v>
      </c>
      <c r="L8"/>
      <c r="M8"/>
      <c r="N8"/>
      <c r="O8"/>
      <c r="P8"/>
      <c r="Q8"/>
      <c r="R8" s="30"/>
      <c r="S8" s="30"/>
      <c r="T8" s="30"/>
      <c r="U8" s="30"/>
      <c r="V8" s="30"/>
    </row>
    <row r="9" spans="1:22" s="88" customFormat="1" ht="30">
      <c r="A9" s="116"/>
      <c r="B9" s="16" t="s">
        <v>360</v>
      </c>
      <c r="C9" s="38" t="s">
        <v>361</v>
      </c>
      <c r="D9" s="22" t="s">
        <v>68</v>
      </c>
      <c r="E9" s="19"/>
      <c r="F9" s="152"/>
      <c r="G9" s="152"/>
      <c r="H9" s="78"/>
      <c r="I9" s="78"/>
      <c r="J9" s="78"/>
      <c r="K9" s="19">
        <f t="shared" si="0"/>
        <v>0</v>
      </c>
      <c r="L9"/>
      <c r="M9"/>
      <c r="N9"/>
      <c r="O9"/>
      <c r="P9"/>
      <c r="Q9"/>
      <c r="R9" s="30"/>
      <c r="S9" s="30"/>
      <c r="T9" s="30"/>
      <c r="U9" s="30"/>
      <c r="V9" s="30"/>
    </row>
    <row r="10" spans="1:22" s="88" customFormat="1" ht="30">
      <c r="A10" s="116"/>
      <c r="B10" s="16" t="s">
        <v>362</v>
      </c>
      <c r="C10" s="38" t="s">
        <v>363</v>
      </c>
      <c r="D10" s="18" t="s">
        <v>88</v>
      </c>
      <c r="E10" s="19"/>
      <c r="F10" s="19"/>
      <c r="G10" s="19"/>
      <c r="H10" s="78">
        <v>10</v>
      </c>
      <c r="I10" s="78">
        <f>IF(Tabel19[[#This Row],[Kolom4]]="Ja",Tabel19[[#This Row],[Kolom7]],0)</f>
        <v>0</v>
      </c>
      <c r="J10" s="23">
        <f>IF(Tabel19[[#This Row],[Kolom5]]="Ja",Tabel19[[#This Row],[Kolom7]]/2,0)</f>
        <v>0</v>
      </c>
      <c r="K10" s="19">
        <f t="shared" si="0"/>
        <v>0</v>
      </c>
      <c r="L10"/>
      <c r="M10"/>
      <c r="N10"/>
      <c r="O10"/>
      <c r="P10"/>
      <c r="Q10"/>
      <c r="R10" s="30"/>
      <c r="S10" s="30"/>
      <c r="T10" s="30"/>
      <c r="U10" s="30"/>
      <c r="V10" s="30"/>
    </row>
    <row r="11" spans="1:22" s="88" customFormat="1" ht="45">
      <c r="A11" s="116"/>
      <c r="B11" s="16" t="s">
        <v>364</v>
      </c>
      <c r="C11" s="38" t="s">
        <v>365</v>
      </c>
      <c r="D11" s="18" t="s">
        <v>88</v>
      </c>
      <c r="E11" s="19"/>
      <c r="F11" s="19"/>
      <c r="G11" s="19"/>
      <c r="H11" s="78">
        <v>20</v>
      </c>
      <c r="I11" s="78">
        <f>IF(Tabel19[[#This Row],[Kolom4]]="Ja",Tabel19[[#This Row],[Kolom7]],0)</f>
        <v>0</v>
      </c>
      <c r="J11" s="23">
        <f>IF(Tabel19[[#This Row],[Kolom5]]="Ja",Tabel19[[#This Row],[Kolom7]]/2,0)</f>
        <v>0</v>
      </c>
      <c r="K11" s="19">
        <f t="shared" si="0"/>
        <v>0</v>
      </c>
      <c r="L11"/>
      <c r="M11"/>
      <c r="N11"/>
      <c r="O11"/>
      <c r="P11"/>
      <c r="Q11"/>
      <c r="R11" s="30"/>
      <c r="S11" s="30"/>
      <c r="T11" s="30"/>
      <c r="U11" s="30"/>
      <c r="V11" s="30"/>
    </row>
    <row r="12" spans="1:22" s="88" customFormat="1" ht="30">
      <c r="A12" s="116"/>
      <c r="B12" s="16" t="s">
        <v>366</v>
      </c>
      <c r="C12" s="38" t="s">
        <v>367</v>
      </c>
      <c r="D12" s="22" t="s">
        <v>68</v>
      </c>
      <c r="E12" s="19"/>
      <c r="F12" s="152"/>
      <c r="G12" s="152"/>
      <c r="H12" s="78"/>
      <c r="I12" s="78"/>
      <c r="J12" s="23"/>
      <c r="K12" s="19">
        <f t="shared" si="0"/>
        <v>0</v>
      </c>
      <c r="L12"/>
      <c r="M12"/>
      <c r="N12"/>
      <c r="O12"/>
      <c r="P12"/>
      <c r="Q12"/>
      <c r="R12" s="30"/>
      <c r="S12" s="30"/>
      <c r="T12" s="30"/>
      <c r="U12" s="30"/>
      <c r="V12" s="30"/>
    </row>
    <row r="13" spans="1:22" s="88" customFormat="1" ht="30">
      <c r="A13" s="116"/>
      <c r="B13" s="16" t="s">
        <v>368</v>
      </c>
      <c r="C13" s="38" t="s">
        <v>369</v>
      </c>
      <c r="D13" s="18" t="s">
        <v>88</v>
      </c>
      <c r="E13" s="19"/>
      <c r="F13" s="19"/>
      <c r="G13" s="19"/>
      <c r="H13" s="78">
        <v>10</v>
      </c>
      <c r="I13" s="78">
        <f>IF(Tabel19[[#This Row],[Kolom4]]="Ja",Tabel19[[#This Row],[Kolom7]],0)</f>
        <v>0</v>
      </c>
      <c r="J13" s="23">
        <f>IF(Tabel19[[#This Row],[Kolom5]]="Ja",Tabel19[[#This Row],[Kolom7]]/2,0)</f>
        <v>0</v>
      </c>
      <c r="K13" s="19">
        <f t="shared" si="0"/>
        <v>0</v>
      </c>
      <c r="L13"/>
      <c r="M13"/>
      <c r="N13"/>
      <c r="O13"/>
      <c r="P13"/>
      <c r="Q13"/>
      <c r="R13" s="30"/>
      <c r="S13" s="30"/>
      <c r="T13" s="30"/>
      <c r="U13" s="30"/>
      <c r="V13" s="30"/>
    </row>
    <row r="14" spans="1:22" s="88" customFormat="1" ht="21">
      <c r="A14" s="116"/>
      <c r="B14" s="16" t="s">
        <v>370</v>
      </c>
      <c r="C14" s="38" t="s">
        <v>371</v>
      </c>
      <c r="D14" s="22" t="s">
        <v>68</v>
      </c>
      <c r="E14" s="19"/>
      <c r="F14" s="152"/>
      <c r="G14" s="152"/>
      <c r="H14" s="78"/>
      <c r="I14" s="78"/>
      <c r="J14" s="23"/>
      <c r="K14" s="19">
        <f t="shared" si="0"/>
        <v>0</v>
      </c>
      <c r="L14"/>
      <c r="M14"/>
      <c r="N14"/>
      <c r="O14"/>
      <c r="P14"/>
      <c r="Q14"/>
      <c r="R14" s="30"/>
      <c r="S14" s="30"/>
      <c r="T14" s="30"/>
      <c r="U14" s="30"/>
      <c r="V14" s="30"/>
    </row>
    <row r="15" spans="1:22" s="88" customFormat="1" ht="21">
      <c r="A15" s="116"/>
      <c r="B15" s="16" t="s">
        <v>372</v>
      </c>
      <c r="C15" s="38" t="s">
        <v>373</v>
      </c>
      <c r="D15" s="22" t="s">
        <v>68</v>
      </c>
      <c r="E15" s="19"/>
      <c r="F15" s="152"/>
      <c r="G15" s="152"/>
      <c r="H15" s="78"/>
      <c r="I15" s="78"/>
      <c r="J15" s="23"/>
      <c r="K15" s="19">
        <f t="shared" si="0"/>
        <v>0</v>
      </c>
      <c r="L15"/>
      <c r="M15"/>
      <c r="N15"/>
      <c r="O15"/>
      <c r="P15"/>
      <c r="Q15"/>
      <c r="R15" s="30"/>
      <c r="S15" s="30"/>
      <c r="T15" s="30"/>
      <c r="U15" s="30"/>
      <c r="V15" s="30"/>
    </row>
    <row r="16" spans="1:22" s="88" customFormat="1" ht="21">
      <c r="A16" s="116"/>
      <c r="B16" s="16" t="s">
        <v>374</v>
      </c>
      <c r="C16" s="38" t="s">
        <v>375</v>
      </c>
      <c r="D16" s="22" t="s">
        <v>68</v>
      </c>
      <c r="E16" s="19"/>
      <c r="F16" s="152"/>
      <c r="G16" s="152"/>
      <c r="H16" s="78"/>
      <c r="I16" s="78"/>
      <c r="J16" s="23"/>
      <c r="K16" s="19">
        <f t="shared" si="0"/>
        <v>0</v>
      </c>
      <c r="L16"/>
      <c r="M16"/>
      <c r="N16"/>
      <c r="O16"/>
      <c r="P16"/>
      <c r="Q16"/>
      <c r="R16" s="30"/>
      <c r="S16" s="30"/>
      <c r="T16" s="30"/>
      <c r="U16" s="30"/>
      <c r="V16" s="30"/>
    </row>
    <row r="17" spans="1:22" s="88" customFormat="1" ht="30">
      <c r="A17" s="116"/>
      <c r="B17" s="16" t="s">
        <v>376</v>
      </c>
      <c r="C17" s="38" t="s">
        <v>377</v>
      </c>
      <c r="D17" s="22" t="s">
        <v>68</v>
      </c>
      <c r="E17" s="19"/>
      <c r="F17" s="152"/>
      <c r="G17" s="152"/>
      <c r="H17" s="78"/>
      <c r="I17" s="78"/>
      <c r="J17" s="23"/>
      <c r="K17" s="19">
        <f t="shared" si="0"/>
        <v>0</v>
      </c>
      <c r="L17"/>
      <c r="M17"/>
      <c r="N17"/>
      <c r="O17"/>
      <c r="P17"/>
      <c r="Q17"/>
      <c r="R17" s="30"/>
      <c r="S17" s="30"/>
      <c r="T17" s="30"/>
      <c r="U17" s="30"/>
      <c r="V17" s="30"/>
    </row>
    <row r="18" spans="1:22" s="88" customFormat="1" ht="30">
      <c r="A18" s="116"/>
      <c r="B18" s="16" t="s">
        <v>378</v>
      </c>
      <c r="C18" s="38" t="s">
        <v>379</v>
      </c>
      <c r="D18" s="18" t="s">
        <v>88</v>
      </c>
      <c r="E18" s="19"/>
      <c r="F18" s="19"/>
      <c r="G18" s="19"/>
      <c r="H18" s="78">
        <v>10</v>
      </c>
      <c r="I18" s="78">
        <f>IF(Tabel19[[#This Row],[Kolom4]]="Ja",Tabel19[[#This Row],[Kolom7]],0)</f>
        <v>0</v>
      </c>
      <c r="J18" s="23">
        <f>IF(Tabel19[[#This Row],[Kolom5]]="Ja",Tabel19[[#This Row],[Kolom7]]/2,0)</f>
        <v>0</v>
      </c>
      <c r="K18" s="19">
        <f t="shared" si="0"/>
        <v>0</v>
      </c>
      <c r="L18"/>
      <c r="M18"/>
      <c r="N18"/>
      <c r="O18"/>
      <c r="P18"/>
      <c r="Q18"/>
      <c r="R18" s="30"/>
      <c r="S18" s="30"/>
      <c r="T18" s="30"/>
      <c r="U18" s="30"/>
      <c r="V18" s="30"/>
    </row>
    <row r="19" spans="1:22" s="88" customFormat="1" ht="30">
      <c r="A19" s="116"/>
      <c r="B19" s="16" t="s">
        <v>380</v>
      </c>
      <c r="C19" s="38" t="s">
        <v>381</v>
      </c>
      <c r="D19" s="18" t="s">
        <v>88</v>
      </c>
      <c r="E19" s="19"/>
      <c r="F19" s="19"/>
      <c r="G19" s="19"/>
      <c r="H19" s="78">
        <v>10</v>
      </c>
      <c r="I19" s="78">
        <f>IF(Tabel19[[#This Row],[Kolom4]]="Ja",Tabel19[[#This Row],[Kolom7]],0)</f>
        <v>0</v>
      </c>
      <c r="J19" s="23">
        <f>IF(Tabel19[[#This Row],[Kolom5]]="Ja",Tabel19[[#This Row],[Kolom7]]/2,0)</f>
        <v>0</v>
      </c>
      <c r="K19" s="19">
        <f t="shared" si="0"/>
        <v>0</v>
      </c>
      <c r="L19"/>
      <c r="M19"/>
      <c r="N19"/>
      <c r="O19"/>
      <c r="P19"/>
      <c r="Q19"/>
      <c r="R19" s="30"/>
      <c r="S19" s="30"/>
      <c r="T19" s="30"/>
      <c r="U19" s="30"/>
      <c r="V19" s="30"/>
    </row>
    <row r="20" spans="1:22" s="60" customFormat="1" ht="30">
      <c r="A20" s="111"/>
      <c r="B20" s="16" t="s">
        <v>382</v>
      </c>
      <c r="C20" s="113" t="s">
        <v>383</v>
      </c>
      <c r="D20" s="29" t="s">
        <v>88</v>
      </c>
      <c r="E20" s="19"/>
      <c r="F20" s="19"/>
      <c r="G20" s="19"/>
      <c r="H20" s="69">
        <v>10</v>
      </c>
      <c r="I20" s="78">
        <f>IF(Tabel19[[#This Row],[Kolom4]]="Ja",Tabel19[[#This Row],[Kolom7]],0)</f>
        <v>0</v>
      </c>
      <c r="J20" s="23">
        <f>IF(Tabel19[[#This Row],[Kolom5]]="Ja",Tabel19[[#This Row],[Kolom7]]/2,0)</f>
        <v>0</v>
      </c>
      <c r="K20" s="19">
        <f t="shared" si="0"/>
        <v>0</v>
      </c>
    </row>
    <row r="21" spans="1:22" s="88" customFormat="1" ht="30">
      <c r="A21" s="116"/>
      <c r="B21" s="16" t="s">
        <v>384</v>
      </c>
      <c r="C21" s="38" t="s">
        <v>385</v>
      </c>
      <c r="D21" s="22" t="s">
        <v>68</v>
      </c>
      <c r="E21" s="19"/>
      <c r="F21" s="152"/>
      <c r="G21" s="152"/>
      <c r="H21" s="78"/>
      <c r="I21" s="78"/>
      <c r="J21" s="78"/>
      <c r="K21" s="19">
        <f t="shared" si="0"/>
        <v>0</v>
      </c>
      <c r="L21"/>
      <c r="M21"/>
      <c r="N21"/>
      <c r="O21"/>
      <c r="P21"/>
      <c r="Q21"/>
      <c r="R21" s="30"/>
      <c r="S21" s="30"/>
      <c r="T21" s="30"/>
      <c r="U21" s="30"/>
      <c r="V21" s="30"/>
    </row>
    <row r="22" spans="1:22" s="88" customFormat="1" ht="60">
      <c r="A22" s="116"/>
      <c r="B22" s="16" t="s">
        <v>386</v>
      </c>
      <c r="C22" s="38" t="s">
        <v>387</v>
      </c>
      <c r="D22" s="18" t="s">
        <v>88</v>
      </c>
      <c r="E22" s="19"/>
      <c r="F22" s="19"/>
      <c r="G22" s="19"/>
      <c r="H22" s="78">
        <v>10</v>
      </c>
      <c r="I22" s="78">
        <f>IF(Tabel19[[#This Row],[Kolom4]]="Ja",Tabel19[[#This Row],[Kolom7]],0)</f>
        <v>0</v>
      </c>
      <c r="J22" s="23">
        <f>IF(Tabel19[[#This Row],[Kolom5]]="Ja",Tabel19[[#This Row],[Kolom7]]/2,0)</f>
        <v>0</v>
      </c>
      <c r="K22" s="19">
        <f t="shared" si="0"/>
        <v>0</v>
      </c>
      <c r="L22"/>
      <c r="M22"/>
      <c r="N22"/>
      <c r="O22"/>
      <c r="P22"/>
      <c r="Q22"/>
      <c r="R22" s="30"/>
      <c r="S22" s="30"/>
      <c r="T22" s="30"/>
      <c r="U22" s="30"/>
      <c r="V22" s="30"/>
    </row>
    <row r="23" spans="1:22" s="88" customFormat="1" ht="30">
      <c r="A23" s="116"/>
      <c r="B23" s="16" t="s">
        <v>388</v>
      </c>
      <c r="C23" s="38" t="s">
        <v>389</v>
      </c>
      <c r="D23" s="18" t="s">
        <v>88</v>
      </c>
      <c r="E23" s="19"/>
      <c r="F23" s="19"/>
      <c r="G23" s="19"/>
      <c r="H23" s="78">
        <v>10</v>
      </c>
      <c r="I23" s="78">
        <f>IF(Tabel19[[#This Row],[Kolom4]]="Ja",Tabel19[[#This Row],[Kolom7]],0)</f>
        <v>0</v>
      </c>
      <c r="J23" s="23">
        <f>IF(Tabel19[[#This Row],[Kolom5]]="Ja",Tabel19[[#This Row],[Kolom7]]/2,0)</f>
        <v>0</v>
      </c>
      <c r="K23" s="19">
        <f t="shared" si="0"/>
        <v>0</v>
      </c>
      <c r="L23"/>
      <c r="M23"/>
      <c r="N23"/>
      <c r="O23"/>
      <c r="P23"/>
      <c r="Q23"/>
      <c r="R23" s="30"/>
      <c r="S23" s="30"/>
      <c r="T23" s="30"/>
      <c r="U23" s="30"/>
      <c r="V23" s="30"/>
    </row>
    <row r="24" spans="1:22" s="88" customFormat="1" ht="21">
      <c r="A24" s="116"/>
      <c r="B24" s="16" t="s">
        <v>390</v>
      </c>
      <c r="C24" s="38" t="s">
        <v>391</v>
      </c>
      <c r="D24" s="18" t="s">
        <v>88</v>
      </c>
      <c r="E24" s="19"/>
      <c r="F24" s="19"/>
      <c r="G24" s="19"/>
      <c r="H24" s="78">
        <v>10</v>
      </c>
      <c r="I24" s="78">
        <f>IF(Tabel19[[#This Row],[Kolom4]]="Ja",Tabel19[[#This Row],[Kolom7]],0)</f>
        <v>0</v>
      </c>
      <c r="J24" s="23">
        <f>IF(Tabel19[[#This Row],[Kolom5]]="Ja",Tabel19[[#This Row],[Kolom7]]/2,0)</f>
        <v>0</v>
      </c>
      <c r="K24" s="19">
        <f t="shared" si="0"/>
        <v>0</v>
      </c>
      <c r="L24"/>
      <c r="M24"/>
      <c r="N24"/>
      <c r="O24"/>
      <c r="P24"/>
      <c r="Q24"/>
      <c r="R24" s="30"/>
      <c r="S24" s="30"/>
      <c r="T24" s="30"/>
      <c r="U24" s="30"/>
      <c r="V24" s="30"/>
    </row>
    <row r="25" spans="1:22" s="88" customFormat="1" ht="30">
      <c r="A25" s="116"/>
      <c r="B25" s="16" t="s">
        <v>392</v>
      </c>
      <c r="C25" s="38" t="s">
        <v>393</v>
      </c>
      <c r="D25" s="22" t="s">
        <v>68</v>
      </c>
      <c r="E25" s="19"/>
      <c r="F25" s="152"/>
      <c r="G25" s="152"/>
      <c r="H25" s="78"/>
      <c r="I25" s="78"/>
      <c r="J25" s="23"/>
      <c r="K25" s="19">
        <f t="shared" si="0"/>
        <v>0</v>
      </c>
      <c r="L25"/>
      <c r="M25"/>
      <c r="N25"/>
      <c r="O25"/>
      <c r="P25"/>
      <c r="Q25"/>
      <c r="R25" s="30"/>
      <c r="S25" s="30"/>
      <c r="T25" s="30"/>
      <c r="U25" s="30"/>
      <c r="V25" s="30"/>
    </row>
    <row r="26" spans="1:22" s="88" customFormat="1" ht="60">
      <c r="A26" s="116"/>
      <c r="B26" s="16" t="s">
        <v>394</v>
      </c>
      <c r="C26" s="38" t="s">
        <v>395</v>
      </c>
      <c r="D26" s="18" t="s">
        <v>88</v>
      </c>
      <c r="E26" s="19"/>
      <c r="F26" s="19"/>
      <c r="G26" s="19"/>
      <c r="H26" s="78">
        <v>20</v>
      </c>
      <c r="I26" s="78">
        <f>IF(Tabel19[[#This Row],[Kolom4]]="Ja",Tabel19[[#This Row],[Kolom7]],0)</f>
        <v>0</v>
      </c>
      <c r="J26" s="23">
        <f>IF(Tabel19[[#This Row],[Kolom5]]="Ja",Tabel19[[#This Row],[Kolom7]]/2,0)</f>
        <v>0</v>
      </c>
      <c r="K26" s="19">
        <f t="shared" si="0"/>
        <v>0</v>
      </c>
      <c r="L26"/>
      <c r="M26"/>
      <c r="N26"/>
      <c r="O26"/>
      <c r="P26"/>
      <c r="Q26"/>
      <c r="R26" s="30"/>
      <c r="S26" s="30"/>
      <c r="T26" s="30"/>
      <c r="U26" s="30"/>
      <c r="V26" s="30"/>
    </row>
    <row r="27" spans="1:22" s="88" customFormat="1" ht="45">
      <c r="A27" s="116"/>
      <c r="B27" s="16" t="s">
        <v>396</v>
      </c>
      <c r="C27" s="38" t="s">
        <v>397</v>
      </c>
      <c r="D27" s="18" t="s">
        <v>88</v>
      </c>
      <c r="E27" s="19"/>
      <c r="F27" s="19"/>
      <c r="G27" s="19"/>
      <c r="H27" s="78">
        <v>20</v>
      </c>
      <c r="I27" s="78">
        <f>IF(Tabel19[[#This Row],[Kolom4]]="Ja",Tabel19[[#This Row],[Kolom7]],0)</f>
        <v>0</v>
      </c>
      <c r="J27" s="23">
        <f>IF(Tabel19[[#This Row],[Kolom5]]="Ja",Tabel19[[#This Row],[Kolom7]]/2,0)</f>
        <v>0</v>
      </c>
      <c r="K27" s="19">
        <f t="shared" si="0"/>
        <v>0</v>
      </c>
      <c r="L27"/>
      <c r="M27"/>
      <c r="N27"/>
      <c r="O27"/>
      <c r="P27"/>
      <c r="Q27"/>
      <c r="R27" s="30"/>
      <c r="S27" s="30"/>
      <c r="T27" s="30"/>
      <c r="U27" s="30"/>
      <c r="V27" s="30"/>
    </row>
    <row r="28" spans="1:22" s="88" customFormat="1" ht="45">
      <c r="A28" s="116"/>
      <c r="B28" s="16" t="s">
        <v>398</v>
      </c>
      <c r="C28" s="38" t="s">
        <v>768</v>
      </c>
      <c r="D28" s="18" t="s">
        <v>88</v>
      </c>
      <c r="E28" s="19"/>
      <c r="F28" s="19"/>
      <c r="G28" s="19"/>
      <c r="H28" s="78">
        <v>20</v>
      </c>
      <c r="I28" s="78">
        <f>IF(Tabel19[[#This Row],[Kolom4]]="Ja",Tabel19[[#This Row],[Kolom7]],0)</f>
        <v>0</v>
      </c>
      <c r="J28" s="23">
        <f>IF(Tabel19[[#This Row],[Kolom5]]="Ja",Tabel19[[#This Row],[Kolom7]]/2,0)</f>
        <v>0</v>
      </c>
      <c r="K28" s="19">
        <f t="shared" ref="K28:K29" si="1">COUNTA(E28:G28)</f>
        <v>0</v>
      </c>
      <c r="L28"/>
      <c r="M28"/>
      <c r="N28"/>
      <c r="O28"/>
      <c r="P28"/>
      <c r="Q28"/>
      <c r="R28" s="30"/>
      <c r="S28" s="30"/>
      <c r="T28" s="30"/>
      <c r="U28" s="30"/>
      <c r="V28" s="30"/>
    </row>
    <row r="29" spans="1:22" s="88" customFormat="1" ht="45">
      <c r="A29" s="116"/>
      <c r="B29" s="16" t="s">
        <v>769</v>
      </c>
      <c r="C29" s="38" t="s">
        <v>771</v>
      </c>
      <c r="D29" s="18" t="s">
        <v>88</v>
      </c>
      <c r="E29" s="19"/>
      <c r="F29" s="19"/>
      <c r="G29" s="19"/>
      <c r="H29" s="78">
        <v>20</v>
      </c>
      <c r="I29" s="78">
        <f>IF(Tabel19[[#This Row],[Kolom4]]="Ja",Tabel19[[#This Row],[Kolom7]],0)</f>
        <v>0</v>
      </c>
      <c r="J29" s="23">
        <f>IF(Tabel19[[#This Row],[Kolom5]]="Ja",Tabel19[[#This Row],[Kolom7]]/2,0)</f>
        <v>0</v>
      </c>
      <c r="K29" s="19">
        <f t="shared" si="1"/>
        <v>0</v>
      </c>
      <c r="L29"/>
      <c r="M29"/>
      <c r="N29"/>
      <c r="O29"/>
      <c r="P29"/>
      <c r="Q29"/>
      <c r="R29" s="30"/>
      <c r="S29" s="30"/>
      <c r="T29" s="30"/>
      <c r="U29" s="30"/>
      <c r="V29" s="30"/>
    </row>
    <row r="30" spans="1:22" s="88" customFormat="1" ht="21">
      <c r="A30" s="116"/>
      <c r="B30" s="16" t="s">
        <v>770</v>
      </c>
      <c r="C30" s="38" t="s">
        <v>399</v>
      </c>
      <c r="D30" s="22" t="s">
        <v>68</v>
      </c>
      <c r="E30" s="152"/>
      <c r="F30" s="152"/>
      <c r="G30" s="152"/>
      <c r="H30" s="78"/>
      <c r="I30" s="78"/>
      <c r="J30" s="23"/>
      <c r="K30" s="19">
        <f t="shared" si="0"/>
        <v>0</v>
      </c>
      <c r="L30"/>
      <c r="M30"/>
      <c r="N30"/>
      <c r="O30"/>
      <c r="P30"/>
      <c r="Q30"/>
      <c r="R30" s="30"/>
      <c r="S30" s="30"/>
      <c r="T30" s="30"/>
      <c r="U30" s="30"/>
      <c r="V30" s="30"/>
    </row>
    <row r="31" spans="1:22">
      <c r="B31" s="16"/>
      <c r="C31" s="22" t="s">
        <v>179</v>
      </c>
      <c r="D31" s="55">
        <f>COUNTIF(D4:D30,"Wens")</f>
        <v>16</v>
      </c>
      <c r="E31" s="152"/>
      <c r="F31" s="152"/>
      <c r="G31" s="152"/>
      <c r="H31" s="78"/>
      <c r="I31" s="78"/>
      <c r="J31" s="23"/>
      <c r="K31" s="19">
        <f t="shared" si="0"/>
        <v>0</v>
      </c>
    </row>
    <row r="32" spans="1:22">
      <c r="B32" s="16"/>
      <c r="C32" s="22" t="s">
        <v>180</v>
      </c>
      <c r="D32" s="55">
        <f>COUNTIF(D1:D31,"Eis")</f>
        <v>11</v>
      </c>
      <c r="E32" s="152"/>
      <c r="F32" s="152"/>
      <c r="G32" s="412" t="s">
        <v>44</v>
      </c>
      <c r="H32" s="78">
        <f>SUBTOTAL(109,H4:H31)</f>
        <v>230</v>
      </c>
      <c r="I32" s="78">
        <f>SUBTOTAL(109,I4:I31)</f>
        <v>0</v>
      </c>
      <c r="J32" s="78">
        <f>SUBTOTAL(109,J4:J31)</f>
        <v>0</v>
      </c>
      <c r="K32" s="19">
        <f t="shared" si="0"/>
        <v>1</v>
      </c>
    </row>
    <row r="76" spans="3:10">
      <c r="C76" s="30"/>
      <c r="D76" s="41">
        <f>COUNTIF(D1:D30,"Wens")</f>
        <v>16</v>
      </c>
      <c r="H76" s="121">
        <f>SUM(H1:H30)</f>
        <v>230</v>
      </c>
      <c r="I76" s="121"/>
      <c r="J76" s="63"/>
    </row>
    <row r="77" spans="3:10">
      <c r="C77" s="30"/>
      <c r="D77" s="41"/>
      <c r="J77" s="63"/>
    </row>
    <row r="78" spans="3:10">
      <c r="C78" s="30"/>
      <c r="D78" s="41"/>
      <c r="J78" s="63"/>
    </row>
    <row r="79" spans="3:10">
      <c r="C79" s="30"/>
      <c r="D79" s="41"/>
      <c r="J79" s="63"/>
    </row>
    <row r="80" spans="3:10">
      <c r="C80" s="30"/>
      <c r="D80" s="41"/>
      <c r="J80" s="63"/>
    </row>
    <row r="81" spans="3:10">
      <c r="C81" s="30"/>
      <c r="D81" s="41"/>
      <c r="J81" s="63"/>
    </row>
    <row r="82" spans="3:10">
      <c r="C82" s="30"/>
      <c r="D82" s="41"/>
      <c r="J82" s="63"/>
    </row>
  </sheetData>
  <sheetProtection algorithmName="SHA-512" hashValue="HgrtV46DFXUjbOlhGvgSQBEo03IdNCUMqPFjmS8v+crawHx65qUG+U4+1Jc8nyfHwodIkQfDSNdNUwtOWbDChw==" saltValue="mUJQhZmmZvB0T31T6Vx3gg==" spinCount="100000" sheet="1" objects="1" scenarios="1"/>
  <protectedRanges>
    <protectedRange sqref="E4 E5 E6:G8 E9 E10:G11 E12 E13:G13 E14:E17 E18:G20 E21 E22:G24 E25 E25 E26:G29 E30" name="Invoer 8 HR"/>
  </protectedRanges>
  <phoneticPr fontId="20" type="noConversion"/>
  <conditionalFormatting sqref="K2:K32">
    <cfRule type="cellIs" dxfId="169" priority="1" operator="greaterThan">
      <formula>1</formula>
    </cfRule>
    <cfRule type="cellIs" dxfId="168" priority="2" operator="greaterThan">
      <formula>1</formula>
    </cfRule>
    <cfRule type="cellIs" dxfId="167" priority="3" operator="lessThanOrEqual">
      <formula>1</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155978EF-9CDC-4645-A246-7C76D1D1B1C2}">
          <x14:formula1>
            <xm:f>Blad1!$B$2:$B$3</xm:f>
          </x14:formula1>
          <xm:sqref>F10:G11 E13:G13 F18:G20 F22:G24 E14:E29 F6:G8 E4:E12 F26:G29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67752-D191-4B1E-821D-AB52D92A8334}">
  <sheetPr>
    <tabColor theme="9" tint="0.59999389629810485"/>
  </sheetPr>
  <dimension ref="A1:V26"/>
  <sheetViews>
    <sheetView workbookViewId="0">
      <selection activeCell="E5" sqref="E5:E24"/>
    </sheetView>
  </sheetViews>
  <sheetFormatPr defaultColWidth="9.140625" defaultRowHeight="15"/>
  <cols>
    <col min="1" max="1" width="9.7109375" style="30" customWidth="1"/>
    <col min="2" max="2" width="9.42578125" style="30" customWidth="1"/>
    <col min="3" max="3" width="67" style="30" customWidth="1"/>
    <col min="4" max="4" width="11.42578125" style="49" customWidth="1"/>
    <col min="5" max="5" width="25.42578125" style="49" customWidth="1"/>
    <col min="6" max="6" width="22.85546875" style="49" customWidth="1"/>
    <col min="7" max="7" width="21.42578125" style="49" customWidth="1"/>
    <col min="8" max="8" width="12.7109375" style="49" customWidth="1"/>
    <col min="9" max="9" width="14.140625" style="49" customWidth="1"/>
    <col min="10" max="10" width="19.28515625" style="49" customWidth="1"/>
    <col min="11" max="11" width="3" style="30" customWidth="1"/>
    <col min="12" max="16384" width="9.140625" style="30"/>
  </cols>
  <sheetData>
    <row r="1" spans="1:22" s="46" customFormat="1" ht="19.5" thickBot="1">
      <c r="B1" s="388" t="s">
        <v>46</v>
      </c>
      <c r="C1" s="388" t="s">
        <v>47</v>
      </c>
      <c r="D1" s="388" t="s">
        <v>48</v>
      </c>
      <c r="E1" s="388" t="s">
        <v>49</v>
      </c>
      <c r="F1" s="388" t="s">
        <v>50</v>
      </c>
      <c r="G1" s="388" t="s">
        <v>51</v>
      </c>
      <c r="H1" s="388" t="s">
        <v>52</v>
      </c>
      <c r="I1" s="388" t="s">
        <v>53</v>
      </c>
      <c r="J1" s="388" t="s">
        <v>54</v>
      </c>
    </row>
    <row r="2" spans="1:22">
      <c r="B2" s="231"/>
      <c r="C2" s="272" t="s">
        <v>400</v>
      </c>
      <c r="D2" s="203"/>
      <c r="E2" s="203"/>
      <c r="F2" s="203"/>
      <c r="G2" s="203"/>
      <c r="H2" s="203"/>
      <c r="I2" s="203"/>
      <c r="J2" s="203"/>
      <c r="K2" s="19">
        <f t="shared" ref="K2:K26" si="0">COUNTA(E2:G2)</f>
        <v>0</v>
      </c>
    </row>
    <row r="3" spans="1:22" s="49" customFormat="1" ht="60">
      <c r="A3" s="76"/>
      <c r="B3" s="52" t="s">
        <v>57</v>
      </c>
      <c r="C3" s="97" t="s">
        <v>58</v>
      </c>
      <c r="D3" s="14" t="s">
        <v>121</v>
      </c>
      <c r="E3" s="14" t="s">
        <v>60</v>
      </c>
      <c r="F3" s="14" t="s">
        <v>61</v>
      </c>
      <c r="G3" s="52" t="s">
        <v>62</v>
      </c>
      <c r="H3" s="15" t="s">
        <v>63</v>
      </c>
      <c r="I3" s="14" t="s">
        <v>64</v>
      </c>
      <c r="J3" s="14" t="s">
        <v>65</v>
      </c>
    </row>
    <row r="4" spans="1:22" s="88" customFormat="1" ht="21">
      <c r="A4" s="116"/>
      <c r="B4" s="145"/>
      <c r="C4" s="145" t="s">
        <v>401</v>
      </c>
      <c r="D4" s="145"/>
      <c r="E4" s="145"/>
      <c r="F4" s="145"/>
      <c r="G4" s="145"/>
      <c r="H4" s="145"/>
      <c r="I4" s="367"/>
      <c r="J4" s="145"/>
      <c r="K4" s="19">
        <f t="shared" si="0"/>
        <v>0</v>
      </c>
      <c r="L4"/>
      <c r="M4"/>
      <c r="N4"/>
      <c r="O4"/>
      <c r="P4"/>
      <c r="Q4"/>
      <c r="R4" s="30"/>
      <c r="S4" s="30"/>
      <c r="T4" s="30"/>
      <c r="U4" s="30"/>
      <c r="V4" s="30"/>
    </row>
    <row r="5" spans="1:22" s="88" customFormat="1" ht="45">
      <c r="A5" s="116"/>
      <c r="B5" s="134" t="s">
        <v>402</v>
      </c>
      <c r="C5" s="20" t="s">
        <v>774</v>
      </c>
      <c r="D5" s="29" t="s">
        <v>88</v>
      </c>
      <c r="E5" s="19"/>
      <c r="F5" s="19"/>
      <c r="G5" s="19"/>
      <c r="H5" s="78">
        <v>10</v>
      </c>
      <c r="I5" s="78">
        <f>IF(Tabel14[[#This Row],[Standaardfunctionaliteit, operationeel aanwezig bij inschrijving]]="Ja",Tabel14[[#This Row],[Max.score]],0)</f>
        <v>0</v>
      </c>
      <c r="J5" s="23">
        <f>IF(Tabel14[[#This Row],[Roadmap-functionaliteit, operationeel aanwezig bij Go-Live datum]]="Ja",Tabel14[[#This Row],[Max.score]]/2,0)</f>
        <v>0</v>
      </c>
      <c r="K5" s="19">
        <f t="shared" si="0"/>
        <v>0</v>
      </c>
      <c r="L5"/>
      <c r="M5"/>
      <c r="N5"/>
      <c r="O5"/>
      <c r="P5"/>
      <c r="Q5"/>
      <c r="R5" s="30"/>
      <c r="S5" s="30"/>
      <c r="T5" s="30"/>
      <c r="U5" s="30"/>
      <c r="V5" s="30"/>
    </row>
    <row r="6" spans="1:22" s="88" customFormat="1" ht="45">
      <c r="A6" s="116"/>
      <c r="B6" s="203" t="s">
        <v>403</v>
      </c>
      <c r="C6" s="20" t="s">
        <v>405</v>
      </c>
      <c r="D6" s="29" t="s">
        <v>88</v>
      </c>
      <c r="E6" s="19"/>
      <c r="F6" s="19"/>
      <c r="G6" s="19"/>
      <c r="H6" s="78">
        <v>10</v>
      </c>
      <c r="I6" s="78">
        <f>IF(Tabel14[[#This Row],[Standaardfunctionaliteit, operationeel aanwezig bij inschrijving]]="Ja",Tabel14[[#This Row],[Max.score]],0)</f>
        <v>0</v>
      </c>
      <c r="J6" s="23">
        <f>IF(Tabel14[[#This Row],[Roadmap-functionaliteit, operationeel aanwezig bij Go-Live datum]]="Ja",Tabel14[[#This Row],[Max.score]]/2,0)</f>
        <v>0</v>
      </c>
      <c r="K6" s="19">
        <f t="shared" si="0"/>
        <v>0</v>
      </c>
      <c r="L6"/>
      <c r="M6"/>
      <c r="N6"/>
      <c r="O6"/>
      <c r="P6"/>
      <c r="Q6"/>
      <c r="R6" s="30"/>
      <c r="S6" s="30"/>
      <c r="T6" s="30"/>
      <c r="U6" s="30"/>
      <c r="V6" s="30"/>
    </row>
    <row r="7" spans="1:22" s="88" customFormat="1" ht="30">
      <c r="A7" s="116"/>
      <c r="B7" s="134" t="s">
        <v>404</v>
      </c>
      <c r="C7" s="20" t="s">
        <v>407</v>
      </c>
      <c r="D7" s="29" t="s">
        <v>88</v>
      </c>
      <c r="E7" s="19"/>
      <c r="F7" s="19"/>
      <c r="G7" s="19"/>
      <c r="H7" s="78">
        <v>20</v>
      </c>
      <c r="I7" s="78">
        <f>IF(Tabel14[[#This Row],[Standaardfunctionaliteit, operationeel aanwezig bij inschrijving]]="Ja",Tabel14[[#This Row],[Max.score]],0)</f>
        <v>0</v>
      </c>
      <c r="J7" s="23">
        <f>IF(Tabel14[[#This Row],[Roadmap-functionaliteit, operationeel aanwezig bij Go-Live datum]]="Ja",Tabel14[[#This Row],[Max.score]]/2,0)</f>
        <v>0</v>
      </c>
      <c r="K7" s="19">
        <f t="shared" si="0"/>
        <v>0</v>
      </c>
      <c r="L7"/>
      <c r="M7"/>
      <c r="N7"/>
      <c r="O7"/>
      <c r="P7"/>
      <c r="Q7"/>
      <c r="R7" s="30"/>
      <c r="S7" s="30"/>
      <c r="T7" s="30"/>
      <c r="U7" s="30"/>
      <c r="V7" s="30"/>
    </row>
    <row r="8" spans="1:22" s="88" customFormat="1" ht="30">
      <c r="A8" s="116"/>
      <c r="B8" s="203" t="s">
        <v>406</v>
      </c>
      <c r="C8" s="20" t="s">
        <v>409</v>
      </c>
      <c r="D8" s="29" t="s">
        <v>88</v>
      </c>
      <c r="E8" s="19"/>
      <c r="F8" s="19"/>
      <c r="G8" s="19"/>
      <c r="H8" s="78">
        <v>10</v>
      </c>
      <c r="I8" s="78">
        <f>IF(Tabel14[[#This Row],[Standaardfunctionaliteit, operationeel aanwezig bij inschrijving]]="Ja",Tabel14[[#This Row],[Max.score]],0)</f>
        <v>0</v>
      </c>
      <c r="J8" s="23">
        <f>IF(Tabel14[[#This Row],[Roadmap-functionaliteit, operationeel aanwezig bij Go-Live datum]]="Ja",Tabel14[[#This Row],[Max.score]]/2,0)</f>
        <v>0</v>
      </c>
      <c r="K8" s="19">
        <f t="shared" si="0"/>
        <v>0</v>
      </c>
      <c r="L8"/>
      <c r="M8"/>
      <c r="N8"/>
      <c r="O8"/>
      <c r="P8"/>
      <c r="Q8"/>
      <c r="R8" s="30"/>
      <c r="S8" s="30"/>
      <c r="T8" s="30"/>
      <c r="U8" s="30"/>
      <c r="V8" s="30"/>
    </row>
    <row r="9" spans="1:22" s="88" customFormat="1" ht="30">
      <c r="A9" s="116"/>
      <c r="B9" s="134" t="s">
        <v>408</v>
      </c>
      <c r="C9" s="20" t="s">
        <v>411</v>
      </c>
      <c r="D9" s="29" t="s">
        <v>88</v>
      </c>
      <c r="E9" s="19"/>
      <c r="F9" s="19"/>
      <c r="G9" s="19"/>
      <c r="H9" s="78">
        <v>10</v>
      </c>
      <c r="I9" s="78">
        <f>IF(Tabel14[[#This Row],[Standaardfunctionaliteit, operationeel aanwezig bij inschrijving]]="Ja",Tabel14[[#This Row],[Max.score]],0)</f>
        <v>0</v>
      </c>
      <c r="J9" s="23">
        <f>IF(Tabel14[[#This Row],[Roadmap-functionaliteit, operationeel aanwezig bij Go-Live datum]]="Ja",Tabel14[[#This Row],[Max.score]]/2,0)</f>
        <v>0</v>
      </c>
      <c r="K9" s="19">
        <f t="shared" si="0"/>
        <v>0</v>
      </c>
      <c r="L9"/>
      <c r="M9"/>
      <c r="N9"/>
      <c r="O9"/>
      <c r="P9"/>
      <c r="Q9"/>
      <c r="R9" s="30"/>
      <c r="S9" s="30"/>
      <c r="T9" s="30"/>
      <c r="U9" s="30"/>
      <c r="V9" s="30"/>
    </row>
    <row r="10" spans="1:22" s="88" customFormat="1" ht="30">
      <c r="A10" s="116"/>
      <c r="B10" s="203" t="s">
        <v>410</v>
      </c>
      <c r="C10" s="20" t="s">
        <v>413</v>
      </c>
      <c r="D10" s="29" t="s">
        <v>88</v>
      </c>
      <c r="E10" s="19"/>
      <c r="F10" s="19"/>
      <c r="G10" s="19"/>
      <c r="H10" s="78">
        <v>10</v>
      </c>
      <c r="I10" s="78">
        <f>IF(Tabel14[[#This Row],[Standaardfunctionaliteit, operationeel aanwezig bij inschrijving]]="Ja",Tabel14[[#This Row],[Max.score]],0)</f>
        <v>0</v>
      </c>
      <c r="J10" s="23">
        <f>IF(Tabel14[[#This Row],[Roadmap-functionaliteit, operationeel aanwezig bij Go-Live datum]]="Ja",Tabel14[[#This Row],[Max.score]]/2,0)</f>
        <v>0</v>
      </c>
      <c r="K10" s="19">
        <f t="shared" si="0"/>
        <v>0</v>
      </c>
      <c r="L10"/>
      <c r="M10"/>
      <c r="N10"/>
      <c r="O10"/>
      <c r="P10"/>
      <c r="Q10"/>
      <c r="R10" s="30"/>
      <c r="S10" s="30"/>
      <c r="T10" s="30"/>
      <c r="U10" s="30"/>
      <c r="V10" s="30"/>
    </row>
    <row r="11" spans="1:22" s="88" customFormat="1" ht="30">
      <c r="A11" s="116"/>
      <c r="B11" s="134" t="s">
        <v>412</v>
      </c>
      <c r="C11" s="20" t="s">
        <v>415</v>
      </c>
      <c r="D11" s="29" t="s">
        <v>88</v>
      </c>
      <c r="E11" s="19"/>
      <c r="F11" s="19"/>
      <c r="G11" s="19"/>
      <c r="H11" s="78">
        <v>10</v>
      </c>
      <c r="I11" s="78">
        <f>IF(Tabel14[[#This Row],[Standaardfunctionaliteit, operationeel aanwezig bij inschrijving]]="Ja",Tabel14[[#This Row],[Max.score]],0)</f>
        <v>0</v>
      </c>
      <c r="J11" s="23">
        <f>IF(Tabel14[[#This Row],[Roadmap-functionaliteit, operationeel aanwezig bij Go-Live datum]]="Ja",Tabel14[[#This Row],[Max.score]]/2,0)</f>
        <v>0</v>
      </c>
      <c r="K11" s="19">
        <f t="shared" si="0"/>
        <v>0</v>
      </c>
      <c r="L11"/>
      <c r="M11"/>
      <c r="N11"/>
      <c r="O11"/>
      <c r="P11"/>
      <c r="Q11"/>
      <c r="R11" s="30"/>
      <c r="S11" s="30"/>
      <c r="T11" s="30"/>
      <c r="U11" s="30"/>
      <c r="V11" s="30"/>
    </row>
    <row r="12" spans="1:22" s="88" customFormat="1" ht="30">
      <c r="A12" s="117"/>
      <c r="B12" s="203" t="s">
        <v>414</v>
      </c>
      <c r="C12" s="20" t="s">
        <v>417</v>
      </c>
      <c r="D12" s="29" t="s">
        <v>88</v>
      </c>
      <c r="E12" s="19"/>
      <c r="F12" s="19"/>
      <c r="G12" s="19"/>
      <c r="H12" s="78">
        <v>20</v>
      </c>
      <c r="I12" s="78">
        <f>IF(Tabel14[[#This Row],[Standaardfunctionaliteit, operationeel aanwezig bij inschrijving]]="Ja",Tabel14[[#This Row],[Max.score]],0)</f>
        <v>0</v>
      </c>
      <c r="J12" s="23">
        <f>IF(Tabel14[[#This Row],[Roadmap-functionaliteit, operationeel aanwezig bij Go-Live datum]]="Ja",Tabel14[[#This Row],[Max.score]]/2,0)</f>
        <v>0</v>
      </c>
      <c r="K12" s="19">
        <f t="shared" si="0"/>
        <v>0</v>
      </c>
      <c r="L12"/>
      <c r="M12"/>
      <c r="N12"/>
      <c r="O12"/>
      <c r="P12"/>
      <c r="Q12"/>
      <c r="R12" s="30"/>
      <c r="S12" s="30"/>
      <c r="T12" s="30"/>
      <c r="U12" s="30"/>
      <c r="V12" s="30"/>
    </row>
    <row r="13" spans="1:22" s="88" customFormat="1" ht="30">
      <c r="A13" s="116"/>
      <c r="B13" s="134" t="s">
        <v>416</v>
      </c>
      <c r="C13" s="20" t="s">
        <v>419</v>
      </c>
      <c r="D13" s="53" t="s">
        <v>68</v>
      </c>
      <c r="E13" s="19"/>
      <c r="F13" s="19"/>
      <c r="G13" s="19"/>
      <c r="H13" s="78"/>
      <c r="I13" s="78"/>
      <c r="J13" s="23"/>
      <c r="K13" s="19">
        <f t="shared" si="0"/>
        <v>0</v>
      </c>
      <c r="L13"/>
      <c r="M13"/>
      <c r="N13"/>
      <c r="O13"/>
      <c r="P13"/>
      <c r="Q13"/>
      <c r="R13" s="30"/>
      <c r="S13" s="30"/>
      <c r="T13" s="30"/>
      <c r="U13" s="30"/>
      <c r="V13" s="30"/>
    </row>
    <row r="14" spans="1:22" s="88" customFormat="1" ht="75">
      <c r="A14" s="116"/>
      <c r="B14" s="203" t="s">
        <v>418</v>
      </c>
      <c r="C14" s="20" t="s">
        <v>421</v>
      </c>
      <c r="D14" s="53" t="s">
        <v>68</v>
      </c>
      <c r="E14" s="19"/>
      <c r="F14" s="152"/>
      <c r="G14" s="152"/>
      <c r="H14" s="78"/>
      <c r="I14" s="78"/>
      <c r="J14" s="23"/>
      <c r="K14" s="19">
        <f t="shared" si="0"/>
        <v>0</v>
      </c>
      <c r="L14"/>
      <c r="M14"/>
      <c r="N14"/>
      <c r="O14"/>
      <c r="P14"/>
      <c r="Q14"/>
      <c r="R14" s="30"/>
      <c r="S14" s="30"/>
      <c r="T14" s="30"/>
      <c r="U14" s="30"/>
      <c r="V14" s="30"/>
    </row>
    <row r="15" spans="1:22" s="88" customFormat="1" ht="30">
      <c r="A15" s="116"/>
      <c r="B15" s="134" t="s">
        <v>420</v>
      </c>
      <c r="C15" s="20" t="s">
        <v>423</v>
      </c>
      <c r="D15" s="29" t="s">
        <v>88</v>
      </c>
      <c r="E15" s="19"/>
      <c r="F15" s="19"/>
      <c r="G15" s="19"/>
      <c r="H15" s="78">
        <v>10</v>
      </c>
      <c r="I15" s="78">
        <f>IF(Tabel14[[#This Row],[Standaardfunctionaliteit, operationeel aanwezig bij inschrijving]]="Ja",Tabel14[[#This Row],[Max.score]],0)</f>
        <v>0</v>
      </c>
      <c r="J15" s="23">
        <f>IF(Tabel14[[#This Row],[Roadmap-functionaliteit, operationeel aanwezig bij Go-Live datum]]="Ja",Tabel14[[#This Row],[Max.score]]/2,0)</f>
        <v>0</v>
      </c>
      <c r="K15" s="19">
        <f t="shared" si="0"/>
        <v>0</v>
      </c>
      <c r="L15"/>
      <c r="M15"/>
      <c r="N15"/>
      <c r="O15"/>
      <c r="P15"/>
      <c r="Q15"/>
      <c r="R15" s="30"/>
      <c r="S15" s="30"/>
      <c r="T15" s="30"/>
      <c r="U15" s="30"/>
      <c r="V15" s="30"/>
    </row>
    <row r="16" spans="1:22" s="88" customFormat="1" ht="30">
      <c r="A16" s="117"/>
      <c r="B16" s="203" t="s">
        <v>422</v>
      </c>
      <c r="C16" s="20" t="s">
        <v>425</v>
      </c>
      <c r="D16" s="29" t="s">
        <v>88</v>
      </c>
      <c r="E16" s="19"/>
      <c r="F16" s="19"/>
      <c r="G16" s="19"/>
      <c r="H16" s="78">
        <v>10</v>
      </c>
      <c r="I16" s="78">
        <f>IF(Tabel14[[#This Row],[Standaardfunctionaliteit, operationeel aanwezig bij inschrijving]]="Ja",Tabel14[[#This Row],[Max.score]],0)</f>
        <v>0</v>
      </c>
      <c r="J16" s="23">
        <f>IF(Tabel14[[#This Row],[Roadmap-functionaliteit, operationeel aanwezig bij Go-Live datum]]="Ja",Tabel14[[#This Row],[Max.score]]/2,0)</f>
        <v>0</v>
      </c>
      <c r="K16" s="19">
        <f t="shared" si="0"/>
        <v>0</v>
      </c>
      <c r="L16"/>
      <c r="M16"/>
      <c r="N16"/>
      <c r="O16"/>
      <c r="P16"/>
      <c r="Q16"/>
      <c r="R16" s="30"/>
      <c r="S16" s="30"/>
      <c r="T16" s="30"/>
      <c r="U16" s="30"/>
      <c r="V16" s="30"/>
    </row>
    <row r="17" spans="1:22" s="88" customFormat="1" ht="21">
      <c r="A17" s="117"/>
      <c r="B17" s="134" t="s">
        <v>424</v>
      </c>
      <c r="C17" s="20" t="s">
        <v>427</v>
      </c>
      <c r="D17" s="29" t="s">
        <v>68</v>
      </c>
      <c r="E17" s="19"/>
      <c r="F17" s="19"/>
      <c r="G17" s="19"/>
      <c r="H17" s="78"/>
      <c r="I17" s="78"/>
      <c r="J17" s="23"/>
      <c r="K17" s="19">
        <f t="shared" si="0"/>
        <v>0</v>
      </c>
      <c r="L17"/>
      <c r="M17"/>
      <c r="N17"/>
      <c r="O17"/>
      <c r="P17"/>
      <c r="Q17"/>
      <c r="R17" s="30"/>
      <c r="S17" s="30"/>
      <c r="T17" s="30"/>
      <c r="U17" s="30"/>
      <c r="V17" s="30"/>
    </row>
    <row r="18" spans="1:22" s="88" customFormat="1" ht="30">
      <c r="A18" s="116"/>
      <c r="B18" s="203" t="s">
        <v>426</v>
      </c>
      <c r="C18" s="20" t="s">
        <v>429</v>
      </c>
      <c r="D18" s="29" t="s">
        <v>88</v>
      </c>
      <c r="E18" s="19"/>
      <c r="F18" s="19"/>
      <c r="G18" s="19"/>
      <c r="H18" s="78">
        <v>10</v>
      </c>
      <c r="I18" s="78">
        <f>IF(Tabel14[[#This Row],[Standaardfunctionaliteit, operationeel aanwezig bij inschrijving]]="Ja",Tabel14[[#This Row],[Max.score]],0)</f>
        <v>0</v>
      </c>
      <c r="J18" s="23">
        <f>IF(Tabel14[[#This Row],[Roadmap-functionaliteit, operationeel aanwezig bij Go-Live datum]]="Ja",Tabel14[[#This Row],[Max.score]]/2,0)</f>
        <v>0</v>
      </c>
      <c r="K18" s="19">
        <f t="shared" si="0"/>
        <v>0</v>
      </c>
      <c r="L18"/>
      <c r="M18"/>
      <c r="N18"/>
      <c r="O18"/>
      <c r="P18"/>
      <c r="Q18"/>
      <c r="R18" s="30"/>
      <c r="S18" s="30"/>
      <c r="T18" s="30"/>
      <c r="U18" s="30"/>
      <c r="V18" s="30"/>
    </row>
    <row r="19" spans="1:22" s="88" customFormat="1" ht="30">
      <c r="A19" s="116"/>
      <c r="B19" s="134" t="s">
        <v>428</v>
      </c>
      <c r="C19" s="20" t="s">
        <v>431</v>
      </c>
      <c r="D19" s="29" t="s">
        <v>88</v>
      </c>
      <c r="E19" s="19"/>
      <c r="F19" s="19"/>
      <c r="G19" s="19"/>
      <c r="H19" s="78">
        <v>10</v>
      </c>
      <c r="I19" s="78">
        <f>IF(Tabel14[[#This Row],[Standaardfunctionaliteit, operationeel aanwezig bij inschrijving]]="Ja",Tabel14[[#This Row],[Max.score]],0)</f>
        <v>0</v>
      </c>
      <c r="J19" s="23">
        <f>IF(Tabel14[[#This Row],[Roadmap-functionaliteit, operationeel aanwezig bij Go-Live datum]]="Ja",Tabel14[[#This Row],[Max.score]]/2,0)</f>
        <v>0</v>
      </c>
      <c r="K19" s="19">
        <f t="shared" si="0"/>
        <v>0</v>
      </c>
      <c r="L19"/>
      <c r="M19"/>
      <c r="N19"/>
      <c r="O19"/>
      <c r="P19"/>
      <c r="Q19"/>
      <c r="R19" s="30"/>
      <c r="S19" s="30"/>
      <c r="T19" s="30"/>
      <c r="U19" s="30"/>
      <c r="V19" s="30"/>
    </row>
    <row r="20" spans="1:22" s="88" customFormat="1" ht="30">
      <c r="A20" s="116"/>
      <c r="B20" s="203" t="s">
        <v>430</v>
      </c>
      <c r="C20" s="20" t="s">
        <v>433</v>
      </c>
      <c r="D20" s="29" t="s">
        <v>88</v>
      </c>
      <c r="E20" s="19"/>
      <c r="F20" s="19"/>
      <c r="G20" s="19"/>
      <c r="H20" s="78">
        <v>10</v>
      </c>
      <c r="I20" s="78">
        <f>IF(Tabel14[[#This Row],[Standaardfunctionaliteit, operationeel aanwezig bij inschrijving]]="Ja",Tabel14[[#This Row],[Max.score]],0)</f>
        <v>0</v>
      </c>
      <c r="J20" s="23">
        <f>IF(Tabel14[[#This Row],[Roadmap-functionaliteit, operationeel aanwezig bij Go-Live datum]]="Ja",Tabel14[[#This Row],[Max.score]]/2,0)</f>
        <v>0</v>
      </c>
      <c r="K20" s="19">
        <f t="shared" si="0"/>
        <v>0</v>
      </c>
      <c r="L20"/>
      <c r="M20"/>
      <c r="N20"/>
      <c r="O20"/>
      <c r="P20"/>
      <c r="Q20"/>
      <c r="R20" s="30"/>
      <c r="S20" s="30"/>
      <c r="T20" s="30"/>
      <c r="U20" s="30"/>
      <c r="V20" s="30"/>
    </row>
    <row r="21" spans="1:22" s="88" customFormat="1" ht="45">
      <c r="A21" s="116"/>
      <c r="B21" s="134" t="s">
        <v>432</v>
      </c>
      <c r="C21" s="20" t="s">
        <v>435</v>
      </c>
      <c r="D21" s="53" t="s">
        <v>68</v>
      </c>
      <c r="E21" s="19"/>
      <c r="F21" s="152"/>
      <c r="G21" s="152"/>
      <c r="H21" s="78"/>
      <c r="I21" s="78"/>
      <c r="J21" s="23"/>
      <c r="K21" s="19">
        <f t="shared" si="0"/>
        <v>0</v>
      </c>
      <c r="L21"/>
      <c r="M21"/>
      <c r="N21"/>
      <c r="O21"/>
      <c r="P21"/>
      <c r="Q21"/>
      <c r="R21" s="30"/>
      <c r="S21" s="30"/>
      <c r="T21" s="30"/>
      <c r="U21" s="30"/>
      <c r="V21" s="30"/>
    </row>
    <row r="22" spans="1:22" s="88" customFormat="1" ht="30">
      <c r="A22" s="116"/>
      <c r="B22" s="203" t="s">
        <v>434</v>
      </c>
      <c r="C22" s="20" t="s">
        <v>437</v>
      </c>
      <c r="D22" s="53" t="s">
        <v>68</v>
      </c>
      <c r="E22" s="19"/>
      <c r="F22" s="152"/>
      <c r="G22" s="152"/>
      <c r="H22" s="78"/>
      <c r="I22" s="78"/>
      <c r="J22" s="23"/>
      <c r="K22" s="19">
        <f t="shared" si="0"/>
        <v>0</v>
      </c>
      <c r="L22"/>
      <c r="M22"/>
      <c r="N22"/>
      <c r="O22"/>
      <c r="P22"/>
      <c r="Q22"/>
      <c r="R22" s="30"/>
      <c r="S22" s="30"/>
      <c r="T22" s="30"/>
      <c r="U22" s="30"/>
      <c r="V22" s="30"/>
    </row>
    <row r="23" spans="1:22" s="88" customFormat="1" ht="45">
      <c r="A23" s="116"/>
      <c r="B23" s="134" t="s">
        <v>436</v>
      </c>
      <c r="C23" s="20" t="s">
        <v>439</v>
      </c>
      <c r="D23" s="53" t="s">
        <v>68</v>
      </c>
      <c r="E23" s="19"/>
      <c r="F23" s="152"/>
      <c r="G23" s="152"/>
      <c r="H23" s="78"/>
      <c r="I23" s="78"/>
      <c r="J23" s="23"/>
      <c r="K23" s="19">
        <f t="shared" si="0"/>
        <v>0</v>
      </c>
      <c r="L23"/>
      <c r="M23"/>
      <c r="N23"/>
      <c r="O23"/>
      <c r="P23"/>
      <c r="Q23"/>
      <c r="R23" s="30"/>
      <c r="S23" s="30"/>
      <c r="T23" s="30"/>
      <c r="U23" s="30"/>
      <c r="V23" s="30"/>
    </row>
    <row r="24" spans="1:22" s="88" customFormat="1" ht="45">
      <c r="A24" s="116"/>
      <c r="B24" s="203" t="s">
        <v>438</v>
      </c>
      <c r="C24" s="20" t="s">
        <v>440</v>
      </c>
      <c r="D24" s="53" t="s">
        <v>68</v>
      </c>
      <c r="E24" s="19"/>
      <c r="F24" s="152"/>
      <c r="G24" s="152"/>
      <c r="H24" s="78"/>
      <c r="I24" s="78"/>
      <c r="J24" s="23"/>
      <c r="K24" s="19">
        <f t="shared" si="0"/>
        <v>0</v>
      </c>
      <c r="L24"/>
      <c r="M24"/>
      <c r="N24"/>
      <c r="O24"/>
      <c r="P24"/>
      <c r="Q24"/>
      <c r="R24" s="30"/>
      <c r="S24" s="30"/>
      <c r="T24" s="30"/>
      <c r="U24" s="30"/>
      <c r="V24" s="30"/>
    </row>
    <row r="25" spans="1:22">
      <c r="A25" s="50"/>
      <c r="B25" s="112"/>
      <c r="C25" s="22" t="s">
        <v>179</v>
      </c>
      <c r="D25" s="55">
        <f>COUNTIF(D5:D24,"Wens")</f>
        <v>13</v>
      </c>
      <c r="E25" s="53"/>
      <c r="F25" s="55"/>
      <c r="G25" s="55"/>
      <c r="H25" s="55"/>
      <c r="I25" s="55"/>
      <c r="J25" s="55"/>
      <c r="K25" s="19">
        <f t="shared" si="0"/>
        <v>0</v>
      </c>
    </row>
    <row r="26" spans="1:22">
      <c r="B26" s="231"/>
      <c r="C26" s="143" t="s">
        <v>180</v>
      </c>
      <c r="D26" s="232">
        <f>COUNTIF(D5:D24,"Eis")</f>
        <v>7</v>
      </c>
      <c r="E26" s="233"/>
      <c r="F26" s="233"/>
      <c r="G26" s="232" t="s">
        <v>119</v>
      </c>
      <c r="H26" s="234">
        <f>SUM(Tabel14[Max.score])</f>
        <v>150</v>
      </c>
      <c r="I26" s="234">
        <f>SUM(Tabel14[Toegekende score met standaard-functionaliteit])</f>
        <v>0</v>
      </c>
      <c r="J26" s="234">
        <f>SUM(Tabel14[Toegekende score met Roadmap-functionaliteit])</f>
        <v>0</v>
      </c>
      <c r="K26" s="19">
        <f t="shared" si="0"/>
        <v>1</v>
      </c>
    </row>
  </sheetData>
  <sheetProtection algorithmName="SHA-512" hashValue="37Klf/CsbAj4SnVn0LBHBlV7MNHrzB05CbcTg9BRKPNSA5PKiVDBMwe2RQtdCBOZWr87Gsnn/TxBaN+LSJASWA==" saltValue="vuBBB03h5/AKw1+b2gQVHg==" spinCount="100000" sheet="1" objects="1" scenarios="1"/>
  <protectedRanges>
    <protectedRange sqref="E5:G12 E13 E14 E15 F15 G15 G16 F16 E16 E17 E18 E19 E20 F20 F19 F18 G18 G19 G20 E21 E22 E23 E24" name="Invoer 8HR1"/>
  </protectedRanges>
  <phoneticPr fontId="20" type="noConversion"/>
  <conditionalFormatting sqref="K2 K4:K26">
    <cfRule type="cellIs" dxfId="153" priority="1" operator="greaterThan">
      <formula>1</formula>
    </cfRule>
    <cfRule type="cellIs" dxfId="152" priority="2" operator="greaterThan">
      <formula>1</formula>
    </cfRule>
    <cfRule type="cellIs" dxfId="151" priority="3" operator="lessThanOrEqual">
      <formula>1</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5219B0B2-75AE-4BDD-96A7-985240D541DA}">
          <x14:formula1>
            <xm:f>Blad1!$B$2:$B$3</xm:f>
          </x14:formula1>
          <xm:sqref>F15:G20 E5:E24 F5:G13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A65D9-57F2-4FB5-9579-08C99308D015}">
  <sheetPr>
    <tabColor theme="9" tint="0.59999389629810485"/>
  </sheetPr>
  <dimension ref="A1:V25"/>
  <sheetViews>
    <sheetView topLeftCell="B1" workbookViewId="0">
      <selection activeCell="E18" sqref="E5:E18"/>
    </sheetView>
  </sheetViews>
  <sheetFormatPr defaultColWidth="9.140625" defaultRowHeight="15"/>
  <cols>
    <col min="1" max="1" width="9.7109375" style="30" customWidth="1"/>
    <col min="2" max="2" width="9.42578125" style="30" customWidth="1"/>
    <col min="3" max="3" width="67" style="30" customWidth="1"/>
    <col min="4" max="4" width="11.42578125" style="49" customWidth="1"/>
    <col min="5" max="5" width="25.42578125" style="49" customWidth="1"/>
    <col min="6" max="6" width="22.85546875" style="49" customWidth="1"/>
    <col min="7" max="7" width="21.42578125" style="49" customWidth="1"/>
    <col min="8" max="8" width="12.7109375" style="49" customWidth="1"/>
    <col min="9" max="9" width="14.28515625" style="49" customWidth="1"/>
    <col min="10" max="10" width="19.28515625" style="49" customWidth="1"/>
    <col min="11" max="11" width="2.85546875" style="30" customWidth="1"/>
    <col min="12" max="16384" width="9.140625" style="30"/>
  </cols>
  <sheetData>
    <row r="1" spans="1:22" s="46" customFormat="1" ht="19.5" thickBot="1">
      <c r="B1" s="388" t="s">
        <v>46</v>
      </c>
      <c r="C1" s="388" t="s">
        <v>47</v>
      </c>
      <c r="D1" s="388" t="s">
        <v>48</v>
      </c>
      <c r="E1" s="388" t="s">
        <v>49</v>
      </c>
      <c r="F1" s="388" t="s">
        <v>50</v>
      </c>
      <c r="G1" s="388" t="s">
        <v>51</v>
      </c>
      <c r="H1" s="388" t="s">
        <v>52</v>
      </c>
      <c r="I1" s="388" t="s">
        <v>53</v>
      </c>
      <c r="J1" s="388" t="s">
        <v>54</v>
      </c>
    </row>
    <row r="2" spans="1:22">
      <c r="B2" s="164"/>
      <c r="C2" s="282" t="s">
        <v>441</v>
      </c>
      <c r="D2" s="164"/>
      <c r="E2" s="164"/>
      <c r="F2" s="165"/>
      <c r="G2" s="165"/>
      <c r="H2" s="165"/>
      <c r="I2" s="165"/>
      <c r="J2" s="165"/>
      <c r="K2" s="19">
        <f t="shared" ref="K2:K20" si="0">COUNTA(E2:G2)</f>
        <v>0</v>
      </c>
    </row>
    <row r="3" spans="1:22" s="49" customFormat="1" ht="60">
      <c r="A3" s="76"/>
      <c r="B3" s="120" t="s">
        <v>57</v>
      </c>
      <c r="C3" s="77" t="s">
        <v>58</v>
      </c>
      <c r="D3" s="236" t="s">
        <v>121</v>
      </c>
      <c r="E3" s="236" t="s">
        <v>60</v>
      </c>
      <c r="F3" s="236" t="s">
        <v>61</v>
      </c>
      <c r="G3" s="51" t="s">
        <v>62</v>
      </c>
      <c r="H3" s="237" t="s">
        <v>63</v>
      </c>
      <c r="I3" s="236" t="s">
        <v>64</v>
      </c>
      <c r="J3" s="238" t="s">
        <v>65</v>
      </c>
    </row>
    <row r="4" spans="1:22" s="88" customFormat="1" ht="21">
      <c r="A4" s="116"/>
      <c r="B4" s="303"/>
      <c r="C4" s="144" t="s">
        <v>442</v>
      </c>
      <c r="D4" s="144"/>
      <c r="E4" s="144"/>
      <c r="F4" s="144"/>
      <c r="G4" s="144"/>
      <c r="H4" s="144"/>
      <c r="I4" s="144"/>
      <c r="J4" s="144"/>
      <c r="K4" s="19">
        <f t="shared" si="0"/>
        <v>0</v>
      </c>
      <c r="L4"/>
      <c r="M4"/>
      <c r="N4"/>
      <c r="O4"/>
      <c r="P4"/>
      <c r="Q4"/>
      <c r="R4" s="30"/>
      <c r="S4" s="30"/>
      <c r="T4" s="30"/>
      <c r="U4" s="30"/>
      <c r="V4" s="30"/>
    </row>
    <row r="5" spans="1:22" s="88" customFormat="1" ht="45">
      <c r="A5" s="116"/>
      <c r="B5" s="239" t="s">
        <v>443</v>
      </c>
      <c r="C5" s="133" t="s">
        <v>444</v>
      </c>
      <c r="D5" s="53" t="s">
        <v>68</v>
      </c>
      <c r="E5" s="19"/>
      <c r="F5" s="152"/>
      <c r="G5" s="152"/>
      <c r="H5" s="78"/>
      <c r="I5" s="78"/>
      <c r="J5" s="139"/>
      <c r="K5" s="19">
        <f t="shared" si="0"/>
        <v>0</v>
      </c>
      <c r="L5" s="91"/>
      <c r="M5" s="91"/>
      <c r="N5" s="91"/>
      <c r="O5" s="91"/>
      <c r="P5" s="91"/>
      <c r="Q5" s="91"/>
      <c r="R5" s="30"/>
      <c r="S5" s="30"/>
      <c r="T5" s="30"/>
      <c r="U5" s="30"/>
      <c r="V5" s="30"/>
    </row>
    <row r="6" spans="1:22" s="88" customFormat="1" ht="90">
      <c r="A6" s="116"/>
      <c r="B6" s="239" t="s">
        <v>445</v>
      </c>
      <c r="C6" s="133" t="s">
        <v>446</v>
      </c>
      <c r="D6" s="53" t="s">
        <v>68</v>
      </c>
      <c r="E6" s="19"/>
      <c r="F6" s="152"/>
      <c r="G6" s="152"/>
      <c r="H6" s="78"/>
      <c r="I6" s="78"/>
      <c r="J6" s="139"/>
      <c r="K6" s="19">
        <f t="shared" si="0"/>
        <v>0</v>
      </c>
      <c r="L6" s="91"/>
      <c r="M6" s="91"/>
      <c r="N6" s="91"/>
      <c r="O6" s="91"/>
      <c r="P6" s="91"/>
      <c r="Q6" s="91"/>
      <c r="R6" s="30"/>
      <c r="S6" s="30"/>
      <c r="T6" s="30"/>
      <c r="U6" s="30"/>
      <c r="V6" s="30"/>
    </row>
    <row r="7" spans="1:22" s="88" customFormat="1" ht="60">
      <c r="A7" s="116"/>
      <c r="B7" s="239" t="s">
        <v>447</v>
      </c>
      <c r="C7" s="133" t="s">
        <v>778</v>
      </c>
      <c r="D7" s="53" t="s">
        <v>68</v>
      </c>
      <c r="E7" s="19"/>
      <c r="F7" s="152"/>
      <c r="G7" s="152"/>
      <c r="H7" s="78"/>
      <c r="I7" s="78"/>
      <c r="J7" s="139"/>
      <c r="K7" s="19">
        <f t="shared" si="0"/>
        <v>0</v>
      </c>
      <c r="L7" s="91"/>
      <c r="M7" s="91"/>
      <c r="N7" s="91"/>
      <c r="O7" s="91"/>
      <c r="P7" s="91"/>
      <c r="Q7" s="91"/>
      <c r="R7" s="30"/>
      <c r="S7" s="30"/>
      <c r="T7" s="30"/>
      <c r="U7" s="30"/>
      <c r="V7" s="30"/>
    </row>
    <row r="8" spans="1:22" s="88" customFormat="1" ht="75">
      <c r="A8" s="116"/>
      <c r="B8" s="239" t="s">
        <v>448</v>
      </c>
      <c r="C8" s="133" t="s">
        <v>779</v>
      </c>
      <c r="D8" s="53" t="s">
        <v>68</v>
      </c>
      <c r="E8" s="19"/>
      <c r="F8" s="152"/>
      <c r="G8" s="152"/>
      <c r="H8" s="78"/>
      <c r="I8" s="78"/>
      <c r="J8" s="139"/>
      <c r="K8" s="19">
        <f t="shared" si="0"/>
        <v>0</v>
      </c>
      <c r="L8" s="91"/>
      <c r="M8" s="91"/>
      <c r="N8" s="91"/>
      <c r="O8" s="91"/>
      <c r="P8" s="91"/>
      <c r="Q8" s="91"/>
      <c r="R8" s="30"/>
      <c r="S8" s="30"/>
      <c r="T8" s="30"/>
      <c r="U8" s="30"/>
      <c r="V8" s="30"/>
    </row>
    <row r="9" spans="1:22" s="88" customFormat="1" ht="60">
      <c r="A9" s="116"/>
      <c r="B9" s="239" t="s">
        <v>449</v>
      </c>
      <c r="C9" s="133" t="s">
        <v>780</v>
      </c>
      <c r="D9" s="53" t="s">
        <v>68</v>
      </c>
      <c r="E9" s="19"/>
      <c r="F9" s="152"/>
      <c r="G9" s="152"/>
      <c r="H9" s="78"/>
      <c r="I9" s="78"/>
      <c r="J9" s="78"/>
      <c r="K9" s="19">
        <f t="shared" si="0"/>
        <v>0</v>
      </c>
      <c r="L9" s="91"/>
      <c r="M9" s="91"/>
      <c r="N9" s="91"/>
      <c r="O9" s="91"/>
      <c r="P9" s="91"/>
      <c r="Q9" s="91"/>
      <c r="R9" s="30"/>
      <c r="S9" s="30"/>
      <c r="T9" s="30"/>
      <c r="U9" s="30"/>
      <c r="V9" s="30"/>
    </row>
    <row r="10" spans="1:22" s="88" customFormat="1" ht="30">
      <c r="A10" s="116"/>
      <c r="B10" s="239" t="s">
        <v>450</v>
      </c>
      <c r="C10" s="133" t="s">
        <v>781</v>
      </c>
      <c r="D10" s="29" t="s">
        <v>88</v>
      </c>
      <c r="E10" s="19"/>
      <c r="F10" s="19"/>
      <c r="G10" s="19"/>
      <c r="H10" s="78">
        <v>10</v>
      </c>
      <c r="I10" s="78">
        <f>IF(Tabel1417[[#This Row],[Standaardfunctionaliteit, operationeel aanwezig bij inschrijving]]="Ja",Tabel1417[[#This Row],[Max.score]],0)</f>
        <v>0</v>
      </c>
      <c r="J10" s="78">
        <f>IF(Tabel1417[[#This Row],[Roadmap-functionaliteit, operationeel aanwezig bij Go-Live datum]]="Ja",Tabel1417[[#This Row],[Toegekende score met standaard-functionaliteit]]/2,0)</f>
        <v>0</v>
      </c>
      <c r="K10" s="19">
        <f t="shared" si="0"/>
        <v>0</v>
      </c>
      <c r="L10" s="91"/>
      <c r="M10" s="91"/>
      <c r="N10" s="91"/>
      <c r="O10" s="91"/>
      <c r="P10" s="91"/>
      <c r="Q10" s="91"/>
      <c r="R10" s="30"/>
      <c r="S10" s="30"/>
      <c r="T10" s="30"/>
      <c r="U10" s="30"/>
      <c r="V10" s="30"/>
    </row>
    <row r="11" spans="1:22" s="88" customFormat="1" ht="60">
      <c r="A11" s="116"/>
      <c r="B11" s="239" t="s">
        <v>451</v>
      </c>
      <c r="C11" s="133" t="s">
        <v>782</v>
      </c>
      <c r="D11" s="53" t="s">
        <v>68</v>
      </c>
      <c r="E11" s="19"/>
      <c r="F11" s="152"/>
      <c r="G11" s="152"/>
      <c r="H11" s="78"/>
      <c r="I11" s="78"/>
      <c r="J11" s="78"/>
      <c r="K11" s="19">
        <f t="shared" si="0"/>
        <v>0</v>
      </c>
      <c r="L11" s="91"/>
      <c r="M11" s="91"/>
      <c r="N11" s="91"/>
      <c r="O11" s="91"/>
      <c r="P11" s="91"/>
      <c r="Q11" s="91"/>
      <c r="R11" s="30"/>
      <c r="S11" s="30"/>
      <c r="T11" s="30"/>
      <c r="U11" s="30"/>
      <c r="V11" s="30"/>
    </row>
    <row r="12" spans="1:22" s="88" customFormat="1" ht="45">
      <c r="A12" s="116"/>
      <c r="B12" s="239" t="s">
        <v>452</v>
      </c>
      <c r="C12" s="133" t="s">
        <v>453</v>
      </c>
      <c r="D12" s="53" t="s">
        <v>68</v>
      </c>
      <c r="E12" s="19"/>
      <c r="F12" s="152"/>
      <c r="G12" s="152"/>
      <c r="H12" s="78"/>
      <c r="I12" s="78"/>
      <c r="J12" s="78"/>
      <c r="K12" s="19">
        <f t="shared" si="0"/>
        <v>0</v>
      </c>
      <c r="L12"/>
      <c r="M12"/>
      <c r="N12"/>
      <c r="O12"/>
      <c r="P12"/>
      <c r="Q12"/>
      <c r="R12" s="30"/>
      <c r="S12" s="30"/>
      <c r="T12" s="30"/>
      <c r="U12" s="30"/>
      <c r="V12" s="30"/>
    </row>
    <row r="13" spans="1:22" s="88" customFormat="1" ht="30">
      <c r="A13" s="116"/>
      <c r="B13" s="239" t="s">
        <v>454</v>
      </c>
      <c r="C13" s="133" t="s">
        <v>455</v>
      </c>
      <c r="D13" s="53" t="s">
        <v>68</v>
      </c>
      <c r="E13" s="19"/>
      <c r="F13" s="152"/>
      <c r="G13" s="152"/>
      <c r="H13" s="78"/>
      <c r="I13" s="78"/>
      <c r="J13" s="78"/>
      <c r="K13" s="19">
        <f t="shared" si="0"/>
        <v>0</v>
      </c>
      <c r="L13"/>
      <c r="M13"/>
      <c r="N13"/>
      <c r="O13"/>
      <c r="P13"/>
      <c r="Q13"/>
      <c r="R13" s="30"/>
      <c r="S13" s="30"/>
      <c r="T13" s="30"/>
      <c r="U13" s="30"/>
      <c r="V13" s="30"/>
    </row>
    <row r="14" spans="1:22" s="88" customFormat="1" ht="30">
      <c r="A14" s="116"/>
      <c r="B14" s="239" t="s">
        <v>456</v>
      </c>
      <c r="C14" s="127" t="s">
        <v>777</v>
      </c>
      <c r="D14" s="29" t="s">
        <v>88</v>
      </c>
      <c r="E14" s="19"/>
      <c r="F14" s="19"/>
      <c r="G14" s="19"/>
      <c r="H14" s="78">
        <v>10</v>
      </c>
      <c r="I14" s="78">
        <f>IF(Tabel1417[[#This Row],[Standaardfunctionaliteit, operationeel aanwezig bij inschrijving]]="Ja",Tabel1417[[#This Row],[Max.score]],0)</f>
        <v>0</v>
      </c>
      <c r="J14" s="78">
        <f>IF(Tabel1417[[#This Row],[Roadmap-functionaliteit, operationeel aanwezig bij Go-Live datum]]="Ja",Tabel1417[[#This Row],[Toegekende score met standaard-functionaliteit]]/2,0)</f>
        <v>0</v>
      </c>
      <c r="K14" s="19">
        <f t="shared" si="0"/>
        <v>0</v>
      </c>
      <c r="L14"/>
      <c r="M14"/>
      <c r="N14"/>
      <c r="O14"/>
      <c r="P14"/>
      <c r="Q14"/>
      <c r="R14" s="30"/>
      <c r="S14" s="30"/>
      <c r="T14" s="30"/>
      <c r="U14" s="30"/>
      <c r="V14" s="30"/>
    </row>
    <row r="15" spans="1:22" s="88" customFormat="1" ht="60">
      <c r="A15" s="116"/>
      <c r="B15" s="239" t="s">
        <v>457</v>
      </c>
      <c r="C15" s="133" t="s">
        <v>458</v>
      </c>
      <c r="D15" s="29" t="s">
        <v>88</v>
      </c>
      <c r="E15" s="19"/>
      <c r="F15" s="19"/>
      <c r="G15" s="19"/>
      <c r="H15" s="78">
        <v>10</v>
      </c>
      <c r="I15" s="78">
        <f>IF(Tabel1417[[#This Row],[Standaardfunctionaliteit, operationeel aanwezig bij inschrijving]]="Ja",Tabel1417[[#This Row],[Max.score]],0)</f>
        <v>0</v>
      </c>
      <c r="J15" s="78">
        <f>IF(Tabel1417[[#This Row],[Roadmap-functionaliteit, operationeel aanwezig bij Go-Live datum]]="Ja",Tabel1417[[#This Row],[Toegekende score met standaard-functionaliteit]]/2,0)</f>
        <v>0</v>
      </c>
      <c r="K15" s="19">
        <f t="shared" si="0"/>
        <v>0</v>
      </c>
      <c r="L15"/>
      <c r="M15"/>
      <c r="N15"/>
      <c r="O15"/>
      <c r="P15"/>
      <c r="Q15"/>
      <c r="R15" s="30"/>
      <c r="S15" s="30"/>
      <c r="T15" s="30"/>
      <c r="U15" s="30"/>
      <c r="V15" s="30"/>
    </row>
    <row r="16" spans="1:22" s="88" customFormat="1" ht="45">
      <c r="A16" s="116"/>
      <c r="B16" s="239" t="s">
        <v>459</v>
      </c>
      <c r="C16" s="133" t="s">
        <v>460</v>
      </c>
      <c r="D16" s="29" t="s">
        <v>88</v>
      </c>
      <c r="E16" s="19"/>
      <c r="F16" s="19"/>
      <c r="G16" s="19"/>
      <c r="H16" s="78">
        <v>10</v>
      </c>
      <c r="I16" s="78">
        <f>IF(Tabel1417[[#This Row],[Standaardfunctionaliteit, operationeel aanwezig bij inschrijving]]="Ja",Tabel1417[[#This Row],[Max.score]],0)</f>
        <v>0</v>
      </c>
      <c r="J16" s="78">
        <f>IF(Tabel1417[[#This Row],[Roadmap-functionaliteit, operationeel aanwezig bij Go-Live datum]]="Ja",Tabel1417[[#This Row],[Toegekende score met standaard-functionaliteit]]/2,0)</f>
        <v>0</v>
      </c>
      <c r="K16" s="19">
        <f t="shared" si="0"/>
        <v>0</v>
      </c>
      <c r="L16"/>
      <c r="M16"/>
      <c r="N16"/>
      <c r="O16"/>
      <c r="P16"/>
      <c r="Q16"/>
      <c r="R16" s="30"/>
      <c r="S16" s="30"/>
      <c r="T16" s="30"/>
      <c r="U16" s="30"/>
      <c r="V16" s="30"/>
    </row>
    <row r="17" spans="1:22" s="88" customFormat="1" ht="30">
      <c r="A17" s="116"/>
      <c r="B17" s="239" t="s">
        <v>461</v>
      </c>
      <c r="C17" s="133" t="s">
        <v>462</v>
      </c>
      <c r="D17" s="29" t="s">
        <v>88</v>
      </c>
      <c r="E17" s="19"/>
      <c r="F17" s="19"/>
      <c r="G17" s="19"/>
      <c r="H17" s="78">
        <v>20</v>
      </c>
      <c r="I17" s="78">
        <f>IF(Tabel1417[[#This Row],[Standaardfunctionaliteit, operationeel aanwezig bij inschrijving]]="Ja",Tabel1417[[#This Row],[Max.score]],0)</f>
        <v>0</v>
      </c>
      <c r="J17" s="78">
        <f>IF(Tabel1417[[#This Row],[Roadmap-functionaliteit, operationeel aanwezig bij Go-Live datum]]="Ja",Tabel1417[[#This Row],[Toegekende score met standaard-functionaliteit]]/2,0)</f>
        <v>0</v>
      </c>
      <c r="K17" s="19">
        <f t="shared" si="0"/>
        <v>0</v>
      </c>
      <c r="L17"/>
      <c r="M17"/>
      <c r="N17"/>
      <c r="O17"/>
      <c r="P17"/>
      <c r="Q17"/>
      <c r="R17" s="30"/>
      <c r="S17" s="30"/>
      <c r="T17" s="30"/>
      <c r="U17" s="30"/>
      <c r="V17" s="30"/>
    </row>
    <row r="18" spans="1:22" s="88" customFormat="1" ht="30">
      <c r="A18" s="116"/>
      <c r="B18" s="239" t="s">
        <v>463</v>
      </c>
      <c r="C18" s="133" t="s">
        <v>464</v>
      </c>
      <c r="D18" s="29" t="s">
        <v>88</v>
      </c>
      <c r="E18" s="19"/>
      <c r="F18" s="19"/>
      <c r="G18" s="19"/>
      <c r="H18" s="78">
        <v>10</v>
      </c>
      <c r="I18" s="78">
        <f>IF(Tabel1417[[#This Row],[Standaardfunctionaliteit, operationeel aanwezig bij inschrijving]]="Ja",Tabel1417[[#This Row],[Max.score]],0)</f>
        <v>0</v>
      </c>
      <c r="J18" s="78">
        <f>IF(Tabel1417[[#This Row],[Roadmap-functionaliteit, operationeel aanwezig bij Go-Live datum]]="Ja",Tabel1417[[#This Row],[Toegekende score met standaard-functionaliteit]]/2,0)</f>
        <v>0</v>
      </c>
      <c r="K18" s="19">
        <f t="shared" si="0"/>
        <v>0</v>
      </c>
      <c r="L18"/>
      <c r="M18"/>
      <c r="N18"/>
      <c r="O18"/>
      <c r="P18"/>
      <c r="Q18"/>
      <c r="R18" s="30"/>
      <c r="S18" s="30"/>
      <c r="T18" s="30"/>
      <c r="U18" s="30"/>
      <c r="V18" s="30"/>
    </row>
    <row r="19" spans="1:22">
      <c r="B19" s="239"/>
      <c r="C19" s="235" t="s">
        <v>179</v>
      </c>
      <c r="D19" s="53">
        <f>COUNTIF(D5:D18,"Wens")</f>
        <v>6</v>
      </c>
      <c r="E19" s="152"/>
      <c r="F19" s="152"/>
      <c r="G19" s="152"/>
      <c r="H19" s="78"/>
      <c r="I19" s="78"/>
      <c r="J19" s="139"/>
      <c r="K19" s="19">
        <f t="shared" si="0"/>
        <v>0</v>
      </c>
    </row>
    <row r="20" spans="1:22">
      <c r="B20" s="240"/>
      <c r="C20" s="241" t="s">
        <v>180</v>
      </c>
      <c r="D20" s="199">
        <f>COUNTIF(D1:D18,"Eis")</f>
        <v>8</v>
      </c>
      <c r="E20" s="242"/>
      <c r="F20" s="242"/>
      <c r="G20" s="244" t="s">
        <v>44</v>
      </c>
      <c r="H20" s="243">
        <f>SUBTOTAL(109,H4:H19)</f>
        <v>70</v>
      </c>
      <c r="I20" s="243">
        <f t="shared" ref="I20:J20" si="1">SUBTOTAL(109,I4:I19)</f>
        <v>0</v>
      </c>
      <c r="J20" s="243">
        <f t="shared" si="1"/>
        <v>0</v>
      </c>
      <c r="K20" s="19">
        <f t="shared" si="0"/>
        <v>1</v>
      </c>
    </row>
    <row r="21" spans="1:22">
      <c r="J21" s="30"/>
    </row>
    <row r="22" spans="1:22">
      <c r="J22" s="30"/>
    </row>
    <row r="23" spans="1:22">
      <c r="J23" s="30"/>
    </row>
    <row r="24" spans="1:22">
      <c r="J24" s="30"/>
    </row>
    <row r="25" spans="1:22">
      <c r="J25" s="30"/>
    </row>
  </sheetData>
  <sheetProtection algorithmName="SHA-512" hashValue="nOqwUVT2clpPfUafulYezVGxEtTezluFXPyCipobDXv+iiRYoPW5fN99Ybx4XLRY41wTkoBydOyU++WwLyhraw==" saltValue="WDC2R9DPVqX2G6K/BIfq2A==" spinCount="100000" sheet="1" objects="1" scenarios="1"/>
  <protectedRanges>
    <protectedRange sqref="F10:G10 E5:E13 E14:G18" name="Invoer 8HR2"/>
  </protectedRanges>
  <phoneticPr fontId="20" type="noConversion"/>
  <conditionalFormatting sqref="K2 K4:K20">
    <cfRule type="cellIs" dxfId="127" priority="1" operator="greaterThan">
      <formula>1</formula>
    </cfRule>
    <cfRule type="cellIs" dxfId="126" priority="2" operator="greaterThan">
      <formula>1</formula>
    </cfRule>
    <cfRule type="cellIs" dxfId="125" priority="3" operator="lessThanOrEqual">
      <formula>1</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B4FF21DD-F0BC-41EB-85AE-9BBEAB258ECC}">
          <x14:formula1>
            <xm:f>Blad1!$B$2:$B$3</xm:f>
          </x14:formula1>
          <xm:sqref>E10:G10 E5:E9 F14:G18 E11:E18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1B545-B651-4D85-B1DA-FD319A5F8125}">
  <sheetPr>
    <tabColor theme="9" tint="0.59999389629810485"/>
  </sheetPr>
  <dimension ref="A1:V25"/>
  <sheetViews>
    <sheetView topLeftCell="B1" workbookViewId="0">
      <selection activeCell="E14" sqref="E14:E23"/>
    </sheetView>
  </sheetViews>
  <sheetFormatPr defaultColWidth="9.140625" defaultRowHeight="15"/>
  <cols>
    <col min="1" max="1" width="9.7109375" style="30" customWidth="1"/>
    <col min="2" max="2" width="9.42578125" style="30" customWidth="1"/>
    <col min="3" max="3" width="67" style="30" customWidth="1"/>
    <col min="4" max="4" width="11.42578125" style="49" customWidth="1"/>
    <col min="5" max="5" width="25.42578125" style="49" customWidth="1"/>
    <col min="6" max="6" width="22.85546875" style="49" customWidth="1"/>
    <col min="7" max="7" width="21.42578125" style="49" customWidth="1"/>
    <col min="8" max="8" width="12.7109375" style="49" customWidth="1"/>
    <col min="9" max="9" width="14.28515625" style="49" customWidth="1"/>
    <col min="10" max="10" width="19.28515625" style="49" customWidth="1"/>
    <col min="11" max="11" width="3" style="30" customWidth="1"/>
    <col min="12" max="16384" width="9.140625" style="30"/>
  </cols>
  <sheetData>
    <row r="1" spans="1:22" s="46" customFormat="1" ht="19.5" thickBot="1">
      <c r="B1" s="388" t="s">
        <v>46</v>
      </c>
      <c r="C1" s="388" t="s">
        <v>47</v>
      </c>
      <c r="D1" s="388" t="s">
        <v>48</v>
      </c>
      <c r="E1" s="388" t="s">
        <v>49</v>
      </c>
      <c r="F1" s="388" t="s">
        <v>50</v>
      </c>
      <c r="G1" s="388" t="s">
        <v>51</v>
      </c>
      <c r="H1" s="388" t="s">
        <v>52</v>
      </c>
      <c r="I1" s="388" t="s">
        <v>53</v>
      </c>
      <c r="J1" s="388" t="s">
        <v>54</v>
      </c>
    </row>
    <row r="2" spans="1:22">
      <c r="B2" s="265"/>
      <c r="C2" s="281" t="s">
        <v>465</v>
      </c>
      <c r="D2" s="110"/>
      <c r="E2" s="110"/>
      <c r="F2" s="110"/>
      <c r="G2" s="110"/>
      <c r="H2" s="110"/>
      <c r="I2" s="110"/>
      <c r="J2" s="110"/>
      <c r="K2" s="19">
        <f t="shared" ref="K2:K18" si="0">COUNTA(E2:G2)</f>
        <v>0</v>
      </c>
    </row>
    <row r="3" spans="1:22" s="49" customFormat="1" ht="60">
      <c r="A3" s="76"/>
      <c r="B3" s="120" t="s">
        <v>57</v>
      </c>
      <c r="C3" s="77" t="s">
        <v>58</v>
      </c>
      <c r="D3" s="236" t="s">
        <v>121</v>
      </c>
      <c r="E3" s="236" t="s">
        <v>60</v>
      </c>
      <c r="F3" s="236" t="s">
        <v>61</v>
      </c>
      <c r="G3" s="51" t="s">
        <v>62</v>
      </c>
      <c r="H3" s="237" t="s">
        <v>63</v>
      </c>
      <c r="I3" s="236" t="s">
        <v>64</v>
      </c>
      <c r="J3" s="236" t="s">
        <v>65</v>
      </c>
      <c r="K3" s="29"/>
    </row>
    <row r="4" spans="1:22" s="88" customFormat="1" ht="21">
      <c r="A4" s="76"/>
      <c r="B4" s="304"/>
      <c r="C4" s="90" t="s">
        <v>466</v>
      </c>
      <c r="D4" s="90"/>
      <c r="E4" s="90"/>
      <c r="F4" s="90"/>
      <c r="G4" s="90"/>
      <c r="H4" s="90"/>
      <c r="I4" s="368"/>
      <c r="J4" s="90"/>
      <c r="K4" s="19">
        <f t="shared" si="0"/>
        <v>0</v>
      </c>
      <c r="L4"/>
      <c r="M4"/>
      <c r="N4"/>
      <c r="O4"/>
      <c r="P4"/>
      <c r="Q4"/>
      <c r="R4" s="30"/>
      <c r="S4" s="30"/>
      <c r="T4" s="30"/>
      <c r="U4" s="30"/>
      <c r="V4" s="30"/>
    </row>
    <row r="5" spans="1:22" s="88" customFormat="1" ht="30">
      <c r="A5" s="76"/>
      <c r="B5" s="134" t="s">
        <v>467</v>
      </c>
      <c r="C5" s="147" t="s">
        <v>468</v>
      </c>
      <c r="D5" s="410" t="s">
        <v>68</v>
      </c>
      <c r="E5" s="19"/>
      <c r="F5" s="68"/>
      <c r="G5" s="68"/>
      <c r="H5" s="157"/>
      <c r="I5" s="78"/>
      <c r="J5" s="42"/>
      <c r="K5" s="19">
        <f t="shared" si="0"/>
        <v>0</v>
      </c>
      <c r="L5"/>
      <c r="M5"/>
      <c r="N5"/>
      <c r="O5"/>
      <c r="P5"/>
      <c r="Q5"/>
      <c r="R5" s="30"/>
      <c r="S5" s="30"/>
      <c r="T5" s="30"/>
      <c r="U5" s="30"/>
      <c r="V5" s="30"/>
    </row>
    <row r="6" spans="1:22" s="88" customFormat="1" ht="30">
      <c r="A6" s="76"/>
      <c r="B6" s="29" t="s">
        <v>469</v>
      </c>
      <c r="C6" s="45" t="s">
        <v>470</v>
      </c>
      <c r="D6" s="53" t="s">
        <v>68</v>
      </c>
      <c r="E6" s="19"/>
      <c r="F6" s="68"/>
      <c r="G6" s="68"/>
      <c r="H6" s="157"/>
      <c r="I6" s="78"/>
      <c r="J6" s="42"/>
      <c r="K6" s="19">
        <f t="shared" si="0"/>
        <v>0</v>
      </c>
      <c r="L6"/>
      <c r="M6"/>
      <c r="N6"/>
      <c r="O6"/>
      <c r="P6"/>
      <c r="Q6"/>
      <c r="R6" s="30"/>
      <c r="S6" s="30"/>
      <c r="T6" s="30"/>
      <c r="U6" s="30"/>
      <c r="V6" s="30"/>
    </row>
    <row r="7" spans="1:22" s="88" customFormat="1" ht="30">
      <c r="A7" s="76"/>
      <c r="B7" s="134" t="s">
        <v>471</v>
      </c>
      <c r="C7" s="147" t="s">
        <v>472</v>
      </c>
      <c r="D7" s="29" t="s">
        <v>88</v>
      </c>
      <c r="E7" s="19"/>
      <c r="F7" s="19"/>
      <c r="G7" s="19"/>
      <c r="H7" s="157">
        <v>10</v>
      </c>
      <c r="I7" s="78">
        <f>IF(Tabel141718[[#This Row],[Standaardfunctionaliteit, operationeel aanwezig bij inschrijving]]="Ja",Tabel141718[[#This Row],[Max.score]],0)</f>
        <v>0</v>
      </c>
      <c r="J7" s="42">
        <f>IF(Tabel141718[[#This Row],[Roadmap-functionaliteit, operationeel aanwezig bij Go-Live datum]]="Ja",Tabel141718[[#This Row],[Max.score]]/2,0)</f>
        <v>0</v>
      </c>
      <c r="K7" s="19">
        <f t="shared" si="0"/>
        <v>0</v>
      </c>
      <c r="L7"/>
      <c r="M7"/>
      <c r="N7"/>
      <c r="O7"/>
      <c r="P7"/>
      <c r="Q7"/>
      <c r="R7" s="30"/>
      <c r="S7" s="30"/>
      <c r="T7" s="30"/>
      <c r="U7" s="30"/>
      <c r="V7" s="30"/>
    </row>
    <row r="8" spans="1:22" s="88" customFormat="1" ht="30">
      <c r="A8" s="76"/>
      <c r="B8" s="29" t="s">
        <v>473</v>
      </c>
      <c r="C8" s="45" t="s">
        <v>474</v>
      </c>
      <c r="D8" s="29" t="s">
        <v>88</v>
      </c>
      <c r="E8" s="19"/>
      <c r="F8" s="19"/>
      <c r="G8" s="19"/>
      <c r="H8" s="157">
        <v>10</v>
      </c>
      <c r="I8" s="78">
        <f>IF(Tabel141718[[#This Row],[Standaardfunctionaliteit, operationeel aanwezig bij inschrijving]]="Ja",Tabel141718[[#This Row],[Max.score]],0)</f>
        <v>0</v>
      </c>
      <c r="J8" s="42">
        <f>IF(Tabel141718[[#This Row],[Roadmap-functionaliteit, operationeel aanwezig bij Go-Live datum]]="Ja",Tabel141718[[#This Row],[Max.score]]/2,0)</f>
        <v>0</v>
      </c>
      <c r="K8" s="19">
        <f t="shared" si="0"/>
        <v>0</v>
      </c>
      <c r="L8"/>
      <c r="M8"/>
      <c r="N8"/>
      <c r="O8"/>
      <c r="P8"/>
      <c r="Q8"/>
      <c r="R8" s="30"/>
      <c r="S8" s="30"/>
      <c r="T8" s="30"/>
      <c r="U8" s="30"/>
      <c r="V8" s="30"/>
    </row>
    <row r="9" spans="1:22" s="88" customFormat="1" ht="45">
      <c r="A9" s="76"/>
      <c r="B9" s="134" t="s">
        <v>475</v>
      </c>
      <c r="C9" s="147" t="s">
        <v>476</v>
      </c>
      <c r="D9" s="53" t="s">
        <v>68</v>
      </c>
      <c r="E9" s="19"/>
      <c r="F9" s="68"/>
      <c r="G9" s="68"/>
      <c r="H9" s="157"/>
      <c r="I9" s="78"/>
      <c r="J9" s="42"/>
      <c r="K9" s="19">
        <f t="shared" si="0"/>
        <v>0</v>
      </c>
      <c r="L9"/>
      <c r="M9"/>
      <c r="N9"/>
      <c r="O9"/>
      <c r="P9"/>
      <c r="Q9"/>
      <c r="R9" s="30"/>
      <c r="S9" s="30"/>
      <c r="T9" s="30"/>
      <c r="U9" s="30"/>
      <c r="V9" s="30"/>
    </row>
    <row r="10" spans="1:22" s="88" customFormat="1" ht="30">
      <c r="A10" s="116"/>
      <c r="B10" s="29" t="s">
        <v>477</v>
      </c>
      <c r="C10" s="45" t="s">
        <v>478</v>
      </c>
      <c r="D10" s="53" t="s">
        <v>68</v>
      </c>
      <c r="E10" s="19"/>
      <c r="F10" s="68"/>
      <c r="G10" s="68"/>
      <c r="H10" s="157"/>
      <c r="I10" s="78"/>
      <c r="J10" s="42"/>
      <c r="K10" s="19">
        <f t="shared" si="0"/>
        <v>0</v>
      </c>
      <c r="L10"/>
      <c r="M10"/>
      <c r="N10"/>
      <c r="O10"/>
      <c r="P10"/>
      <c r="Q10"/>
      <c r="R10" s="30"/>
      <c r="S10" s="30"/>
      <c r="T10" s="30"/>
      <c r="U10" s="30"/>
      <c r="V10" s="30"/>
    </row>
    <row r="11" spans="1:22" s="88" customFormat="1" ht="30">
      <c r="A11" s="116"/>
      <c r="B11" s="134" t="s">
        <v>479</v>
      </c>
      <c r="C11" s="147" t="s">
        <v>480</v>
      </c>
      <c r="D11" s="29" t="s">
        <v>88</v>
      </c>
      <c r="E11" s="19"/>
      <c r="F11" s="19"/>
      <c r="G11" s="19"/>
      <c r="H11" s="157">
        <v>20</v>
      </c>
      <c r="I11" s="78">
        <f>IF(Tabel141718[[#This Row],[Standaardfunctionaliteit, operationeel aanwezig bij inschrijving]]="Ja",Tabel141718[[#This Row],[Max.score]],0)</f>
        <v>0</v>
      </c>
      <c r="J11" s="42">
        <f>IF(Tabel141718[[#This Row],[Roadmap-functionaliteit, operationeel aanwezig bij Go-Live datum]]="Ja",Tabel141718[[#This Row],[Max.score]]/2,0)</f>
        <v>0</v>
      </c>
      <c r="K11" s="19">
        <f t="shared" si="0"/>
        <v>0</v>
      </c>
      <c r="L11"/>
      <c r="M11"/>
      <c r="N11"/>
      <c r="O11"/>
      <c r="P11"/>
      <c r="Q11"/>
      <c r="R11" s="30"/>
      <c r="S11" s="30"/>
      <c r="T11" s="30"/>
      <c r="U11" s="30"/>
      <c r="V11" s="30"/>
    </row>
    <row r="12" spans="1:22" s="88" customFormat="1" ht="30">
      <c r="A12" s="117"/>
      <c r="B12" s="29" t="s">
        <v>481</v>
      </c>
      <c r="C12" s="45" t="s">
        <v>482</v>
      </c>
      <c r="D12" s="29" t="s">
        <v>88</v>
      </c>
      <c r="E12" s="19"/>
      <c r="F12" s="19"/>
      <c r="G12" s="19"/>
      <c r="H12" s="157">
        <v>10</v>
      </c>
      <c r="I12" s="78">
        <f>IF(Tabel141718[[#This Row],[Standaardfunctionaliteit, operationeel aanwezig bij inschrijving]]="Ja",Tabel141718[[#This Row],[Max.score]],0)</f>
        <v>0</v>
      </c>
      <c r="J12" s="42">
        <f>IF(Tabel141718[[#This Row],[Roadmap-functionaliteit, operationeel aanwezig bij Go-Live datum]]="Ja",Tabel141718[[#This Row],[Max.score]]/2,0)</f>
        <v>0</v>
      </c>
      <c r="K12" s="19">
        <f t="shared" si="0"/>
        <v>0</v>
      </c>
      <c r="L12"/>
      <c r="M12"/>
      <c r="N12"/>
      <c r="O12"/>
      <c r="P12"/>
      <c r="Q12"/>
      <c r="R12" s="30"/>
      <c r="S12" s="30"/>
      <c r="T12" s="30"/>
      <c r="U12" s="30"/>
      <c r="V12" s="30"/>
    </row>
    <row r="13" spans="1:22" s="88" customFormat="1" ht="21">
      <c r="A13" s="116"/>
      <c r="B13" s="146"/>
      <c r="C13" s="90" t="s">
        <v>483</v>
      </c>
      <c r="D13" s="90"/>
      <c r="E13" s="90"/>
      <c r="F13" s="90"/>
      <c r="G13" s="90"/>
      <c r="H13" s="90"/>
      <c r="I13" s="367"/>
      <c r="J13" s="90">
        <f>IF(Tabel141718[[#This Row],[Roadmap-functionaliteit, operationeel aanwezig bij Go-Live datum]]="Ja",Tabel141718[[#This Row],[Toegekende score met standaard-functionaliteit]]/2,0)</f>
        <v>0</v>
      </c>
      <c r="K13" s="19">
        <f t="shared" si="0"/>
        <v>0</v>
      </c>
      <c r="L13"/>
      <c r="M13"/>
      <c r="N13"/>
      <c r="O13"/>
      <c r="P13"/>
      <c r="Q13"/>
      <c r="R13" s="30"/>
      <c r="S13" s="30"/>
      <c r="T13" s="30"/>
      <c r="U13" s="30"/>
      <c r="V13" s="30"/>
    </row>
    <row r="14" spans="1:22" s="88" customFormat="1" ht="30">
      <c r="A14" s="116"/>
      <c r="B14" s="25" t="s">
        <v>484</v>
      </c>
      <c r="C14" s="136" t="s">
        <v>485</v>
      </c>
      <c r="D14" s="53" t="s">
        <v>68</v>
      </c>
      <c r="E14" s="19"/>
      <c r="F14" s="68"/>
      <c r="G14" s="68"/>
      <c r="H14" s="157"/>
      <c r="I14" s="78"/>
      <c r="J14" s="42"/>
      <c r="K14" s="19">
        <f t="shared" si="0"/>
        <v>0</v>
      </c>
      <c r="L14"/>
      <c r="M14"/>
      <c r="N14"/>
      <c r="O14"/>
      <c r="P14"/>
      <c r="Q14"/>
      <c r="R14" s="30"/>
      <c r="S14" s="30"/>
      <c r="T14" s="30"/>
      <c r="U14" s="30"/>
      <c r="V14" s="30"/>
    </row>
    <row r="15" spans="1:22" s="88" customFormat="1" ht="30">
      <c r="A15" s="116"/>
      <c r="B15" s="25" t="s">
        <v>486</v>
      </c>
      <c r="C15" s="137" t="s">
        <v>487</v>
      </c>
      <c r="D15" s="29" t="s">
        <v>88</v>
      </c>
      <c r="E15" s="19"/>
      <c r="F15" s="19"/>
      <c r="G15" s="19"/>
      <c r="H15" s="157">
        <v>10</v>
      </c>
      <c r="I15" s="78">
        <f>IF(Tabel141718[[#This Row],[Standaardfunctionaliteit, operationeel aanwezig bij inschrijving]]="Ja",Tabel141718[[#This Row],[Max.score]],0)</f>
        <v>0</v>
      </c>
      <c r="J15" s="42">
        <f>IF(Tabel141718[[#This Row],[Roadmap-functionaliteit, operationeel aanwezig bij Go-Live datum]]="Ja",Tabel141718[[#This Row],[Max.score]]/2,0)</f>
        <v>0</v>
      </c>
      <c r="K15" s="19">
        <f t="shared" si="0"/>
        <v>0</v>
      </c>
      <c r="L15"/>
      <c r="M15"/>
      <c r="N15"/>
      <c r="O15"/>
      <c r="P15"/>
      <c r="Q15"/>
      <c r="R15" s="30"/>
      <c r="S15" s="30"/>
      <c r="T15" s="30"/>
      <c r="U15" s="30"/>
      <c r="V15" s="30"/>
    </row>
    <row r="16" spans="1:22" s="88" customFormat="1" ht="30">
      <c r="A16" s="116"/>
      <c r="B16" s="25" t="s">
        <v>488</v>
      </c>
      <c r="C16" s="136" t="s">
        <v>489</v>
      </c>
      <c r="D16" s="29" t="s">
        <v>88</v>
      </c>
      <c r="E16" s="19"/>
      <c r="F16" s="19"/>
      <c r="G16" s="19"/>
      <c r="H16" s="157">
        <v>10</v>
      </c>
      <c r="I16" s="78">
        <f>IF(Tabel141718[[#This Row],[Standaardfunctionaliteit, operationeel aanwezig bij inschrijving]]="Ja",Tabel141718[[#This Row],[Max.score]],0)</f>
        <v>0</v>
      </c>
      <c r="J16" s="42">
        <f>IF(Tabel141718[[#This Row],[Roadmap-functionaliteit, operationeel aanwezig bij Go-Live datum]]="Ja",Tabel141718[[#This Row],[Max.score]]/2,0)</f>
        <v>0</v>
      </c>
      <c r="K16" s="19">
        <f t="shared" si="0"/>
        <v>0</v>
      </c>
      <c r="L16"/>
      <c r="M16"/>
      <c r="N16"/>
      <c r="O16"/>
      <c r="P16"/>
      <c r="Q16"/>
      <c r="R16" s="30"/>
      <c r="S16" s="30"/>
      <c r="T16" s="30"/>
      <c r="U16" s="30"/>
      <c r="V16" s="30"/>
    </row>
    <row r="17" spans="1:22" s="88" customFormat="1" ht="45">
      <c r="A17" s="116"/>
      <c r="B17" s="25" t="s">
        <v>490</v>
      </c>
      <c r="C17" s="137" t="s">
        <v>491</v>
      </c>
      <c r="D17" s="29" t="s">
        <v>88</v>
      </c>
      <c r="E17" s="19"/>
      <c r="F17" s="19"/>
      <c r="G17" s="19"/>
      <c r="H17" s="157">
        <v>20</v>
      </c>
      <c r="I17" s="78">
        <f>IF(Tabel141718[[#This Row],[Standaardfunctionaliteit, operationeel aanwezig bij inschrijving]]="Ja",Tabel141718[[#This Row],[Max.score]],0)</f>
        <v>0</v>
      </c>
      <c r="J17" s="369">
        <f>IF(F17="Ja",H17/2,0)</f>
        <v>0</v>
      </c>
      <c r="K17" s="19">
        <f t="shared" si="0"/>
        <v>0</v>
      </c>
      <c r="L17"/>
      <c r="M17"/>
      <c r="N17"/>
      <c r="O17"/>
      <c r="P17"/>
      <c r="Q17"/>
      <c r="R17" s="30"/>
      <c r="S17" s="30"/>
      <c r="T17" s="30"/>
      <c r="U17" s="30"/>
      <c r="V17" s="30"/>
    </row>
    <row r="18" spans="1:22" s="88" customFormat="1" ht="60">
      <c r="A18" s="116"/>
      <c r="B18" s="25" t="s">
        <v>492</v>
      </c>
      <c r="C18" s="136" t="s">
        <v>493</v>
      </c>
      <c r="D18" s="53" t="s">
        <v>68</v>
      </c>
      <c r="E18" s="19"/>
      <c r="F18" s="68"/>
      <c r="G18" s="68"/>
      <c r="H18" s="157"/>
      <c r="I18" s="78"/>
      <c r="J18" s="42"/>
      <c r="K18" s="19">
        <f t="shared" si="0"/>
        <v>0</v>
      </c>
      <c r="L18"/>
      <c r="M18"/>
      <c r="N18"/>
      <c r="O18"/>
      <c r="P18"/>
      <c r="Q18"/>
      <c r="R18" s="30"/>
      <c r="S18" s="30"/>
      <c r="T18" s="30"/>
      <c r="U18" s="30"/>
      <c r="V18" s="30"/>
    </row>
    <row r="19" spans="1:22" s="88" customFormat="1" ht="30">
      <c r="A19" s="116"/>
      <c r="B19" s="25" t="s">
        <v>494</v>
      </c>
      <c r="C19" s="137" t="s">
        <v>495</v>
      </c>
      <c r="D19" s="53" t="s">
        <v>68</v>
      </c>
      <c r="E19" s="19"/>
      <c r="F19" s="68"/>
      <c r="G19" s="68"/>
      <c r="H19" s="157"/>
      <c r="I19" s="78"/>
      <c r="J19" s="42"/>
      <c r="K19" s="19">
        <f t="shared" ref="K19:K25" si="1">COUNTA(E19:G19)</f>
        <v>0</v>
      </c>
      <c r="L19"/>
      <c r="M19"/>
      <c r="N19"/>
      <c r="O19"/>
      <c r="P19"/>
      <c r="Q19"/>
      <c r="R19" s="30"/>
      <c r="S19" s="30"/>
      <c r="T19" s="30"/>
      <c r="U19" s="30"/>
      <c r="V19" s="30"/>
    </row>
    <row r="20" spans="1:22" s="88" customFormat="1" ht="45">
      <c r="A20" s="116"/>
      <c r="B20" s="148" t="s">
        <v>496</v>
      </c>
      <c r="C20" s="149" t="s">
        <v>497</v>
      </c>
      <c r="D20" s="154" t="s">
        <v>68</v>
      </c>
      <c r="E20" s="110"/>
      <c r="F20" s="151"/>
      <c r="G20" s="151"/>
      <c r="H20" s="158"/>
      <c r="I20" s="159"/>
      <c r="J20" s="306"/>
      <c r="K20" s="19">
        <f t="shared" si="1"/>
        <v>0</v>
      </c>
      <c r="L20"/>
      <c r="M20"/>
      <c r="N20"/>
      <c r="O20"/>
      <c r="P20"/>
      <c r="Q20"/>
      <c r="R20" s="30"/>
      <c r="S20" s="30"/>
      <c r="T20" s="30"/>
      <c r="U20" s="30"/>
      <c r="V20" s="30"/>
    </row>
    <row r="21" spans="1:22" s="88" customFormat="1" ht="30">
      <c r="A21" s="116"/>
      <c r="B21" s="25" t="s">
        <v>498</v>
      </c>
      <c r="C21" s="137" t="s">
        <v>499</v>
      </c>
      <c r="D21" s="29" t="s">
        <v>88</v>
      </c>
      <c r="E21" s="19"/>
      <c r="F21" s="19"/>
      <c r="G21" s="19"/>
      <c r="H21" s="157">
        <v>10</v>
      </c>
      <c r="I21" s="78">
        <f>IF(E21="Ja",H21,0)</f>
        <v>0</v>
      </c>
      <c r="J21" s="369">
        <f>IF(F21="Ja",H21/2,0)</f>
        <v>0</v>
      </c>
      <c r="K21" s="19">
        <f t="shared" si="1"/>
        <v>0</v>
      </c>
      <c r="L21"/>
      <c r="M21"/>
      <c r="N21"/>
      <c r="O21"/>
      <c r="P21"/>
      <c r="Q21"/>
      <c r="R21" s="30"/>
      <c r="S21" s="30"/>
      <c r="T21" s="30"/>
      <c r="U21" s="30"/>
      <c r="V21" s="30"/>
    </row>
    <row r="22" spans="1:22" s="88" customFormat="1" ht="90">
      <c r="A22" s="116"/>
      <c r="B22" s="148" t="s">
        <v>500</v>
      </c>
      <c r="C22" s="149" t="s">
        <v>501</v>
      </c>
      <c r="D22" s="154" t="s">
        <v>68</v>
      </c>
      <c r="E22" s="110"/>
      <c r="F22" s="151"/>
      <c r="G22" s="151"/>
      <c r="H22" s="158"/>
      <c r="I22" s="159"/>
      <c r="J22" s="306"/>
      <c r="K22" s="19">
        <f t="shared" si="1"/>
        <v>0</v>
      </c>
      <c r="L22"/>
      <c r="M22"/>
      <c r="N22"/>
      <c r="O22"/>
      <c r="P22"/>
      <c r="Q22"/>
      <c r="R22" s="30"/>
      <c r="S22" s="30"/>
      <c r="T22" s="30"/>
      <c r="U22" s="30"/>
      <c r="V22" s="30"/>
    </row>
    <row r="23" spans="1:22" s="88" customFormat="1" ht="30">
      <c r="A23" s="116"/>
      <c r="B23" s="25" t="s">
        <v>502</v>
      </c>
      <c r="C23" s="137" t="s">
        <v>503</v>
      </c>
      <c r="D23" s="29" t="s">
        <v>88</v>
      </c>
      <c r="E23" s="19"/>
      <c r="F23" s="19"/>
      <c r="G23" s="19"/>
      <c r="H23" s="157">
        <v>10</v>
      </c>
      <c r="I23" s="78">
        <f>IF(E23="Ja",H23,0)</f>
        <v>0</v>
      </c>
      <c r="J23" s="369">
        <f>IF(F23="Ja",H23/2,0)</f>
        <v>0</v>
      </c>
      <c r="K23" s="19">
        <f t="shared" si="1"/>
        <v>0</v>
      </c>
      <c r="L23"/>
      <c r="M23"/>
      <c r="N23"/>
      <c r="O23"/>
      <c r="P23"/>
      <c r="Q23"/>
      <c r="R23" s="30"/>
      <c r="S23" s="30"/>
      <c r="T23" s="30"/>
      <c r="U23" s="30"/>
      <c r="V23" s="30"/>
    </row>
    <row r="24" spans="1:22">
      <c r="B24" s="148"/>
      <c r="C24" s="153" t="s">
        <v>179</v>
      </c>
      <c r="D24" s="154">
        <f>COUNTIF(D5:D23,"Wens")</f>
        <v>9</v>
      </c>
      <c r="E24" s="151"/>
      <c r="F24" s="151"/>
      <c r="G24" s="151"/>
      <c r="H24" s="158"/>
      <c r="I24" s="159"/>
      <c r="J24" s="306"/>
      <c r="K24" s="19">
        <f t="shared" si="1"/>
        <v>0</v>
      </c>
    </row>
    <row r="25" spans="1:22">
      <c r="B25" s="19"/>
      <c r="C25" s="155" t="s">
        <v>180</v>
      </c>
      <c r="D25" s="53">
        <f>COUNTIF(D5:D23,"Eis")</f>
        <v>9</v>
      </c>
      <c r="E25" s="152"/>
      <c r="F25" s="152"/>
      <c r="G25" s="245" t="s">
        <v>44</v>
      </c>
      <c r="H25" s="305">
        <f>SUM(H4:H23)</f>
        <v>110</v>
      </c>
      <c r="I25" s="78">
        <f>SUM(I4:I23)</f>
        <v>0</v>
      </c>
      <c r="J25" s="27">
        <f>SUM(J4:J23)</f>
        <v>0</v>
      </c>
      <c r="K25" s="19">
        <f t="shared" si="1"/>
        <v>1</v>
      </c>
    </row>
  </sheetData>
  <sheetProtection algorithmName="SHA-512" hashValue="UjZMQheKVWPqb7JqAgYB4+jOF4E5/g+d2f9X/olJnihjjHcYZjRHf94ikGAvN5r09X5UE3BkLOl515orVVU6iQ==" saltValue="Cc+4xi9Qq2b8MM1lv7zaDg==" spinCount="100000" sheet="1" objects="1" scenarios="1"/>
  <protectedRanges>
    <protectedRange sqref="E5:E6 E7:G8 E9:E10 E11:G12 E14 E15:G17 E18:E20 E21:G21 E22 E23:G23" name="Invoer 8HR3"/>
  </protectedRanges>
  <phoneticPr fontId="20" type="noConversion"/>
  <conditionalFormatting sqref="K2 K4:K25">
    <cfRule type="cellIs" dxfId="101" priority="1" operator="greaterThan">
      <formula>1</formula>
    </cfRule>
    <cfRule type="cellIs" dxfId="100" priority="2" operator="greaterThan">
      <formula>1</formula>
    </cfRule>
    <cfRule type="cellIs" dxfId="99" priority="3" operator="lessThanOrEqual">
      <formula>1</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CFF13DC-BFD9-4400-AA41-24381B0C4CF2}">
          <x14:formula1>
            <xm:f>Blad1!$B$2:$B$3</xm:f>
          </x14:formula1>
          <xm:sqref>E11:G12 E15:G17 E21:G21 E23:G23 F7:G8 E5:E10 E14 E18:E20 E22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F4D6C-ECBC-433E-9B0D-E686DD7622BB}">
  <sheetPr>
    <tabColor theme="9" tint="0.59999389629810485"/>
  </sheetPr>
  <dimension ref="A1:V49"/>
  <sheetViews>
    <sheetView workbookViewId="0">
      <selection activeCell="E26" sqref="E26"/>
    </sheetView>
  </sheetViews>
  <sheetFormatPr defaultColWidth="9.140625" defaultRowHeight="15"/>
  <cols>
    <col min="1" max="1" width="9.7109375" style="30" customWidth="1"/>
    <col min="2" max="2" width="9.42578125" style="30" customWidth="1"/>
    <col min="3" max="3" width="67" style="30" customWidth="1"/>
    <col min="4" max="4" width="11.42578125" style="49" customWidth="1"/>
    <col min="5" max="5" width="25.42578125" style="49" customWidth="1"/>
    <col min="6" max="6" width="22.85546875" style="49" customWidth="1"/>
    <col min="7" max="7" width="21.42578125" style="49" customWidth="1"/>
    <col min="8" max="8" width="12.7109375" style="49" customWidth="1"/>
    <col min="9" max="9" width="14" style="49" customWidth="1"/>
    <col min="10" max="10" width="19.28515625" style="49" customWidth="1"/>
    <col min="11" max="11" width="3.140625" style="30" customWidth="1"/>
    <col min="12" max="16384" width="9.140625" style="30"/>
  </cols>
  <sheetData>
    <row r="1" spans="1:22" s="46" customFormat="1" ht="19.5" thickBot="1">
      <c r="B1" s="388" t="s">
        <v>46</v>
      </c>
      <c r="C1" s="388" t="s">
        <v>47</v>
      </c>
      <c r="D1" s="388" t="s">
        <v>48</v>
      </c>
      <c r="E1" s="388" t="s">
        <v>49</v>
      </c>
      <c r="F1" s="388" t="s">
        <v>50</v>
      </c>
      <c r="G1" s="388" t="s">
        <v>51</v>
      </c>
      <c r="H1" s="388" t="s">
        <v>52</v>
      </c>
      <c r="I1" s="388" t="s">
        <v>53</v>
      </c>
      <c r="J1" s="388" t="s">
        <v>54</v>
      </c>
      <c r="K1" s="389"/>
    </row>
    <row r="2" spans="1:22">
      <c r="B2" s="265"/>
      <c r="C2" s="281" t="s">
        <v>504</v>
      </c>
      <c r="D2" s="110"/>
      <c r="E2" s="110"/>
      <c r="F2" s="110"/>
      <c r="G2" s="110"/>
      <c r="H2" s="110"/>
      <c r="I2" s="110"/>
      <c r="J2" s="110"/>
      <c r="K2" s="19">
        <f t="shared" ref="K2:K17" si="0">COUNTA(E2:G2)</f>
        <v>0</v>
      </c>
    </row>
    <row r="3" spans="1:22" s="49" customFormat="1" ht="60">
      <c r="A3" s="76"/>
      <c r="B3" s="52" t="s">
        <v>57</v>
      </c>
      <c r="C3" s="97" t="s">
        <v>58</v>
      </c>
      <c r="D3" s="14" t="s">
        <v>121</v>
      </c>
      <c r="E3" s="14" t="s">
        <v>60</v>
      </c>
      <c r="F3" s="14" t="s">
        <v>61</v>
      </c>
      <c r="G3" s="52" t="s">
        <v>62</v>
      </c>
      <c r="H3" s="15" t="s">
        <v>63</v>
      </c>
      <c r="I3" s="14" t="s">
        <v>64</v>
      </c>
      <c r="J3" s="14" t="s">
        <v>65</v>
      </c>
      <c r="K3" s="29"/>
    </row>
    <row r="4" spans="1:22" s="88" customFormat="1" ht="21">
      <c r="A4" s="116"/>
      <c r="B4" s="303"/>
      <c r="C4" s="145" t="s">
        <v>505</v>
      </c>
      <c r="D4" s="145"/>
      <c r="E4" s="145"/>
      <c r="F4" s="145"/>
      <c r="G4" s="145"/>
      <c r="H4" s="145"/>
      <c r="I4" s="367"/>
      <c r="J4" s="145"/>
      <c r="K4" s="19">
        <f t="shared" si="0"/>
        <v>0</v>
      </c>
      <c r="L4"/>
      <c r="M4"/>
      <c r="N4"/>
      <c r="O4"/>
      <c r="P4"/>
      <c r="Q4"/>
      <c r="R4" s="30"/>
      <c r="S4" s="30"/>
      <c r="T4" s="30"/>
      <c r="U4" s="30"/>
      <c r="V4" s="30"/>
    </row>
    <row r="5" spans="1:22" s="88" customFormat="1" ht="30">
      <c r="A5" s="116"/>
      <c r="B5" s="135" t="s">
        <v>506</v>
      </c>
      <c r="C5" s="38" t="s">
        <v>507</v>
      </c>
      <c r="D5" s="29" t="s">
        <v>68</v>
      </c>
      <c r="E5" s="19"/>
      <c r="F5" s="152"/>
      <c r="G5" s="152"/>
      <c r="H5" s="78"/>
      <c r="I5" s="78"/>
      <c r="J5" s="23"/>
      <c r="K5" s="19">
        <f t="shared" si="0"/>
        <v>0</v>
      </c>
      <c r="L5"/>
      <c r="M5"/>
      <c r="N5"/>
      <c r="O5"/>
      <c r="P5"/>
      <c r="Q5"/>
      <c r="R5" s="30"/>
      <c r="S5" s="30"/>
      <c r="T5" s="30"/>
      <c r="U5" s="30"/>
      <c r="V5" s="30"/>
    </row>
    <row r="6" spans="1:22" s="88" customFormat="1" ht="30">
      <c r="A6" s="116"/>
      <c r="B6" s="135" t="s">
        <v>508</v>
      </c>
      <c r="C6" s="38" t="s">
        <v>509</v>
      </c>
      <c r="D6" s="29" t="s">
        <v>68</v>
      </c>
      <c r="E6" s="19"/>
      <c r="F6" s="152"/>
      <c r="G6" s="152"/>
      <c r="H6" s="78"/>
      <c r="I6" s="78"/>
      <c r="J6" s="23"/>
      <c r="K6" s="19">
        <f t="shared" si="0"/>
        <v>0</v>
      </c>
      <c r="L6"/>
      <c r="M6"/>
      <c r="N6"/>
      <c r="O6"/>
      <c r="P6"/>
      <c r="Q6"/>
      <c r="R6" s="30"/>
      <c r="S6" s="30"/>
      <c r="T6" s="30"/>
      <c r="U6" s="30"/>
      <c r="V6" s="30"/>
    </row>
    <row r="7" spans="1:22" s="88" customFormat="1" ht="30">
      <c r="A7" s="116"/>
      <c r="B7" s="135" t="s">
        <v>510</v>
      </c>
      <c r="C7" s="38" t="s">
        <v>511</v>
      </c>
      <c r="D7" s="29" t="s">
        <v>68</v>
      </c>
      <c r="E7" s="19"/>
      <c r="F7" s="152"/>
      <c r="G7" s="152"/>
      <c r="H7" s="78"/>
      <c r="I7" s="78"/>
      <c r="J7" s="23"/>
      <c r="K7" s="19">
        <f t="shared" si="0"/>
        <v>0</v>
      </c>
      <c r="L7"/>
      <c r="M7"/>
      <c r="N7"/>
      <c r="O7"/>
      <c r="P7"/>
      <c r="Q7"/>
      <c r="R7" s="30"/>
      <c r="S7" s="30"/>
      <c r="T7" s="30"/>
      <c r="U7" s="30"/>
      <c r="V7" s="30"/>
    </row>
    <row r="8" spans="1:22" s="88" customFormat="1" ht="30">
      <c r="A8" s="116"/>
      <c r="B8" s="135" t="s">
        <v>512</v>
      </c>
      <c r="C8" s="39" t="s">
        <v>513</v>
      </c>
      <c r="D8" s="29" t="s">
        <v>68</v>
      </c>
      <c r="E8" s="19"/>
      <c r="F8" s="152"/>
      <c r="G8" s="152"/>
      <c r="H8" s="78"/>
      <c r="I8" s="78"/>
      <c r="J8" s="23"/>
      <c r="K8" s="19">
        <f t="shared" si="0"/>
        <v>0</v>
      </c>
      <c r="L8"/>
      <c r="M8"/>
      <c r="N8"/>
      <c r="O8"/>
      <c r="P8"/>
      <c r="Q8"/>
      <c r="R8" s="30"/>
      <c r="S8" s="30"/>
      <c r="T8" s="30"/>
      <c r="U8" s="30"/>
      <c r="V8" s="30"/>
    </row>
    <row r="9" spans="1:22" s="88" customFormat="1" ht="30">
      <c r="A9" s="116"/>
      <c r="B9" s="135" t="s">
        <v>514</v>
      </c>
      <c r="C9" s="39" t="s">
        <v>515</v>
      </c>
      <c r="D9" s="29" t="s">
        <v>68</v>
      </c>
      <c r="E9" s="19"/>
      <c r="F9" s="152"/>
      <c r="G9" s="152"/>
      <c r="H9" s="78"/>
      <c r="I9" s="78"/>
      <c r="J9" s="23"/>
      <c r="K9" s="19">
        <f t="shared" si="0"/>
        <v>0</v>
      </c>
      <c r="L9"/>
      <c r="M9"/>
      <c r="N9"/>
      <c r="O9"/>
      <c r="P9"/>
      <c r="Q9"/>
      <c r="R9" s="30"/>
      <c r="S9" s="30"/>
      <c r="T9" s="30"/>
      <c r="U9" s="30"/>
      <c r="V9" s="30"/>
    </row>
    <row r="10" spans="1:22" s="88" customFormat="1" ht="30">
      <c r="A10" s="116"/>
      <c r="B10" s="135" t="s">
        <v>516</v>
      </c>
      <c r="C10" s="38" t="s">
        <v>517</v>
      </c>
      <c r="D10" s="29" t="s">
        <v>68</v>
      </c>
      <c r="E10" s="19"/>
      <c r="F10" s="152"/>
      <c r="G10" s="152"/>
      <c r="H10" s="78"/>
      <c r="I10" s="78"/>
      <c r="J10" s="23"/>
      <c r="K10" s="19">
        <f t="shared" si="0"/>
        <v>0</v>
      </c>
      <c r="L10"/>
      <c r="M10"/>
      <c r="N10"/>
      <c r="O10"/>
      <c r="P10"/>
      <c r="Q10"/>
      <c r="R10" s="30"/>
      <c r="S10" s="30"/>
      <c r="T10" s="30"/>
      <c r="U10" s="30"/>
      <c r="V10" s="30"/>
    </row>
    <row r="11" spans="1:22" s="88" customFormat="1" ht="21">
      <c r="A11" s="116"/>
      <c r="B11" s="135" t="s">
        <v>518</v>
      </c>
      <c r="C11" s="397" t="s">
        <v>519</v>
      </c>
      <c r="D11" s="29" t="s">
        <v>68</v>
      </c>
      <c r="E11" s="19"/>
      <c r="F11" s="152"/>
      <c r="G11" s="152"/>
      <c r="H11" s="78"/>
      <c r="I11" s="78"/>
      <c r="J11" s="23"/>
      <c r="K11" s="19">
        <f t="shared" si="0"/>
        <v>0</v>
      </c>
      <c r="L11"/>
      <c r="M11"/>
      <c r="N11"/>
      <c r="O11"/>
      <c r="P11"/>
      <c r="Q11"/>
      <c r="R11" s="30"/>
      <c r="S11" s="30"/>
      <c r="T11" s="30"/>
      <c r="U11" s="30"/>
      <c r="V11" s="30"/>
    </row>
    <row r="12" spans="1:22" s="88" customFormat="1" ht="21">
      <c r="A12" s="116"/>
      <c r="B12" s="135" t="s">
        <v>520</v>
      </c>
      <c r="C12" s="398" t="s">
        <v>521</v>
      </c>
      <c r="D12" s="29" t="s">
        <v>68</v>
      </c>
      <c r="E12" s="19"/>
      <c r="F12" s="152"/>
      <c r="G12" s="152"/>
      <c r="H12" s="78"/>
      <c r="I12" s="78"/>
      <c r="J12" s="23"/>
      <c r="K12" s="19">
        <f t="shared" si="0"/>
        <v>0</v>
      </c>
      <c r="L12"/>
      <c r="M12"/>
      <c r="N12"/>
      <c r="O12"/>
      <c r="P12"/>
      <c r="Q12"/>
      <c r="R12" s="30"/>
      <c r="S12" s="30"/>
      <c r="T12" s="30"/>
      <c r="U12" s="30"/>
      <c r="V12" s="30"/>
    </row>
    <row r="13" spans="1:22" s="88" customFormat="1" ht="21">
      <c r="A13" s="116"/>
      <c r="B13" s="135" t="s">
        <v>522</v>
      </c>
      <c r="C13" s="398" t="s">
        <v>523</v>
      </c>
      <c r="D13" s="29" t="s">
        <v>68</v>
      </c>
      <c r="E13" s="19"/>
      <c r="F13" s="152"/>
      <c r="G13" s="152"/>
      <c r="H13" s="78"/>
      <c r="I13" s="78"/>
      <c r="J13" s="23"/>
      <c r="K13" s="19">
        <f t="shared" si="0"/>
        <v>0</v>
      </c>
      <c r="L13"/>
      <c r="M13"/>
      <c r="N13"/>
      <c r="O13"/>
      <c r="P13"/>
      <c r="Q13"/>
      <c r="R13" s="30"/>
      <c r="S13" s="30"/>
      <c r="T13" s="30"/>
      <c r="U13" s="30"/>
      <c r="V13" s="30"/>
    </row>
    <row r="14" spans="1:22" s="88" customFormat="1" ht="45">
      <c r="A14" s="116"/>
      <c r="B14" s="135" t="s">
        <v>524</v>
      </c>
      <c r="C14" s="38" t="s">
        <v>525</v>
      </c>
      <c r="D14" s="29" t="s">
        <v>88</v>
      </c>
      <c r="E14" s="19"/>
      <c r="F14" s="19"/>
      <c r="G14" s="19"/>
      <c r="H14" s="78">
        <v>10</v>
      </c>
      <c r="I14" s="78">
        <f>IF(Tabel14171819[[#This Row],[Standaardfunctionaliteit, operationeel aanwezig bij inschrijving]]="Ja",Tabel14171819[[#This Row],[Max.score]],0)</f>
        <v>0</v>
      </c>
      <c r="J14" s="23">
        <f>IF(Tabel14171819[[#This Row],[Roadmap-functionaliteit, operationeel aanwezig bij Go-Live datum]]="Ja",Tabel14171819[[#This Row],[Max.score]]/2,0)</f>
        <v>0</v>
      </c>
      <c r="K14" s="19">
        <f t="shared" si="0"/>
        <v>0</v>
      </c>
      <c r="L14"/>
      <c r="M14"/>
      <c r="N14"/>
      <c r="O14"/>
      <c r="P14"/>
      <c r="Q14"/>
      <c r="R14" s="30"/>
      <c r="S14" s="30"/>
      <c r="T14" s="30"/>
      <c r="U14" s="30"/>
      <c r="V14" s="30"/>
    </row>
    <row r="15" spans="1:22" s="88" customFormat="1" ht="30">
      <c r="A15" s="116"/>
      <c r="B15" s="135" t="s">
        <v>526</v>
      </c>
      <c r="C15" s="38" t="s">
        <v>527</v>
      </c>
      <c r="D15" s="29" t="s">
        <v>88</v>
      </c>
      <c r="E15" s="19"/>
      <c r="F15" s="19"/>
      <c r="G15" s="19"/>
      <c r="H15" s="78">
        <v>10</v>
      </c>
      <c r="I15" s="78">
        <f>IF(Tabel14171819[[#This Row],[Standaardfunctionaliteit, operationeel aanwezig bij inschrijving]]="Ja",Tabel14171819[[#This Row],[Max.score]],0)</f>
        <v>0</v>
      </c>
      <c r="J15" s="23">
        <f>IF(Tabel14171819[[#This Row],[Roadmap-functionaliteit, operationeel aanwezig bij Go-Live datum]]="Ja",Tabel14171819[[#This Row],[Max.score]]/2,0)</f>
        <v>0</v>
      </c>
      <c r="K15" s="19">
        <f t="shared" si="0"/>
        <v>0</v>
      </c>
      <c r="L15"/>
      <c r="M15"/>
      <c r="N15"/>
      <c r="O15"/>
      <c r="P15"/>
      <c r="Q15"/>
      <c r="R15" s="30"/>
      <c r="S15" s="30"/>
      <c r="T15" s="30"/>
      <c r="U15" s="30"/>
      <c r="V15" s="30"/>
    </row>
    <row r="16" spans="1:22" s="88" customFormat="1" ht="21">
      <c r="A16" s="116"/>
      <c r="B16" s="144"/>
      <c r="C16" s="145" t="s">
        <v>529</v>
      </c>
      <c r="D16" s="145"/>
      <c r="E16" s="145"/>
      <c r="F16" s="145"/>
      <c r="G16" s="145"/>
      <c r="H16" s="145"/>
      <c r="I16" s="367"/>
      <c r="J16" s="145"/>
      <c r="K16" s="19">
        <f t="shared" si="0"/>
        <v>0</v>
      </c>
      <c r="L16"/>
      <c r="M16"/>
      <c r="N16"/>
      <c r="O16"/>
      <c r="P16"/>
      <c r="Q16"/>
      <c r="R16" s="30"/>
      <c r="S16" s="30"/>
      <c r="T16" s="30"/>
      <c r="U16" s="30"/>
      <c r="V16" s="30"/>
    </row>
    <row r="17" spans="1:22" s="88" customFormat="1" ht="30">
      <c r="A17" s="116"/>
      <c r="B17" s="399" t="s">
        <v>528</v>
      </c>
      <c r="C17" s="38" t="s">
        <v>531</v>
      </c>
      <c r="D17" s="29" t="s">
        <v>88</v>
      </c>
      <c r="E17" s="19"/>
      <c r="F17" s="19"/>
      <c r="G17" s="19"/>
      <c r="H17" s="78">
        <v>20</v>
      </c>
      <c r="I17" s="78">
        <f>IF(Tabel14171819[[#This Row],[Standaardfunctionaliteit, operationeel aanwezig bij inschrijving]]="Ja",Tabel14171819[[#This Row],[Max.score]],0)</f>
        <v>0</v>
      </c>
      <c r="J17" s="23">
        <f>IF(Tabel14171819[[#This Row],[Roadmap-functionaliteit, operationeel aanwezig bij Go-Live datum]]="Ja",Tabel14171819[[#This Row],[Max.score]]/2,0)</f>
        <v>0</v>
      </c>
      <c r="K17" s="19">
        <f t="shared" si="0"/>
        <v>0</v>
      </c>
      <c r="L17"/>
      <c r="M17"/>
      <c r="N17"/>
      <c r="O17"/>
      <c r="P17"/>
      <c r="Q17"/>
      <c r="R17" s="30"/>
      <c r="S17" s="30"/>
      <c r="T17" s="30"/>
      <c r="U17" s="30"/>
      <c r="V17" s="30"/>
    </row>
    <row r="18" spans="1:22" s="88" customFormat="1" ht="30">
      <c r="A18" s="116"/>
      <c r="B18" s="135" t="s">
        <v>530</v>
      </c>
      <c r="C18" s="38" t="s">
        <v>533</v>
      </c>
      <c r="D18" s="29" t="s">
        <v>88</v>
      </c>
      <c r="E18" s="371"/>
      <c r="F18" s="371"/>
      <c r="G18" s="371"/>
      <c r="H18" s="78">
        <v>20</v>
      </c>
      <c r="I18" s="372">
        <f>IF(E17="Ja",H18,0)</f>
        <v>0</v>
      </c>
      <c r="J18" s="23">
        <f>IF(F18="Ja",H18/2,0)</f>
        <v>0</v>
      </c>
      <c r="K18" s="19">
        <f t="shared" ref="K18:K49" si="1">COUNTA(E18:G18)</f>
        <v>0</v>
      </c>
      <c r="L18"/>
      <c r="M18"/>
      <c r="N18"/>
      <c r="O18"/>
      <c r="P18"/>
      <c r="Q18"/>
      <c r="R18" s="30"/>
      <c r="S18" s="30"/>
      <c r="T18" s="30"/>
      <c r="U18" s="30"/>
      <c r="V18" s="30"/>
    </row>
    <row r="19" spans="1:22" s="88" customFormat="1" ht="30">
      <c r="A19" s="116"/>
      <c r="B19" s="246" t="s">
        <v>532</v>
      </c>
      <c r="C19" s="156" t="s">
        <v>535</v>
      </c>
      <c r="D19" s="150" t="s">
        <v>88</v>
      </c>
      <c r="E19" s="370"/>
      <c r="F19" s="370"/>
      <c r="G19" s="370"/>
      <c r="H19" s="159">
        <v>20</v>
      </c>
      <c r="I19" s="159">
        <f t="shared" ref="I19:I26" si="2">IF(E18="Ja",H19,0)</f>
        <v>0</v>
      </c>
      <c r="J19" s="250">
        <f t="shared" ref="J19:J47" si="3">IF(F19="Ja",H19/2,0)</f>
        <v>0</v>
      </c>
      <c r="K19" s="19">
        <f t="shared" si="1"/>
        <v>0</v>
      </c>
      <c r="L19"/>
      <c r="M19"/>
      <c r="N19"/>
      <c r="O19"/>
      <c r="P19"/>
      <c r="Q19"/>
      <c r="R19" s="30"/>
      <c r="S19" s="30"/>
      <c r="T19" s="30"/>
      <c r="U19" s="30"/>
      <c r="V19" s="30"/>
    </row>
    <row r="20" spans="1:22" s="88" customFormat="1" ht="45">
      <c r="A20" s="116"/>
      <c r="B20" s="135" t="s">
        <v>534</v>
      </c>
      <c r="C20" s="38" t="s">
        <v>537</v>
      </c>
      <c r="D20" s="29" t="s">
        <v>88</v>
      </c>
      <c r="E20" s="371"/>
      <c r="F20" s="371"/>
      <c r="G20" s="371"/>
      <c r="H20" s="78">
        <v>20</v>
      </c>
      <c r="I20" s="372">
        <f t="shared" si="2"/>
        <v>0</v>
      </c>
      <c r="J20" s="23">
        <f t="shared" si="3"/>
        <v>0</v>
      </c>
      <c r="K20" s="19">
        <f t="shared" si="1"/>
        <v>0</v>
      </c>
      <c r="L20"/>
      <c r="M20"/>
      <c r="N20"/>
      <c r="O20"/>
      <c r="P20"/>
      <c r="Q20"/>
      <c r="R20" s="30"/>
      <c r="S20" s="30"/>
      <c r="T20" s="30"/>
      <c r="U20" s="30"/>
      <c r="V20" s="30"/>
    </row>
    <row r="21" spans="1:22" s="88" customFormat="1" ht="30">
      <c r="A21" s="116"/>
      <c r="B21" s="246" t="s">
        <v>536</v>
      </c>
      <c r="C21" s="156" t="s">
        <v>539</v>
      </c>
      <c r="D21" s="150" t="s">
        <v>88</v>
      </c>
      <c r="E21" s="370"/>
      <c r="F21" s="370"/>
      <c r="G21" s="370"/>
      <c r="H21" s="159">
        <v>20</v>
      </c>
      <c r="I21" s="159">
        <f t="shared" si="2"/>
        <v>0</v>
      </c>
      <c r="J21" s="250">
        <f t="shared" si="3"/>
        <v>0</v>
      </c>
      <c r="K21" s="19">
        <f t="shared" si="1"/>
        <v>0</v>
      </c>
      <c r="L21"/>
      <c r="M21"/>
      <c r="N21"/>
      <c r="O21"/>
      <c r="P21"/>
      <c r="Q21"/>
      <c r="R21" s="30"/>
      <c r="S21" s="30"/>
      <c r="T21" s="30"/>
      <c r="U21" s="30"/>
      <c r="V21" s="30"/>
    </row>
    <row r="22" spans="1:22" s="88" customFormat="1" ht="30">
      <c r="A22" s="116"/>
      <c r="B22" s="135" t="s">
        <v>538</v>
      </c>
      <c r="C22" s="38" t="s">
        <v>541</v>
      </c>
      <c r="D22" s="29" t="s">
        <v>88</v>
      </c>
      <c r="E22" s="371"/>
      <c r="F22" s="371"/>
      <c r="G22" s="371"/>
      <c r="H22" s="78">
        <v>20</v>
      </c>
      <c r="I22" s="372">
        <f t="shared" si="2"/>
        <v>0</v>
      </c>
      <c r="J22" s="23">
        <f t="shared" si="3"/>
        <v>0</v>
      </c>
      <c r="K22" s="19">
        <f t="shared" si="1"/>
        <v>0</v>
      </c>
      <c r="L22"/>
      <c r="M22"/>
      <c r="N22"/>
      <c r="O22"/>
      <c r="P22"/>
      <c r="Q22"/>
      <c r="R22" s="30"/>
      <c r="S22" s="30"/>
      <c r="T22" s="30"/>
      <c r="U22" s="30"/>
      <c r="V22" s="30"/>
    </row>
    <row r="23" spans="1:22" s="88" customFormat="1" ht="30">
      <c r="A23" s="116"/>
      <c r="B23" s="246" t="s">
        <v>540</v>
      </c>
      <c r="C23" s="156" t="s">
        <v>543</v>
      </c>
      <c r="D23" s="150" t="s">
        <v>88</v>
      </c>
      <c r="E23" s="370"/>
      <c r="F23" s="370"/>
      <c r="G23" s="370"/>
      <c r="H23" s="159">
        <v>20</v>
      </c>
      <c r="I23" s="159">
        <f t="shared" si="2"/>
        <v>0</v>
      </c>
      <c r="J23" s="250">
        <f t="shared" si="3"/>
        <v>0</v>
      </c>
      <c r="K23" s="19">
        <f t="shared" si="1"/>
        <v>0</v>
      </c>
      <c r="L23"/>
      <c r="M23"/>
      <c r="N23"/>
      <c r="O23"/>
      <c r="P23"/>
      <c r="Q23"/>
      <c r="R23" s="30"/>
      <c r="S23" s="30"/>
      <c r="T23" s="30"/>
      <c r="U23" s="30"/>
      <c r="V23" s="30"/>
    </row>
    <row r="24" spans="1:22" s="88" customFormat="1" ht="30">
      <c r="A24" s="116"/>
      <c r="B24" s="135" t="s">
        <v>542</v>
      </c>
      <c r="C24" s="38" t="s">
        <v>545</v>
      </c>
      <c r="D24" s="29" t="s">
        <v>88</v>
      </c>
      <c r="E24" s="371"/>
      <c r="F24" s="371"/>
      <c r="G24" s="371"/>
      <c r="H24" s="78">
        <v>20</v>
      </c>
      <c r="I24" s="372">
        <f t="shared" si="2"/>
        <v>0</v>
      </c>
      <c r="J24" s="23">
        <f t="shared" si="3"/>
        <v>0</v>
      </c>
      <c r="K24" s="19">
        <f t="shared" si="1"/>
        <v>0</v>
      </c>
      <c r="L24"/>
      <c r="M24"/>
      <c r="N24"/>
      <c r="O24"/>
      <c r="P24"/>
      <c r="Q24"/>
      <c r="R24" s="30"/>
      <c r="S24" s="30"/>
      <c r="T24" s="30"/>
      <c r="U24" s="30"/>
      <c r="V24" s="30"/>
    </row>
    <row r="25" spans="1:22" s="88" customFormat="1" ht="45">
      <c r="A25" s="116"/>
      <c r="B25" s="246" t="s">
        <v>544</v>
      </c>
      <c r="C25" s="156" t="s">
        <v>547</v>
      </c>
      <c r="D25" s="150" t="s">
        <v>88</v>
      </c>
      <c r="E25" s="370"/>
      <c r="F25" s="370"/>
      <c r="G25" s="370"/>
      <c r="H25" s="159">
        <v>20</v>
      </c>
      <c r="I25" s="159">
        <f t="shared" si="2"/>
        <v>0</v>
      </c>
      <c r="J25" s="250">
        <f t="shared" si="3"/>
        <v>0</v>
      </c>
      <c r="K25" s="19">
        <f t="shared" si="1"/>
        <v>0</v>
      </c>
      <c r="L25"/>
      <c r="M25"/>
      <c r="N25"/>
      <c r="O25"/>
      <c r="P25"/>
      <c r="Q25"/>
      <c r="R25" s="30"/>
      <c r="S25" s="30"/>
      <c r="T25" s="30"/>
      <c r="U25" s="30"/>
      <c r="V25" s="30"/>
    </row>
    <row r="26" spans="1:22" s="88" customFormat="1" ht="45">
      <c r="A26" s="116"/>
      <c r="B26" s="135" t="s">
        <v>546</v>
      </c>
      <c r="C26" s="38" t="s">
        <v>549</v>
      </c>
      <c r="D26" s="29" t="s">
        <v>88</v>
      </c>
      <c r="E26" s="371"/>
      <c r="F26" s="371"/>
      <c r="G26" s="371"/>
      <c r="H26" s="78">
        <v>20</v>
      </c>
      <c r="I26" s="372">
        <f t="shared" si="2"/>
        <v>0</v>
      </c>
      <c r="J26" s="23">
        <f t="shared" si="3"/>
        <v>0</v>
      </c>
      <c r="K26" s="19">
        <f t="shared" si="1"/>
        <v>0</v>
      </c>
      <c r="L26"/>
      <c r="M26"/>
      <c r="N26"/>
      <c r="O26"/>
      <c r="P26"/>
      <c r="Q26"/>
      <c r="R26" s="30"/>
      <c r="S26" s="30"/>
      <c r="T26" s="30"/>
      <c r="U26" s="30"/>
      <c r="V26" s="30"/>
    </row>
    <row r="27" spans="1:22" s="88" customFormat="1" ht="21">
      <c r="A27" s="116"/>
      <c r="B27" s="145"/>
      <c r="C27" s="145" t="s">
        <v>550</v>
      </c>
      <c r="D27" s="145"/>
      <c r="E27" s="145"/>
      <c r="F27" s="145"/>
      <c r="G27" s="145"/>
      <c r="H27" s="145"/>
      <c r="I27" s="145"/>
      <c r="J27" s="145"/>
      <c r="K27" s="19">
        <f t="shared" si="1"/>
        <v>0</v>
      </c>
      <c r="L27"/>
      <c r="M27"/>
      <c r="N27"/>
      <c r="O27"/>
      <c r="P27"/>
      <c r="Q27"/>
      <c r="R27" s="30"/>
      <c r="S27" s="30"/>
      <c r="T27" s="30"/>
      <c r="U27" s="30"/>
      <c r="V27" s="30"/>
    </row>
    <row r="28" spans="1:22" s="88" customFormat="1" ht="30">
      <c r="A28" s="116"/>
      <c r="B28" s="246" t="s">
        <v>548</v>
      </c>
      <c r="C28" s="156" t="s">
        <v>552</v>
      </c>
      <c r="D28" s="154" t="s">
        <v>68</v>
      </c>
      <c r="E28" s="370"/>
      <c r="F28" s="247"/>
      <c r="G28" s="247"/>
      <c r="H28" s="159"/>
      <c r="I28" s="159"/>
      <c r="J28" s="250"/>
      <c r="K28" s="19">
        <f t="shared" si="1"/>
        <v>0</v>
      </c>
      <c r="L28"/>
      <c r="M28"/>
      <c r="N28"/>
      <c r="O28"/>
      <c r="P28"/>
      <c r="Q28"/>
      <c r="R28" s="30"/>
      <c r="S28" s="30"/>
      <c r="T28" s="30"/>
      <c r="U28" s="30"/>
      <c r="V28" s="30"/>
    </row>
    <row r="29" spans="1:22" s="88" customFormat="1" ht="30">
      <c r="A29" s="116"/>
      <c r="B29" s="87" t="s">
        <v>551</v>
      </c>
      <c r="C29" s="89" t="s">
        <v>554</v>
      </c>
      <c r="D29" s="29" t="s">
        <v>88</v>
      </c>
      <c r="E29" s="371"/>
      <c r="F29" s="371"/>
      <c r="G29" s="371"/>
      <c r="H29" s="78">
        <v>10</v>
      </c>
      <c r="I29" s="372">
        <f>IF(E29="Ja",H29,0)</f>
        <v>0</v>
      </c>
      <c r="J29" s="23">
        <f t="shared" si="3"/>
        <v>0</v>
      </c>
      <c r="K29" s="19">
        <f t="shared" si="1"/>
        <v>0</v>
      </c>
      <c r="L29"/>
      <c r="M29"/>
      <c r="N29"/>
      <c r="O29"/>
      <c r="P29"/>
      <c r="Q29"/>
      <c r="R29" s="30"/>
      <c r="S29" s="30"/>
      <c r="T29" s="30"/>
      <c r="U29" s="30"/>
      <c r="V29" s="30"/>
    </row>
    <row r="30" spans="1:22" s="88" customFormat="1" ht="30">
      <c r="A30" s="116"/>
      <c r="B30" s="246" t="s">
        <v>553</v>
      </c>
      <c r="C30" s="156" t="s">
        <v>556</v>
      </c>
      <c r="D30" s="150" t="s">
        <v>88</v>
      </c>
      <c r="E30" s="370"/>
      <c r="F30" s="370"/>
      <c r="G30" s="370"/>
      <c r="H30" s="159">
        <v>10</v>
      </c>
      <c r="I30" s="159">
        <f t="shared" ref="I30:I47" si="4">IF(E30="Ja",H30,0)</f>
        <v>0</v>
      </c>
      <c r="J30" s="250">
        <f t="shared" si="3"/>
        <v>0</v>
      </c>
      <c r="K30" s="19">
        <f t="shared" si="1"/>
        <v>0</v>
      </c>
      <c r="L30"/>
      <c r="M30"/>
      <c r="N30"/>
      <c r="O30"/>
      <c r="P30"/>
      <c r="Q30"/>
      <c r="R30" s="30"/>
      <c r="S30" s="30"/>
      <c r="T30" s="30"/>
      <c r="U30" s="30"/>
      <c r="V30" s="30"/>
    </row>
    <row r="31" spans="1:22" s="88" customFormat="1" ht="30">
      <c r="A31" s="116"/>
      <c r="B31" s="87" t="s">
        <v>555</v>
      </c>
      <c r="C31" s="89" t="s">
        <v>558</v>
      </c>
      <c r="D31" s="29" t="s">
        <v>88</v>
      </c>
      <c r="E31" s="371"/>
      <c r="F31" s="371"/>
      <c r="G31" s="371"/>
      <c r="H31" s="78">
        <v>10</v>
      </c>
      <c r="I31" s="372">
        <f t="shared" si="4"/>
        <v>0</v>
      </c>
      <c r="J31" s="23">
        <f t="shared" si="3"/>
        <v>0</v>
      </c>
      <c r="K31" s="19">
        <f t="shared" si="1"/>
        <v>0</v>
      </c>
      <c r="L31"/>
      <c r="M31"/>
      <c r="N31"/>
      <c r="O31"/>
      <c r="P31"/>
      <c r="Q31"/>
      <c r="R31" s="30"/>
      <c r="S31" s="30"/>
      <c r="T31" s="30"/>
      <c r="U31" s="30"/>
      <c r="V31" s="30"/>
    </row>
    <row r="32" spans="1:22" s="88" customFormat="1" ht="30">
      <c r="A32" s="116"/>
      <c r="B32" s="246" t="s">
        <v>557</v>
      </c>
      <c r="C32" s="156" t="s">
        <v>560</v>
      </c>
      <c r="D32" s="150" t="s">
        <v>88</v>
      </c>
      <c r="E32" s="370"/>
      <c r="F32" s="370"/>
      <c r="G32" s="370"/>
      <c r="H32" s="159">
        <v>10</v>
      </c>
      <c r="I32" s="159">
        <f t="shared" si="4"/>
        <v>0</v>
      </c>
      <c r="J32" s="250">
        <f t="shared" si="3"/>
        <v>0</v>
      </c>
      <c r="K32" s="19">
        <f t="shared" si="1"/>
        <v>0</v>
      </c>
      <c r="L32"/>
      <c r="M32"/>
      <c r="N32"/>
      <c r="O32"/>
      <c r="P32"/>
      <c r="Q32"/>
      <c r="R32" s="30"/>
      <c r="S32" s="30"/>
      <c r="T32" s="30"/>
      <c r="U32" s="30"/>
      <c r="V32" s="30"/>
    </row>
    <row r="33" spans="1:22" s="88" customFormat="1" ht="21">
      <c r="A33" s="116"/>
      <c r="B33" s="87" t="s">
        <v>559</v>
      </c>
      <c r="C33" s="38" t="s">
        <v>562</v>
      </c>
      <c r="D33" s="29" t="s">
        <v>88</v>
      </c>
      <c r="E33" s="371"/>
      <c r="F33" s="371"/>
      <c r="G33" s="371"/>
      <c r="H33" s="78">
        <v>10</v>
      </c>
      <c r="I33" s="372">
        <f t="shared" si="4"/>
        <v>0</v>
      </c>
      <c r="J33" s="23">
        <f t="shared" si="3"/>
        <v>0</v>
      </c>
      <c r="K33" s="19">
        <f t="shared" si="1"/>
        <v>0</v>
      </c>
      <c r="L33"/>
      <c r="M33"/>
      <c r="N33"/>
      <c r="O33"/>
      <c r="P33"/>
      <c r="Q33"/>
      <c r="R33" s="30"/>
      <c r="S33" s="30"/>
      <c r="T33" s="30"/>
      <c r="U33" s="30"/>
      <c r="V33" s="30"/>
    </row>
    <row r="34" spans="1:22" s="88" customFormat="1" ht="21">
      <c r="A34" s="116"/>
      <c r="B34" s="246" t="s">
        <v>561</v>
      </c>
      <c r="C34" s="156" t="s">
        <v>564</v>
      </c>
      <c r="D34" s="150" t="s">
        <v>88</v>
      </c>
      <c r="E34" s="370"/>
      <c r="F34" s="370"/>
      <c r="G34" s="370"/>
      <c r="H34" s="159">
        <v>10</v>
      </c>
      <c r="I34" s="159">
        <f t="shared" si="4"/>
        <v>0</v>
      </c>
      <c r="J34" s="250">
        <f t="shared" si="3"/>
        <v>0</v>
      </c>
      <c r="K34" s="19">
        <f t="shared" si="1"/>
        <v>0</v>
      </c>
      <c r="L34"/>
      <c r="M34"/>
      <c r="N34"/>
      <c r="O34"/>
      <c r="P34"/>
      <c r="Q34"/>
      <c r="R34" s="30"/>
      <c r="S34" s="30"/>
      <c r="T34" s="30"/>
      <c r="U34" s="30"/>
      <c r="V34" s="30"/>
    </row>
    <row r="35" spans="1:22" s="88" customFormat="1" ht="21">
      <c r="A35" s="116"/>
      <c r="B35" s="87" t="s">
        <v>563</v>
      </c>
      <c r="C35" s="38" t="s">
        <v>566</v>
      </c>
      <c r="D35" s="29" t="s">
        <v>88</v>
      </c>
      <c r="E35" s="371"/>
      <c r="F35" s="371"/>
      <c r="G35" s="371"/>
      <c r="H35" s="78">
        <v>10</v>
      </c>
      <c r="I35" s="372">
        <f t="shared" si="4"/>
        <v>0</v>
      </c>
      <c r="J35" s="23">
        <f t="shared" si="3"/>
        <v>0</v>
      </c>
      <c r="K35" s="19">
        <f t="shared" si="1"/>
        <v>0</v>
      </c>
      <c r="L35"/>
      <c r="M35"/>
      <c r="N35"/>
      <c r="O35"/>
      <c r="P35"/>
      <c r="Q35"/>
      <c r="R35" s="30"/>
      <c r="S35" s="30"/>
      <c r="T35" s="30"/>
      <c r="U35" s="30"/>
      <c r="V35" s="30"/>
    </row>
    <row r="36" spans="1:22" s="88" customFormat="1" ht="30">
      <c r="A36" s="116"/>
      <c r="B36" s="246" t="s">
        <v>565</v>
      </c>
      <c r="C36" s="156" t="s">
        <v>568</v>
      </c>
      <c r="D36" s="154" t="s">
        <v>68</v>
      </c>
      <c r="E36" s="370"/>
      <c r="F36" s="247"/>
      <c r="G36" s="247"/>
      <c r="H36" s="159"/>
      <c r="I36" s="159"/>
      <c r="J36" s="250"/>
      <c r="K36" s="19">
        <f t="shared" si="1"/>
        <v>0</v>
      </c>
      <c r="L36"/>
      <c r="M36"/>
      <c r="N36"/>
      <c r="O36"/>
      <c r="P36"/>
      <c r="Q36"/>
      <c r="R36" s="30"/>
      <c r="S36" s="30"/>
      <c r="T36" s="30"/>
      <c r="U36" s="30"/>
      <c r="V36" s="30"/>
    </row>
    <row r="37" spans="1:22" s="88" customFormat="1" ht="30">
      <c r="A37" s="116"/>
      <c r="B37" s="87" t="s">
        <v>567</v>
      </c>
      <c r="C37" s="39" t="s">
        <v>570</v>
      </c>
      <c r="D37" s="53" t="s">
        <v>68</v>
      </c>
      <c r="E37" s="371"/>
      <c r="F37" s="152"/>
      <c r="G37" s="152"/>
      <c r="H37" s="78"/>
      <c r="I37" s="372"/>
      <c r="J37" s="23"/>
      <c r="K37" s="19">
        <f t="shared" si="1"/>
        <v>0</v>
      </c>
      <c r="L37"/>
      <c r="M37"/>
      <c r="N37"/>
      <c r="O37"/>
      <c r="P37"/>
      <c r="Q37"/>
      <c r="R37" s="30"/>
      <c r="S37" s="30"/>
      <c r="T37" s="30"/>
      <c r="U37" s="30"/>
      <c r="V37" s="30"/>
    </row>
    <row r="38" spans="1:22" s="88" customFormat="1" ht="45">
      <c r="A38" s="116"/>
      <c r="B38" s="246" t="s">
        <v>569</v>
      </c>
      <c r="C38" s="156" t="s">
        <v>572</v>
      </c>
      <c r="D38" s="150" t="s">
        <v>88</v>
      </c>
      <c r="E38" s="370"/>
      <c r="F38" s="370"/>
      <c r="G38" s="370"/>
      <c r="H38" s="159">
        <v>10</v>
      </c>
      <c r="I38" s="159">
        <f t="shared" si="4"/>
        <v>0</v>
      </c>
      <c r="J38" s="250">
        <f t="shared" si="3"/>
        <v>0</v>
      </c>
      <c r="K38" s="19">
        <f t="shared" si="1"/>
        <v>0</v>
      </c>
      <c r="L38"/>
      <c r="M38"/>
      <c r="N38"/>
      <c r="O38"/>
      <c r="P38"/>
      <c r="Q38"/>
      <c r="R38" s="30"/>
      <c r="S38" s="30"/>
      <c r="T38" s="30"/>
      <c r="U38" s="30"/>
      <c r="V38" s="30"/>
    </row>
    <row r="39" spans="1:22" s="88" customFormat="1" ht="21">
      <c r="A39" s="116"/>
      <c r="B39" s="145"/>
      <c r="C39" s="145" t="s">
        <v>573</v>
      </c>
      <c r="D39" s="145"/>
      <c r="E39" s="145"/>
      <c r="F39" s="145"/>
      <c r="G39" s="145"/>
      <c r="H39" s="145"/>
      <c r="I39" s="145"/>
      <c r="J39" s="145"/>
      <c r="K39" s="19">
        <f t="shared" si="1"/>
        <v>0</v>
      </c>
      <c r="L39"/>
      <c r="M39"/>
      <c r="N39"/>
      <c r="O39"/>
      <c r="P39"/>
      <c r="Q39"/>
      <c r="R39" s="30"/>
      <c r="S39" s="30"/>
      <c r="T39" s="30"/>
      <c r="U39" s="30"/>
      <c r="V39" s="30"/>
    </row>
    <row r="40" spans="1:22" s="88" customFormat="1" ht="30">
      <c r="A40" s="116"/>
      <c r="B40" s="19" t="s">
        <v>571</v>
      </c>
      <c r="C40" s="38" t="s">
        <v>575</v>
      </c>
      <c r="D40" s="29" t="s">
        <v>88</v>
      </c>
      <c r="E40" s="371"/>
      <c r="F40" s="371"/>
      <c r="G40" s="371"/>
      <c r="H40" s="78">
        <v>10</v>
      </c>
      <c r="I40" s="372">
        <f t="shared" si="4"/>
        <v>0</v>
      </c>
      <c r="J40" s="23">
        <f t="shared" si="3"/>
        <v>0</v>
      </c>
      <c r="K40" s="19">
        <f t="shared" si="1"/>
        <v>0</v>
      </c>
      <c r="L40"/>
      <c r="M40"/>
      <c r="N40"/>
      <c r="O40"/>
      <c r="P40"/>
      <c r="Q40"/>
      <c r="R40" s="30"/>
      <c r="S40" s="30"/>
      <c r="T40" s="30"/>
      <c r="U40" s="30"/>
      <c r="V40" s="30"/>
    </row>
    <row r="41" spans="1:22" s="88" customFormat="1" ht="21">
      <c r="A41" s="116"/>
      <c r="B41" s="246" t="s">
        <v>574</v>
      </c>
      <c r="C41" s="156" t="s">
        <v>577</v>
      </c>
      <c r="D41" s="150" t="s">
        <v>88</v>
      </c>
      <c r="E41" s="370"/>
      <c r="F41" s="370"/>
      <c r="G41" s="370"/>
      <c r="H41" s="159">
        <v>10</v>
      </c>
      <c r="I41" s="159">
        <f>IF(E41="Ja",H41,0)</f>
        <v>0</v>
      </c>
      <c r="J41" s="250">
        <f t="shared" si="3"/>
        <v>0</v>
      </c>
      <c r="K41" s="19">
        <f t="shared" si="1"/>
        <v>0</v>
      </c>
      <c r="L41"/>
      <c r="M41"/>
      <c r="N41"/>
      <c r="O41"/>
      <c r="P41"/>
      <c r="Q41"/>
      <c r="R41" s="30"/>
      <c r="S41" s="30"/>
      <c r="T41" s="30"/>
      <c r="U41" s="30"/>
      <c r="V41" s="30"/>
    </row>
    <row r="42" spans="1:22" s="88" customFormat="1" ht="30">
      <c r="A42" s="116"/>
      <c r="B42" s="19" t="s">
        <v>576</v>
      </c>
      <c r="C42" s="31" t="s">
        <v>579</v>
      </c>
      <c r="D42" s="135" t="s">
        <v>88</v>
      </c>
      <c r="E42" s="371"/>
      <c r="F42" s="371"/>
      <c r="G42" s="371"/>
      <c r="H42" s="78">
        <v>10</v>
      </c>
      <c r="I42" s="372">
        <f t="shared" si="4"/>
        <v>0</v>
      </c>
      <c r="J42" s="23">
        <f t="shared" si="3"/>
        <v>0</v>
      </c>
      <c r="K42" s="19">
        <f t="shared" si="1"/>
        <v>0</v>
      </c>
      <c r="L42"/>
      <c r="M42"/>
      <c r="N42"/>
      <c r="O42"/>
      <c r="P42"/>
      <c r="Q42"/>
      <c r="R42" s="30"/>
      <c r="S42" s="30"/>
      <c r="T42" s="30"/>
      <c r="U42" s="30"/>
      <c r="V42" s="30"/>
    </row>
    <row r="43" spans="1:22" s="88" customFormat="1" ht="60">
      <c r="A43" s="116"/>
      <c r="B43" s="246" t="s">
        <v>578</v>
      </c>
      <c r="C43" s="156" t="s">
        <v>581</v>
      </c>
      <c r="D43" s="150" t="s">
        <v>88</v>
      </c>
      <c r="E43" s="370"/>
      <c r="F43" s="370"/>
      <c r="G43" s="370"/>
      <c r="H43" s="159">
        <v>10</v>
      </c>
      <c r="I43" s="159">
        <f t="shared" si="4"/>
        <v>0</v>
      </c>
      <c r="J43" s="250">
        <f t="shared" si="3"/>
        <v>0</v>
      </c>
      <c r="K43" s="19">
        <f t="shared" si="1"/>
        <v>0</v>
      </c>
      <c r="L43"/>
      <c r="M43"/>
      <c r="N43"/>
      <c r="O43"/>
      <c r="P43"/>
      <c r="Q43"/>
      <c r="R43" s="30"/>
      <c r="S43" s="30"/>
      <c r="T43" s="30"/>
      <c r="U43" s="30"/>
      <c r="V43" s="30"/>
    </row>
    <row r="44" spans="1:22" s="88" customFormat="1" ht="30">
      <c r="A44" s="116"/>
      <c r="B44" s="19" t="s">
        <v>580</v>
      </c>
      <c r="C44" s="39" t="s">
        <v>583</v>
      </c>
      <c r="D44" s="29" t="s">
        <v>88</v>
      </c>
      <c r="E44" s="371"/>
      <c r="F44" s="371"/>
      <c r="G44" s="371"/>
      <c r="H44" s="78">
        <v>10</v>
      </c>
      <c r="I44" s="372">
        <f t="shared" si="4"/>
        <v>0</v>
      </c>
      <c r="J44" s="23">
        <f t="shared" si="3"/>
        <v>0</v>
      </c>
      <c r="K44" s="19">
        <f t="shared" si="1"/>
        <v>0</v>
      </c>
      <c r="L44"/>
      <c r="M44"/>
      <c r="N44"/>
      <c r="O44"/>
      <c r="P44"/>
      <c r="Q44"/>
      <c r="R44" s="30"/>
      <c r="S44" s="30"/>
      <c r="T44" s="30"/>
      <c r="U44" s="30"/>
      <c r="V44" s="30"/>
    </row>
    <row r="45" spans="1:22" s="88" customFormat="1" ht="30">
      <c r="A45" s="116"/>
      <c r="B45" s="246" t="s">
        <v>582</v>
      </c>
      <c r="C45" s="156" t="s">
        <v>585</v>
      </c>
      <c r="D45" s="150" t="s">
        <v>88</v>
      </c>
      <c r="E45" s="370"/>
      <c r="F45" s="370"/>
      <c r="G45" s="370"/>
      <c r="H45" s="159">
        <v>10</v>
      </c>
      <c r="I45" s="159">
        <f t="shared" si="4"/>
        <v>0</v>
      </c>
      <c r="J45" s="250">
        <f t="shared" si="3"/>
        <v>0</v>
      </c>
      <c r="K45" s="19">
        <f t="shared" si="1"/>
        <v>0</v>
      </c>
      <c r="L45"/>
      <c r="M45"/>
      <c r="N45"/>
      <c r="O45"/>
      <c r="P45"/>
      <c r="Q45"/>
      <c r="R45" s="30"/>
      <c r="S45" s="30"/>
      <c r="T45" s="30"/>
      <c r="U45" s="30"/>
      <c r="V45" s="30"/>
    </row>
    <row r="46" spans="1:22" s="88" customFormat="1" ht="21">
      <c r="A46" s="116"/>
      <c r="B46" s="145"/>
      <c r="C46" s="145" t="s">
        <v>586</v>
      </c>
      <c r="D46" s="145"/>
      <c r="E46" s="145"/>
      <c r="F46" s="145"/>
      <c r="G46" s="145"/>
      <c r="H46" s="145"/>
      <c r="I46" s="145"/>
      <c r="J46" s="145"/>
      <c r="K46" s="19">
        <f t="shared" si="1"/>
        <v>0</v>
      </c>
      <c r="L46"/>
      <c r="M46"/>
      <c r="N46"/>
      <c r="O46"/>
      <c r="P46"/>
      <c r="Q46"/>
      <c r="R46" s="30"/>
      <c r="S46" s="30"/>
      <c r="T46" s="30"/>
      <c r="U46" s="30"/>
      <c r="V46" s="30"/>
    </row>
    <row r="47" spans="1:22" s="88" customFormat="1" ht="30">
      <c r="A47" s="116"/>
      <c r="B47" s="110" t="s">
        <v>584</v>
      </c>
      <c r="C47" s="248" t="s">
        <v>587</v>
      </c>
      <c r="D47" s="203" t="s">
        <v>88</v>
      </c>
      <c r="E47" s="370"/>
      <c r="F47" s="370"/>
      <c r="G47" s="370"/>
      <c r="H47" s="249">
        <v>10</v>
      </c>
      <c r="I47" s="159">
        <f t="shared" si="4"/>
        <v>0</v>
      </c>
      <c r="J47" s="250">
        <f t="shared" si="3"/>
        <v>0</v>
      </c>
      <c r="K47" s="19">
        <f t="shared" si="1"/>
        <v>0</v>
      </c>
      <c r="L47"/>
      <c r="M47"/>
      <c r="N47"/>
      <c r="O47"/>
      <c r="P47"/>
      <c r="Q47"/>
      <c r="R47" s="30"/>
      <c r="S47" s="30"/>
      <c r="T47" s="30"/>
      <c r="U47" s="30"/>
      <c r="V47" s="30"/>
    </row>
    <row r="48" spans="1:22">
      <c r="B48" s="112"/>
      <c r="C48" s="22" t="s">
        <v>179</v>
      </c>
      <c r="D48" s="55">
        <f>COUNTIF(D5:D47,"Wens")</f>
        <v>27</v>
      </c>
      <c r="E48" s="29"/>
      <c r="F48" s="29"/>
      <c r="G48" s="29"/>
      <c r="H48" s="29"/>
      <c r="I48" s="372"/>
      <c r="J48" s="23"/>
      <c r="K48" s="19">
        <f t="shared" si="1"/>
        <v>0</v>
      </c>
    </row>
    <row r="49" spans="2:11">
      <c r="B49" s="231"/>
      <c r="C49" s="143" t="s">
        <v>180</v>
      </c>
      <c r="D49" s="232">
        <f>COUNTIF(D5:D47,"Eis")</f>
        <v>12</v>
      </c>
      <c r="E49" s="203"/>
      <c r="F49" s="203"/>
      <c r="G49" s="233" t="s">
        <v>44</v>
      </c>
      <c r="H49" s="249">
        <f>SUM(H4:H47)</f>
        <v>370</v>
      </c>
      <c r="I49" s="249">
        <f>SUM(I4:I47)</f>
        <v>0</v>
      </c>
      <c r="J49" s="249">
        <f>SUM(J4:J47)</f>
        <v>0</v>
      </c>
      <c r="K49" s="19">
        <f t="shared" si="1"/>
        <v>1</v>
      </c>
    </row>
  </sheetData>
  <sheetProtection algorithmName="SHA-512" hashValue="m9+YBRXTQBXrlnmziqt8uyGUHcHORI0YCyd2BovOJR/CO47THzp5WFAIX/ZHamW4cS5npLLfFZ//Ynm7MFK/SQ==" saltValue="hn6FpQ0RZBzfcni70+KfTQ==" spinCount="100000" sheet="1" objects="1" scenarios="1"/>
  <protectedRanges>
    <protectedRange sqref="E5:E13 E14:G15 E17:G26 E28 E29:G35 E36 E37 E38:G38 E40:G45 E47:G47" name="Invoer 8HR4"/>
  </protectedRanges>
  <phoneticPr fontId="20" type="noConversion"/>
  <conditionalFormatting sqref="K2 K4:K49">
    <cfRule type="cellIs" dxfId="76" priority="1" operator="greaterThan">
      <formula>1</formula>
    </cfRule>
    <cfRule type="cellIs" dxfId="75" priority="2" operator="greaterThan">
      <formula>1</formula>
    </cfRule>
    <cfRule type="cellIs" dxfId="74" priority="3" operator="lessThanOrEqual">
      <formula>1</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503216DA-AB7D-42F3-B2F3-73813F6BF7E7}">
          <x14:formula1>
            <xm:f>Blad1!$B$2:$B$3</xm:f>
          </x14:formula1>
          <xm:sqref>E14:G15 E17:G26 E40:G45 E47:G47 E38:G38 F29:G35 E28:E37 E5:E13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BFA8D-F3FE-4E8F-AC00-607FA10CFB00}">
  <sheetPr>
    <tabColor rgb="FF7030A0"/>
  </sheetPr>
  <dimension ref="A1:K18"/>
  <sheetViews>
    <sheetView topLeftCell="B1" workbookViewId="0">
      <selection activeCell="E16" sqref="E16"/>
    </sheetView>
  </sheetViews>
  <sheetFormatPr defaultColWidth="8.7109375" defaultRowHeight="15"/>
  <cols>
    <col min="1" max="1" width="9.7109375" customWidth="1"/>
    <col min="2" max="2" width="21.140625" customWidth="1"/>
    <col min="3" max="3" width="67" customWidth="1"/>
    <col min="4" max="4" width="9.42578125" bestFit="1" customWidth="1"/>
    <col min="5" max="5" width="22.85546875" customWidth="1"/>
    <col min="6" max="7" width="25.42578125" customWidth="1"/>
    <col min="8" max="8" width="10.7109375" customWidth="1"/>
    <col min="9" max="9" width="14.140625" customWidth="1"/>
    <col min="10" max="10" width="17.42578125" bestFit="1" customWidth="1"/>
    <col min="11" max="11" width="3.7109375" customWidth="1"/>
  </cols>
  <sheetData>
    <row r="1" spans="1:11">
      <c r="A1" s="46"/>
      <c r="B1" s="82" t="s">
        <v>46</v>
      </c>
      <c r="C1" s="82" t="s">
        <v>47</v>
      </c>
      <c r="D1" s="82" t="s">
        <v>48</v>
      </c>
      <c r="E1" s="82" t="s">
        <v>49</v>
      </c>
      <c r="F1" s="82" t="s">
        <v>50</v>
      </c>
      <c r="G1" s="82" t="s">
        <v>51</v>
      </c>
      <c r="H1" s="82" t="s">
        <v>52</v>
      </c>
      <c r="I1" s="82" t="s">
        <v>53</v>
      </c>
      <c r="J1" s="92" t="s">
        <v>588</v>
      </c>
      <c r="K1" s="383" t="s">
        <v>589</v>
      </c>
    </row>
    <row r="2" spans="1:11" ht="15.75" thickBot="1">
      <c r="B2" s="164"/>
      <c r="C2" s="282" t="s">
        <v>590</v>
      </c>
      <c r="D2" s="165"/>
      <c r="E2" s="165"/>
      <c r="F2" s="165"/>
      <c r="G2" s="165"/>
      <c r="H2" s="165"/>
      <c r="I2" s="165"/>
      <c r="J2" s="165"/>
      <c r="K2" s="18">
        <f t="shared" ref="K2:K18" si="0">COUNTA(E2:G2)</f>
        <v>0</v>
      </c>
    </row>
    <row r="3" spans="1:11" s="32" customFormat="1" ht="60">
      <c r="A3" s="98"/>
      <c r="B3" s="99" t="s">
        <v>57</v>
      </c>
      <c r="C3" s="94" t="s">
        <v>58</v>
      </c>
      <c r="D3" s="14" t="s">
        <v>121</v>
      </c>
      <c r="E3" s="14" t="s">
        <v>60</v>
      </c>
      <c r="F3" s="14" t="s">
        <v>61</v>
      </c>
      <c r="G3" s="51" t="s">
        <v>62</v>
      </c>
      <c r="H3" s="15" t="s">
        <v>63</v>
      </c>
      <c r="I3" s="14" t="s">
        <v>64</v>
      </c>
      <c r="J3" s="14" t="s">
        <v>65</v>
      </c>
    </row>
    <row r="4" spans="1:11">
      <c r="A4" s="12"/>
      <c r="B4" s="160" t="s">
        <v>591</v>
      </c>
      <c r="C4" s="17" t="s">
        <v>592</v>
      </c>
      <c r="D4" s="407" t="s">
        <v>68</v>
      </c>
      <c r="E4" s="19"/>
      <c r="F4" s="80"/>
      <c r="G4" s="80"/>
      <c r="H4" s="80"/>
      <c r="I4" s="140"/>
      <c r="J4" s="96"/>
      <c r="K4" s="18">
        <f t="shared" si="0"/>
        <v>0</v>
      </c>
    </row>
    <row r="5" spans="1:11" ht="30">
      <c r="A5" s="12"/>
      <c r="B5" s="160" t="s">
        <v>593</v>
      </c>
      <c r="C5" s="17" t="s">
        <v>594</v>
      </c>
      <c r="D5" s="409" t="s">
        <v>68</v>
      </c>
      <c r="E5" s="19"/>
      <c r="F5" s="80"/>
      <c r="G5" s="80"/>
      <c r="H5" s="80"/>
      <c r="I5" s="140"/>
      <c r="J5" s="96"/>
      <c r="K5" s="18">
        <f t="shared" si="0"/>
        <v>0</v>
      </c>
    </row>
    <row r="6" spans="1:11">
      <c r="A6" s="12"/>
      <c r="B6" s="160" t="s">
        <v>595</v>
      </c>
      <c r="C6" s="17" t="s">
        <v>596</v>
      </c>
      <c r="D6" s="101" t="s">
        <v>88</v>
      </c>
      <c r="E6" s="19"/>
      <c r="F6" s="19"/>
      <c r="G6" s="19"/>
      <c r="H6" s="80">
        <v>20</v>
      </c>
      <c r="I6" s="140">
        <f>IF(Tabel11[[#This Row],[Kolom4]]="Ja",Tabel11[[#This Row],[Kolom7]],0)</f>
        <v>0</v>
      </c>
      <c r="J6" s="96">
        <f>IF(Tabel11[[#This Row],[Kolom5]]="Ja",Tabel11[[#This Row],[Kolom7]]/2,0)</f>
        <v>0</v>
      </c>
      <c r="K6" s="18">
        <f t="shared" si="0"/>
        <v>0</v>
      </c>
    </row>
    <row r="7" spans="1:11" ht="30">
      <c r="A7" s="12"/>
      <c r="B7" s="160" t="s">
        <v>597</v>
      </c>
      <c r="C7" s="37" t="s">
        <v>598</v>
      </c>
      <c r="D7" s="101" t="s">
        <v>88</v>
      </c>
      <c r="E7" s="19"/>
      <c r="F7" s="19"/>
      <c r="G7" s="19"/>
      <c r="H7" s="80">
        <v>20</v>
      </c>
      <c r="I7" s="140">
        <f>IF(Tabel11[[#This Row],[Kolom4]]="Ja",Tabel11[[#This Row],[Kolom7]],0)</f>
        <v>0</v>
      </c>
      <c r="J7" s="96">
        <f>IF(Tabel11[[#This Row],[Kolom5]]="Ja",Tabel11[[#This Row],[Kolom7]]/2,0)</f>
        <v>0</v>
      </c>
      <c r="K7" s="18">
        <f t="shared" si="0"/>
        <v>0</v>
      </c>
    </row>
    <row r="8" spans="1:11" ht="30">
      <c r="A8" s="12"/>
      <c r="B8" s="160" t="s">
        <v>599</v>
      </c>
      <c r="C8" s="37" t="s">
        <v>600</v>
      </c>
      <c r="D8" s="101" t="s">
        <v>88</v>
      </c>
      <c r="E8" s="19"/>
      <c r="F8" s="19"/>
      <c r="G8" s="19"/>
      <c r="H8" s="80">
        <v>10</v>
      </c>
      <c r="I8" s="140">
        <f>IF(Tabel11[[#This Row],[Kolom4]]="Ja",Tabel11[[#This Row],[Kolom7]],0)</f>
        <v>0</v>
      </c>
      <c r="J8" s="96">
        <f>IF(Tabel11[[#This Row],[Kolom5]]="Ja",Tabel11[[#This Row],[Kolom7]]/2,0)</f>
        <v>0</v>
      </c>
      <c r="K8" s="18">
        <f t="shared" si="0"/>
        <v>0</v>
      </c>
    </row>
    <row r="9" spans="1:11" ht="30">
      <c r="A9" s="12"/>
      <c r="B9" s="160" t="s">
        <v>601</v>
      </c>
      <c r="C9" s="43" t="s">
        <v>602</v>
      </c>
      <c r="D9" s="101" t="s">
        <v>88</v>
      </c>
      <c r="E9" s="19"/>
      <c r="F9" s="19"/>
      <c r="G9" s="19"/>
      <c r="H9" s="80">
        <v>20</v>
      </c>
      <c r="I9" s="140">
        <f>IF(Tabel11[[#This Row],[Kolom4]]="Ja",Tabel11[[#This Row],[Kolom7]],0)</f>
        <v>0</v>
      </c>
      <c r="J9" s="96">
        <f>IF(Tabel11[[#This Row],[Kolom5]]="Ja",Tabel11[[#This Row],[Kolom7]]/2,0)</f>
        <v>0</v>
      </c>
      <c r="K9" s="18">
        <f t="shared" si="0"/>
        <v>0</v>
      </c>
    </row>
    <row r="10" spans="1:11" ht="30">
      <c r="A10" s="12"/>
      <c r="B10" s="160" t="s">
        <v>603</v>
      </c>
      <c r="C10" s="17" t="s">
        <v>604</v>
      </c>
      <c r="D10" s="101" t="s">
        <v>88</v>
      </c>
      <c r="E10" s="19"/>
      <c r="F10" s="19"/>
      <c r="G10" s="19"/>
      <c r="H10" s="80">
        <v>20</v>
      </c>
      <c r="I10" s="140">
        <f>IF(Tabel11[[#This Row],[Kolom4]]="Ja",Tabel11[[#This Row],[Kolom7]],0)</f>
        <v>0</v>
      </c>
      <c r="J10" s="96">
        <f>IF(Tabel11[[#This Row],[Kolom5]]="Ja",Tabel11[[#This Row],[Kolom7]]/2,0)</f>
        <v>0</v>
      </c>
      <c r="K10" s="18">
        <f t="shared" si="0"/>
        <v>0</v>
      </c>
    </row>
    <row r="11" spans="1:11" ht="45">
      <c r="B11" s="160" t="s">
        <v>605</v>
      </c>
      <c r="C11" s="293" t="s">
        <v>606</v>
      </c>
      <c r="D11" s="409" t="s">
        <v>68</v>
      </c>
      <c r="E11" s="19"/>
      <c r="F11" s="18"/>
      <c r="G11" s="18"/>
      <c r="H11" s="65"/>
      <c r="I11" s="140"/>
      <c r="J11" s="96"/>
      <c r="K11" s="18">
        <f t="shared" si="0"/>
        <v>0</v>
      </c>
    </row>
    <row r="12" spans="1:11" ht="30">
      <c r="B12" s="160" t="s">
        <v>607</v>
      </c>
      <c r="C12" s="127" t="s">
        <v>608</v>
      </c>
      <c r="D12" s="413" t="s">
        <v>68</v>
      </c>
      <c r="E12" s="19"/>
      <c r="F12" s="18"/>
      <c r="G12" s="18"/>
      <c r="H12" s="65"/>
      <c r="I12" s="140"/>
      <c r="J12" s="96"/>
      <c r="K12" s="18">
        <f t="shared" si="0"/>
        <v>0</v>
      </c>
    </row>
    <row r="13" spans="1:11" ht="30">
      <c r="B13" s="160" t="s">
        <v>609</v>
      </c>
      <c r="C13" s="293" t="s">
        <v>610</v>
      </c>
      <c r="D13" s="294" t="s">
        <v>88</v>
      </c>
      <c r="E13" s="19"/>
      <c r="F13" s="19"/>
      <c r="G13" s="19"/>
      <c r="H13" s="65">
        <v>20</v>
      </c>
      <c r="I13" s="140">
        <f>IF(Tabel11[[#This Row],[Kolom4]]="Ja",Tabel11[[#This Row],[Kolom7]],0)</f>
        <v>0</v>
      </c>
      <c r="J13" s="96">
        <f>IF(Tabel11[[#This Row],[Kolom5]]="Ja",Tabel11[[#This Row],[Kolom7]]/2,0)</f>
        <v>0</v>
      </c>
      <c r="K13" s="18">
        <f t="shared" si="0"/>
        <v>0</v>
      </c>
    </row>
    <row r="14" spans="1:11" ht="30">
      <c r="B14" s="160" t="s">
        <v>611</v>
      </c>
      <c r="C14" s="17" t="s">
        <v>612</v>
      </c>
      <c r="D14" s="162" t="s">
        <v>88</v>
      </c>
      <c r="E14" s="19"/>
      <c r="F14" s="19"/>
      <c r="G14" s="19"/>
      <c r="H14" s="65">
        <v>10</v>
      </c>
      <c r="I14" s="140">
        <f>IF(Tabel11[[#This Row],[Kolom4]]="Ja",Tabel11[[#This Row],[Kolom7]],0)</f>
        <v>0</v>
      </c>
      <c r="J14" s="96">
        <f>IF(Tabel11[[#This Row],[Kolom5]]="Ja",Tabel11[[#This Row],[Kolom7]]/2,0)</f>
        <v>0</v>
      </c>
      <c r="K14" s="18">
        <f t="shared" si="0"/>
        <v>0</v>
      </c>
    </row>
    <row r="15" spans="1:11" ht="45">
      <c r="B15" s="160" t="s">
        <v>613</v>
      </c>
      <c r="C15" s="17" t="s">
        <v>614</v>
      </c>
      <c r="D15" s="294" t="s">
        <v>88</v>
      </c>
      <c r="E15" s="19"/>
      <c r="F15" s="19"/>
      <c r="G15" s="19"/>
      <c r="H15" s="65">
        <v>20</v>
      </c>
      <c r="I15" s="140">
        <f>IF(Tabel11[[#This Row],[Kolom4]]="Ja",Tabel11[[#This Row],[Kolom7]],0)</f>
        <v>0</v>
      </c>
      <c r="J15" s="96">
        <f>IF(Tabel11[[#This Row],[Kolom5]]="Ja",Tabel11[[#This Row],[Kolom7]]/2,0)</f>
        <v>0</v>
      </c>
      <c r="K15" s="18">
        <f t="shared" si="0"/>
        <v>0</v>
      </c>
    </row>
    <row r="16" spans="1:11" ht="30">
      <c r="B16" s="114" t="s">
        <v>615</v>
      </c>
      <c r="C16" s="17" t="s">
        <v>616</v>
      </c>
      <c r="D16" s="266" t="s">
        <v>88</v>
      </c>
      <c r="E16" s="19"/>
      <c r="F16" s="19"/>
      <c r="G16" s="19"/>
      <c r="H16" s="65">
        <v>10</v>
      </c>
      <c r="I16" s="140">
        <f>IF(Tabel11[[#This Row],[Kolom4]]="Ja",Tabel11[[#This Row],[Kolom7]],0)</f>
        <v>0</v>
      </c>
      <c r="J16" s="96">
        <f>IF(Tabel11[[#This Row],[Kolom5]]="Ja",Tabel11[[#This Row],[Kolom7]]/2,0)</f>
        <v>0</v>
      </c>
      <c r="K16" s="18">
        <f t="shared" si="0"/>
        <v>0</v>
      </c>
    </row>
    <row r="17" spans="2:11">
      <c r="B17" s="108"/>
      <c r="C17" s="22" t="s">
        <v>179</v>
      </c>
      <c r="D17" s="22">
        <f>COUNTIF(D4:D16,"Wens")</f>
        <v>9</v>
      </c>
      <c r="E17" s="22"/>
      <c r="F17" s="22"/>
      <c r="G17" s="22"/>
      <c r="H17" s="65"/>
      <c r="I17" s="141"/>
      <c r="J17" s="109"/>
      <c r="K17" s="18">
        <f t="shared" si="0"/>
        <v>0</v>
      </c>
    </row>
    <row r="18" spans="2:11">
      <c r="B18" s="289"/>
      <c r="C18" s="143" t="s">
        <v>180</v>
      </c>
      <c r="D18" s="290">
        <f>COUNTIF(D4:D15,"Eis")</f>
        <v>4</v>
      </c>
      <c r="E18" s="291"/>
      <c r="F18" s="291"/>
      <c r="G18" s="233" t="s">
        <v>44</v>
      </c>
      <c r="H18" s="292">
        <f>SUBTOTAL(109,H2:H17)</f>
        <v>150</v>
      </c>
      <c r="I18" s="292">
        <f t="shared" ref="I18:J18" si="1">SUBTOTAL(109,I2:I17)</f>
        <v>0</v>
      </c>
      <c r="J18" s="292">
        <f t="shared" si="1"/>
        <v>0</v>
      </c>
      <c r="K18" s="18">
        <f t="shared" si="0"/>
        <v>1</v>
      </c>
    </row>
  </sheetData>
  <sheetProtection algorithmName="SHA-512" hashValue="unsUEW5NFAFwtfEzJoLvh55lXGL+ZQrB+A07nM6S3ZjzfJtoRcW4w6JiCvVJTQWxwABQ5pEW8lewyVJLfFrRvw==" saltValue="zyLrq+tCoEvgQnVHhKNJCQ==" spinCount="100000" sheet="1" objects="1" scenarios="1"/>
  <protectedRanges>
    <protectedRange sqref="E4:E5 E6:G10 E11:E12 E13:G16" name="Invoer Tijdschrijven"/>
  </protectedRanges>
  <phoneticPr fontId="20" type="noConversion"/>
  <conditionalFormatting sqref="K2 K4:K18">
    <cfRule type="cellIs" dxfId="50" priority="1" operator="greaterThan">
      <formula>1</formula>
    </cfRule>
    <cfRule type="cellIs" dxfId="49" priority="2" operator="greaterThan">
      <formula>1</formula>
    </cfRule>
    <cfRule type="cellIs" dxfId="48" priority="3" operator="lessThanOrEqual">
      <formula>1</formula>
    </cfRule>
  </conditionalFormatting>
  <hyperlinks>
    <hyperlink ref="J1" location="Voorblad!A1" display="Naar Voorblad" xr:uid="{35E3295E-B435-42F1-8E74-E3B29EC67149}"/>
  </hyperlinks>
  <pageMargins left="0.7" right="0.7" top="0.75" bottom="0.75" header="0.3" footer="0.3"/>
  <pageSetup orientation="portrait" r:id="rId1"/>
  <ignoredErrors>
    <ignoredError sqref="F3:G3 G18" calculatedColumn="1"/>
  </ignoredErrors>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C8B96A9-4616-48CC-95A6-48F2B00F83F4}">
          <x14:formula1>
            <xm:f>Blad1!$B$2:$B$3</xm:f>
          </x14:formula1>
          <xm:sqref>F13:G16 F6:G10 E4:E16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6B0C-304F-4613-96C8-D271F6450E7E}">
  <sheetPr>
    <tabColor theme="5" tint="0.59999389629810485"/>
  </sheetPr>
  <dimension ref="A1:L21"/>
  <sheetViews>
    <sheetView workbookViewId="0">
      <selection activeCell="C12" sqref="C12"/>
    </sheetView>
  </sheetViews>
  <sheetFormatPr defaultColWidth="8.7109375" defaultRowHeight="15"/>
  <cols>
    <col min="1" max="1" width="9.7109375" customWidth="1"/>
    <col min="2" max="2" width="10" bestFit="1" customWidth="1"/>
    <col min="3" max="3" width="67" customWidth="1"/>
    <col min="4" max="4" width="9.42578125" bestFit="1" customWidth="1"/>
    <col min="5" max="5" width="25.42578125" bestFit="1" customWidth="1"/>
    <col min="6" max="10" width="14.42578125" customWidth="1"/>
    <col min="11" max="11" width="3" customWidth="1"/>
  </cols>
  <sheetData>
    <row r="1" spans="1:12">
      <c r="A1" s="46"/>
      <c r="B1" s="106" t="s">
        <v>46</v>
      </c>
      <c r="C1" s="106" t="s">
        <v>47</v>
      </c>
      <c r="D1" s="106" t="s">
        <v>48</v>
      </c>
      <c r="E1" s="106" t="s">
        <v>49</v>
      </c>
      <c r="F1" s="106" t="s">
        <v>50</v>
      </c>
      <c r="G1" s="106" t="s">
        <v>51</v>
      </c>
      <c r="H1" s="106" t="s">
        <v>52</v>
      </c>
      <c r="I1" s="106" t="s">
        <v>53</v>
      </c>
      <c r="J1" s="106" t="s">
        <v>54</v>
      </c>
      <c r="K1" s="383" t="s">
        <v>55</v>
      </c>
    </row>
    <row r="2" spans="1:12" ht="15.75" thickBot="1">
      <c r="B2" s="164"/>
      <c r="C2" s="285" t="s">
        <v>617</v>
      </c>
      <c r="D2" s="165"/>
      <c r="E2" s="165"/>
      <c r="F2" s="165"/>
      <c r="G2" s="165"/>
      <c r="H2" s="165"/>
      <c r="I2" s="165"/>
      <c r="J2" s="267"/>
      <c r="K2" s="381"/>
      <c r="L2" s="381"/>
    </row>
    <row r="3" spans="1:12" s="32" customFormat="1" ht="75">
      <c r="A3" s="98"/>
      <c r="B3" s="99" t="s">
        <v>57</v>
      </c>
      <c r="C3" s="94" t="s">
        <v>58</v>
      </c>
      <c r="D3" s="14" t="s">
        <v>121</v>
      </c>
      <c r="E3" s="14" t="s">
        <v>60</v>
      </c>
      <c r="F3" s="14" t="s">
        <v>61</v>
      </c>
      <c r="G3" s="51" t="s">
        <v>62</v>
      </c>
      <c r="H3" s="15" t="s">
        <v>63</v>
      </c>
      <c r="I3" s="14" t="s">
        <v>64</v>
      </c>
      <c r="J3" s="14" t="s">
        <v>65</v>
      </c>
      <c r="K3" s="390"/>
      <c r="L3" s="390"/>
    </row>
    <row r="4" spans="1:12" ht="15.75">
      <c r="A4" s="12"/>
      <c r="B4" s="95"/>
      <c r="C4" s="107" t="s">
        <v>618</v>
      </c>
      <c r="D4" s="71"/>
      <c r="E4" s="71"/>
      <c r="F4" s="71"/>
      <c r="G4" s="71"/>
      <c r="H4" s="71"/>
      <c r="I4" s="71"/>
      <c r="J4" s="71"/>
      <c r="K4" s="381"/>
      <c r="L4" s="381"/>
    </row>
    <row r="5" spans="1:12" ht="60">
      <c r="A5" s="12"/>
      <c r="B5" s="295" t="s">
        <v>619</v>
      </c>
      <c r="C5" s="296" t="s">
        <v>620</v>
      </c>
      <c r="D5" s="297" t="s">
        <v>88</v>
      </c>
      <c r="E5" s="297"/>
      <c r="F5" s="297"/>
      <c r="G5" s="297"/>
      <c r="H5" s="298">
        <v>10</v>
      </c>
      <c r="I5" s="299">
        <f>IF(Tabel11216[[#This Row],[Kolom4]]="Ja",Tabel11216[[#This Row],[Kolom7]],0)</f>
        <v>0</v>
      </c>
      <c r="J5" s="299">
        <f>IF(Tabel11216[[#This Row],[Kolom5]]="Ja",Tabel11216[[#This Row],[Kolom7]]/2,0)</f>
        <v>0</v>
      </c>
      <c r="K5" s="18">
        <f t="shared" ref="K5:K21" si="0">COUNTA(E5:G5)</f>
        <v>0</v>
      </c>
    </row>
    <row r="6" spans="1:12" ht="15.75">
      <c r="A6" s="12"/>
      <c r="B6" s="95"/>
      <c r="C6" s="107" t="s">
        <v>621</v>
      </c>
      <c r="D6" s="71"/>
      <c r="E6" s="122"/>
      <c r="F6" s="122"/>
      <c r="G6" s="122"/>
      <c r="H6" s="122"/>
      <c r="I6" s="122"/>
      <c r="J6" s="122"/>
      <c r="K6" s="18">
        <f t="shared" si="0"/>
        <v>0</v>
      </c>
    </row>
    <row r="7" spans="1:12" ht="30">
      <c r="A7" s="12"/>
      <c r="B7" s="16"/>
      <c r="C7" s="17" t="s">
        <v>622</v>
      </c>
      <c r="D7" s="101"/>
      <c r="E7" s="101"/>
      <c r="F7" s="101"/>
      <c r="G7" s="101"/>
      <c r="H7" s="101"/>
      <c r="I7" s="101"/>
      <c r="J7" s="101"/>
      <c r="K7" s="18">
        <f t="shared" si="0"/>
        <v>0</v>
      </c>
    </row>
    <row r="8" spans="1:12">
      <c r="A8" s="12"/>
      <c r="B8" s="161" t="s">
        <v>623</v>
      </c>
      <c r="C8" s="17" t="s">
        <v>624</v>
      </c>
      <c r="D8" s="101" t="s">
        <v>88</v>
      </c>
      <c r="E8" s="297"/>
      <c r="F8" s="19"/>
      <c r="G8" s="19"/>
      <c r="H8" s="80">
        <v>10</v>
      </c>
      <c r="I8" s="299">
        <f>IF(Tabel11216[[#This Row],[Kolom4]]="Ja",Tabel11216[[#This Row],[Kolom7]],0)</f>
        <v>0</v>
      </c>
      <c r="J8" s="299">
        <f>IF(Tabel11216[[#This Row],[Kolom5]]="Ja",Tabel11216[[#This Row],[Kolom7]]/2,0)</f>
        <v>0</v>
      </c>
      <c r="K8" s="18">
        <f t="shared" si="0"/>
        <v>0</v>
      </c>
    </row>
    <row r="9" spans="1:12">
      <c r="A9" s="12"/>
      <c r="B9" s="161" t="s">
        <v>625</v>
      </c>
      <c r="C9" s="104" t="s">
        <v>626</v>
      </c>
      <c r="D9" s="101" t="s">
        <v>88</v>
      </c>
      <c r="E9" s="414"/>
      <c r="F9" s="19"/>
      <c r="G9" s="19"/>
      <c r="H9" s="80">
        <v>10</v>
      </c>
      <c r="I9" s="373">
        <f>IF(Tabel11216[[#This Row],[Kolom4]]="Ja",Tabel11216[[#This Row],[Kolom7]],0)</f>
        <v>0</v>
      </c>
      <c r="J9" s="373">
        <f>IF(Tabel11216[[#This Row],[Kolom5]]="Ja",Tabel11216[[#This Row],[Kolom7]]/2,0)</f>
        <v>0</v>
      </c>
      <c r="K9" s="18">
        <f t="shared" si="0"/>
        <v>0</v>
      </c>
    </row>
    <row r="10" spans="1:12">
      <c r="A10" s="12"/>
      <c r="B10" s="161" t="s">
        <v>627</v>
      </c>
      <c r="C10" s="17" t="s">
        <v>628</v>
      </c>
      <c r="D10" s="101" t="s">
        <v>88</v>
      </c>
      <c r="E10" s="297"/>
      <c r="F10" s="19"/>
      <c r="G10" s="19"/>
      <c r="H10" s="80">
        <v>10</v>
      </c>
      <c r="I10" s="299">
        <f>IF(Tabel11216[[#This Row],[Kolom4]]="Ja",Tabel11216[[#This Row],[Kolom7]],0)</f>
        <v>0</v>
      </c>
      <c r="J10" s="299">
        <f>IF(Tabel11216[[#This Row],[Kolom5]]="Ja",Tabel11216[[#This Row],[Kolom7]]/2,0)</f>
        <v>0</v>
      </c>
      <c r="K10" s="18">
        <f t="shared" si="0"/>
        <v>0</v>
      </c>
    </row>
    <row r="11" spans="1:12" ht="30">
      <c r="A11" s="12"/>
      <c r="B11" s="161" t="s">
        <v>629</v>
      </c>
      <c r="C11" s="37" t="s">
        <v>630</v>
      </c>
      <c r="D11" s="101" t="s">
        <v>88</v>
      </c>
      <c r="E11" s="414"/>
      <c r="F11" s="19"/>
      <c r="G11" s="19"/>
      <c r="H11" s="80">
        <v>10</v>
      </c>
      <c r="I11" s="373">
        <f>IF(Tabel11216[[#This Row],[Kolom4]]="Ja",Tabel11216[[#This Row],[Kolom7]],0)</f>
        <v>0</v>
      </c>
      <c r="J11" s="373">
        <f>IF(Tabel11216[[#This Row],[Kolom5]]="Ja",Tabel11216[[#This Row],[Kolom7]]/2,0)</f>
        <v>0</v>
      </c>
      <c r="K11" s="18">
        <f t="shared" si="0"/>
        <v>0</v>
      </c>
    </row>
    <row r="12" spans="1:12" ht="45">
      <c r="A12" s="12"/>
      <c r="B12" s="161" t="s">
        <v>631</v>
      </c>
      <c r="C12" s="17" t="s">
        <v>83</v>
      </c>
      <c r="D12" s="408" t="s">
        <v>68</v>
      </c>
      <c r="E12" s="297"/>
      <c r="F12" s="18"/>
      <c r="G12" s="18"/>
      <c r="H12" s="80"/>
      <c r="I12" s="18"/>
      <c r="J12" s="18"/>
      <c r="K12" s="18">
        <f t="shared" si="0"/>
        <v>0</v>
      </c>
    </row>
    <row r="13" spans="1:12" ht="15.75">
      <c r="A13" s="12"/>
      <c r="B13" s="95"/>
      <c r="C13" s="107" t="s">
        <v>632</v>
      </c>
      <c r="D13" s="71"/>
      <c r="E13" s="71"/>
      <c r="F13" s="71"/>
      <c r="G13" s="71"/>
      <c r="H13" s="71"/>
      <c r="I13" s="71"/>
      <c r="J13" s="71"/>
      <c r="K13" s="18">
        <f t="shared" si="0"/>
        <v>0</v>
      </c>
    </row>
    <row r="14" spans="1:12" ht="165">
      <c r="A14" s="12"/>
      <c r="B14" s="161" t="s">
        <v>633</v>
      </c>
      <c r="C14" s="37" t="s">
        <v>634</v>
      </c>
      <c r="D14" s="22" t="s">
        <v>68</v>
      </c>
      <c r="E14" s="19"/>
      <c r="F14" s="18"/>
      <c r="G14" s="18"/>
      <c r="H14" s="80"/>
      <c r="I14" s="18"/>
      <c r="J14" s="18"/>
      <c r="K14" s="18">
        <f t="shared" si="0"/>
        <v>0</v>
      </c>
    </row>
    <row r="15" spans="1:12" ht="45">
      <c r="A15" s="12"/>
      <c r="B15" s="161" t="s">
        <v>635</v>
      </c>
      <c r="C15" s="17" t="s">
        <v>139</v>
      </c>
      <c r="D15" s="408" t="s">
        <v>68</v>
      </c>
      <c r="E15" s="19"/>
      <c r="F15" s="18"/>
      <c r="G15" s="18"/>
      <c r="H15" s="80"/>
      <c r="I15" s="18"/>
      <c r="J15" s="18"/>
      <c r="K15" s="18">
        <f t="shared" si="0"/>
        <v>0</v>
      </c>
    </row>
    <row r="16" spans="1:12" ht="30">
      <c r="A16" s="12"/>
      <c r="B16" s="161" t="s">
        <v>636</v>
      </c>
      <c r="C16" s="37" t="s">
        <v>141</v>
      </c>
      <c r="D16" s="22" t="s">
        <v>68</v>
      </c>
      <c r="E16" s="19"/>
      <c r="F16" s="18"/>
      <c r="G16" s="18"/>
      <c r="H16" s="80"/>
      <c r="I16" s="18"/>
      <c r="J16" s="299"/>
      <c r="K16" s="18">
        <f t="shared" si="0"/>
        <v>0</v>
      </c>
    </row>
    <row r="17" spans="1:11" ht="30">
      <c r="A17" s="12"/>
      <c r="B17" s="161" t="s">
        <v>637</v>
      </c>
      <c r="C17" s="17" t="s">
        <v>170</v>
      </c>
      <c r="D17" s="162" t="s">
        <v>88</v>
      </c>
      <c r="E17" s="19"/>
      <c r="F17" s="19"/>
      <c r="G17" s="19"/>
      <c r="H17" s="80">
        <v>10</v>
      </c>
      <c r="I17" s="373">
        <f>IF(Tabel11216[[#This Row],[Kolom4]]="Ja",Tabel11216[[#This Row],[Kolom7]],0)</f>
        <v>0</v>
      </c>
      <c r="J17" s="373">
        <f>IF(Tabel11216[[#This Row],[Kolom5]]="Ja",Tabel11216[[#This Row],[Kolom7]]/2,0)</f>
        <v>0</v>
      </c>
      <c r="K17" s="18">
        <f t="shared" si="0"/>
        <v>0</v>
      </c>
    </row>
    <row r="18" spans="1:11" ht="30">
      <c r="A18" s="12"/>
      <c r="B18" s="161" t="s">
        <v>638</v>
      </c>
      <c r="C18" s="37" t="s">
        <v>639</v>
      </c>
      <c r="D18" s="18" t="s">
        <v>88</v>
      </c>
      <c r="E18" s="19"/>
      <c r="F18" s="19"/>
      <c r="G18" s="19"/>
      <c r="H18" s="80">
        <v>10</v>
      </c>
      <c r="I18" s="299">
        <f>IF(Tabel11216[[#This Row],[Kolom4]]="Ja",Tabel11216[[#This Row],[Kolom7]],0)</f>
        <v>0</v>
      </c>
      <c r="J18" s="299">
        <f>IF(Tabel11216[[#This Row],[Kolom5]]="Ja",Tabel11216[[#This Row],[Kolom7]]/2,0)</f>
        <v>0</v>
      </c>
      <c r="K18" s="18">
        <f t="shared" si="0"/>
        <v>0</v>
      </c>
    </row>
    <row r="19" spans="1:11" ht="30">
      <c r="A19" s="12"/>
      <c r="B19" s="161" t="s">
        <v>640</v>
      </c>
      <c r="C19" s="38" t="s">
        <v>641</v>
      </c>
      <c r="D19" s="101" t="s">
        <v>88</v>
      </c>
      <c r="E19" s="19"/>
      <c r="F19" s="19"/>
      <c r="G19" s="19"/>
      <c r="H19" s="18">
        <v>10</v>
      </c>
      <c r="I19" s="373">
        <f>IF(Tabel11216[[#This Row],[Kolom4]]="Ja",Tabel11216[[#This Row],[Kolom7]],0)</f>
        <v>0</v>
      </c>
      <c r="J19" s="373">
        <f>IF(Tabel11216[[#This Row],[Kolom5]]="Ja",Tabel11216[[#This Row],[Kolom7]]/2,0)</f>
        <v>0</v>
      </c>
      <c r="K19" s="18">
        <f t="shared" si="0"/>
        <v>0</v>
      </c>
    </row>
    <row r="20" spans="1:11">
      <c r="B20" s="161"/>
      <c r="C20" s="22" t="s">
        <v>179</v>
      </c>
      <c r="D20" s="55">
        <f>COUNTIF(D5:D19,"Wens")</f>
        <v>8</v>
      </c>
      <c r="E20" s="105"/>
      <c r="F20" s="18"/>
      <c r="G20" s="18"/>
      <c r="H20" s="18"/>
      <c r="I20" s="18"/>
      <c r="J20" s="18"/>
      <c r="K20" s="18">
        <f t="shared" si="0"/>
        <v>0</v>
      </c>
    </row>
    <row r="21" spans="1:11">
      <c r="B21" s="16"/>
      <c r="C21" s="395" t="s">
        <v>180</v>
      </c>
      <c r="D21" s="163">
        <f>COUNTIF(D5:D19,"Eis")</f>
        <v>4</v>
      </c>
      <c r="E21" s="80"/>
      <c r="F21" s="18"/>
      <c r="G21" s="22" t="s">
        <v>44</v>
      </c>
      <c r="H21" s="18">
        <f>SUBTOTAL(109,H2:H20)</f>
        <v>80</v>
      </c>
      <c r="I21" s="18">
        <f>SUBTOTAL(109,I2:I20)</f>
        <v>0</v>
      </c>
      <c r="J21" s="18">
        <f>SUBTOTAL(109,J2:J20)</f>
        <v>0</v>
      </c>
      <c r="K21" s="18">
        <f t="shared" si="0"/>
        <v>1</v>
      </c>
    </row>
  </sheetData>
  <sheetProtection algorithmName="SHA-512" hashValue="ECqq2rJor8TXw1teXoUTHMZ6Rvq1PqqbjWU300C475qaEnTeN8lGP0/uC8nSIskpISjTQHKrfrT+VRfZ/pGy5g==" saltValue="nBLnc/NMs/Egs4ZghtNUxw==" spinCount="100000" sheet="1" objects="1" scenarios="1"/>
  <protectedRanges>
    <protectedRange sqref="E5 F5 G5 E8:G11 E12 E14 E15 E16 E17:G18 E19:G19" name="Invoer Beheer"/>
  </protectedRanges>
  <phoneticPr fontId="20" type="noConversion"/>
  <conditionalFormatting sqref="K5:K21">
    <cfRule type="cellIs" dxfId="35" priority="1" operator="greaterThan">
      <formula>1</formula>
    </cfRule>
    <cfRule type="cellIs" dxfId="34" priority="2" operator="greaterThan">
      <formula>1</formula>
    </cfRule>
    <cfRule type="cellIs" dxfId="33" priority="3" operator="lessThanOrEqual">
      <formula>1</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4C2F731-70B1-46C0-8822-BF6CD79F5EEF}">
          <x14:formula1>
            <xm:f>Blad1!$B$2:$B$3</xm:f>
          </x14:formula1>
          <xm:sqref>E5:G5 E14:E19 F17:G19 F7:G11 E7:E12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56656-4A40-44B1-BBAE-767AD05C0B32}">
  <sheetPr>
    <tabColor theme="7" tint="0.79998168889431442"/>
  </sheetPr>
  <dimension ref="A1:K66"/>
  <sheetViews>
    <sheetView zoomScaleNormal="100" workbookViewId="0">
      <pane ySplit="2" topLeftCell="A3" activePane="bottomLeft" state="frozen"/>
      <selection activeCell="J15" sqref="J15"/>
      <selection pane="bottomLeft" activeCell="E58" sqref="E58:E64"/>
    </sheetView>
  </sheetViews>
  <sheetFormatPr defaultColWidth="8.7109375" defaultRowHeight="15"/>
  <cols>
    <col min="1" max="1" width="9.7109375" customWidth="1"/>
    <col min="2" max="2" width="10" bestFit="1" customWidth="1"/>
    <col min="3" max="3" width="67" customWidth="1"/>
    <col min="4" max="4" width="9.42578125" bestFit="1" customWidth="1"/>
    <col min="5" max="5" width="25.42578125" bestFit="1" customWidth="1"/>
    <col min="6" max="10" width="16.85546875" customWidth="1"/>
    <col min="11" max="11" width="3.140625" customWidth="1"/>
  </cols>
  <sheetData>
    <row r="1" spans="1:11">
      <c r="A1" s="46"/>
      <c r="B1" s="106" t="s">
        <v>46</v>
      </c>
      <c r="C1" s="106" t="s">
        <v>47</v>
      </c>
      <c r="D1" s="106" t="s">
        <v>48</v>
      </c>
      <c r="E1" s="106" t="s">
        <v>49</v>
      </c>
      <c r="F1" s="106" t="s">
        <v>50</v>
      </c>
      <c r="G1" s="106" t="s">
        <v>51</v>
      </c>
      <c r="H1" s="106" t="s">
        <v>52</v>
      </c>
      <c r="I1" s="106" t="s">
        <v>53</v>
      </c>
      <c r="J1" s="106" t="s">
        <v>54</v>
      </c>
      <c r="K1" s="383" t="s">
        <v>55</v>
      </c>
    </row>
    <row r="2" spans="1:11" ht="15.75" thickBot="1">
      <c r="B2" s="164"/>
      <c r="C2" s="285" t="s">
        <v>642</v>
      </c>
      <c r="D2" s="32"/>
      <c r="E2" s="32"/>
      <c r="F2" s="32"/>
      <c r="G2" s="32"/>
      <c r="H2" s="44"/>
      <c r="I2" s="44"/>
      <c r="J2" s="44"/>
      <c r="K2" s="392"/>
    </row>
    <row r="3" spans="1:11" s="32" customFormat="1" ht="75">
      <c r="A3" s="98"/>
      <c r="B3" s="99" t="s">
        <v>57</v>
      </c>
      <c r="C3" s="94" t="s">
        <v>58</v>
      </c>
      <c r="D3" s="14" t="s">
        <v>121</v>
      </c>
      <c r="E3" s="14" t="s">
        <v>60</v>
      </c>
      <c r="F3" s="14" t="s">
        <v>61</v>
      </c>
      <c r="G3" s="51" t="s">
        <v>62</v>
      </c>
      <c r="H3" s="15" t="s">
        <v>63</v>
      </c>
      <c r="I3" s="14" t="s">
        <v>64</v>
      </c>
      <c r="J3" s="177" t="s">
        <v>65</v>
      </c>
      <c r="K3" s="87"/>
    </row>
    <row r="4" spans="1:11" ht="15.75">
      <c r="A4" s="12"/>
      <c r="B4" s="95"/>
      <c r="C4" s="107" t="s">
        <v>643</v>
      </c>
      <c r="D4" s="122"/>
      <c r="E4" s="71"/>
      <c r="F4" s="71"/>
      <c r="G4" s="71"/>
      <c r="H4" s="71"/>
      <c r="I4" s="71"/>
      <c r="J4" s="71"/>
      <c r="K4" s="392"/>
    </row>
    <row r="5" spans="1:11">
      <c r="A5" s="12"/>
      <c r="B5" s="123"/>
      <c r="C5" s="123" t="s">
        <v>644</v>
      </c>
      <c r="D5" s="124"/>
      <c r="E5" s="125"/>
      <c r="F5" s="125"/>
      <c r="G5" s="125"/>
      <c r="H5" s="125"/>
      <c r="I5" s="125"/>
      <c r="J5" s="391"/>
      <c r="K5" s="392"/>
    </row>
    <row r="6" spans="1:11" ht="30">
      <c r="A6" s="12"/>
      <c r="B6" s="115" t="s">
        <v>645</v>
      </c>
      <c r="C6" s="17" t="s">
        <v>646</v>
      </c>
      <c r="D6" s="101" t="s">
        <v>68</v>
      </c>
      <c r="E6" s="80"/>
      <c r="F6" s="18"/>
      <c r="G6" s="18"/>
      <c r="H6" s="18"/>
      <c r="I6" s="18"/>
      <c r="J6" s="109"/>
      <c r="K6" s="392"/>
    </row>
    <row r="7" spans="1:11" ht="60">
      <c r="A7" s="12"/>
      <c r="B7" s="115" t="s">
        <v>647</v>
      </c>
      <c r="C7" s="17" t="s">
        <v>648</v>
      </c>
      <c r="D7" s="101" t="s">
        <v>68</v>
      </c>
      <c r="E7" s="80"/>
      <c r="F7" s="18"/>
      <c r="G7" s="18"/>
      <c r="H7" s="18"/>
      <c r="I7" s="18"/>
      <c r="J7" s="18"/>
      <c r="K7" s="18">
        <f t="shared" ref="K7:K65" si="0">COUNTA(E7:G7)</f>
        <v>0</v>
      </c>
    </row>
    <row r="8" spans="1:11" ht="30">
      <c r="A8" s="12"/>
      <c r="B8" s="115" t="s">
        <v>649</v>
      </c>
      <c r="C8" s="17" t="s">
        <v>650</v>
      </c>
      <c r="D8" s="101" t="s">
        <v>68</v>
      </c>
      <c r="E8" s="80"/>
      <c r="F8" s="18"/>
      <c r="G8" s="18"/>
      <c r="H8" s="18"/>
      <c r="I8" s="18"/>
      <c r="J8" s="18"/>
      <c r="K8" s="18">
        <f t="shared" si="0"/>
        <v>0</v>
      </c>
    </row>
    <row r="9" spans="1:11">
      <c r="A9" s="12"/>
      <c r="B9" s="115" t="s">
        <v>651</v>
      </c>
      <c r="C9" s="17" t="s">
        <v>652</v>
      </c>
      <c r="D9" s="101" t="s">
        <v>68</v>
      </c>
      <c r="E9" s="80"/>
      <c r="F9" s="70"/>
      <c r="G9" s="70"/>
      <c r="H9" s="18"/>
      <c r="I9" s="18"/>
      <c r="J9" s="18"/>
      <c r="K9" s="18">
        <f t="shared" si="0"/>
        <v>0</v>
      </c>
    </row>
    <row r="10" spans="1:11" ht="75">
      <c r="A10" s="12"/>
      <c r="B10" s="115" t="s">
        <v>653</v>
      </c>
      <c r="C10" s="17" t="s">
        <v>654</v>
      </c>
      <c r="D10" s="101" t="s">
        <v>88</v>
      </c>
      <c r="E10" s="80"/>
      <c r="F10" s="80"/>
      <c r="G10" s="80"/>
      <c r="H10" s="18">
        <v>10</v>
      </c>
      <c r="I10" s="18">
        <f>IF(Tabel112[[#This Row],[Kolom4]]="Ja",Tabel112[[#This Row],[Kolom7]],0)</f>
        <v>0</v>
      </c>
      <c r="J10" s="18">
        <f>IF(Tabel112[[#This Row],[Kolom5]]="Ja",Tabel112[[#This Row],[Kolom7]]/2,0)</f>
        <v>0</v>
      </c>
      <c r="K10" s="18">
        <f t="shared" si="0"/>
        <v>0</v>
      </c>
    </row>
    <row r="11" spans="1:11" ht="75">
      <c r="A11" s="12"/>
      <c r="B11" s="115" t="s">
        <v>655</v>
      </c>
      <c r="C11" s="17" t="s">
        <v>656</v>
      </c>
      <c r="D11" s="101" t="s">
        <v>88</v>
      </c>
      <c r="E11" s="80"/>
      <c r="F11" s="80"/>
      <c r="G11" s="80"/>
      <c r="H11" s="18">
        <v>10</v>
      </c>
      <c r="I11" s="18">
        <f>IF(Tabel112[[#This Row],[Kolom4]]="Ja",Tabel112[[#This Row],[Kolom7]],0)</f>
        <v>0</v>
      </c>
      <c r="J11" s="18">
        <f>IF(Tabel112[[#This Row],[Kolom5]]="Ja",Tabel112[[#This Row],[Kolom7]]/2,0)</f>
        <v>0</v>
      </c>
      <c r="K11" s="18">
        <f t="shared" si="0"/>
        <v>0</v>
      </c>
    </row>
    <row r="12" spans="1:11" ht="60">
      <c r="A12" s="12"/>
      <c r="B12" s="115" t="s">
        <v>657</v>
      </c>
      <c r="C12" s="17" t="s">
        <v>658</v>
      </c>
      <c r="D12" s="101" t="s">
        <v>88</v>
      </c>
      <c r="E12" s="80"/>
      <c r="F12" s="80"/>
      <c r="G12" s="80"/>
      <c r="H12" s="18">
        <v>10</v>
      </c>
      <c r="I12" s="18">
        <f>IF(Tabel112[[#This Row],[Kolom4]]="Ja",Tabel112[[#This Row],[Kolom7]],0)</f>
        <v>0</v>
      </c>
      <c r="J12" s="18">
        <f>IF(Tabel112[[#This Row],[Kolom5]]="Ja",Tabel112[[#This Row],[Kolom7]]/2,0)</f>
        <v>0</v>
      </c>
      <c r="K12" s="18">
        <f t="shared" si="0"/>
        <v>0</v>
      </c>
    </row>
    <row r="13" spans="1:11" ht="45">
      <c r="A13" s="12"/>
      <c r="B13" s="115" t="s">
        <v>659</v>
      </c>
      <c r="C13" s="17" t="s">
        <v>660</v>
      </c>
      <c r="D13" s="101" t="s">
        <v>88</v>
      </c>
      <c r="E13" s="80"/>
      <c r="F13" s="80"/>
      <c r="G13" s="80"/>
      <c r="H13" s="18">
        <v>10</v>
      </c>
      <c r="I13" s="18">
        <f>IF(Tabel112[[#This Row],[Kolom4]]="Ja",Tabel112[[#This Row],[Kolom7]],0)</f>
        <v>0</v>
      </c>
      <c r="J13" s="18">
        <f>IF(Tabel112[[#This Row],[Kolom5]]="Ja",Tabel112[[#This Row],[Kolom7]]/2,0)</f>
        <v>0</v>
      </c>
      <c r="K13" s="18">
        <f t="shared" si="0"/>
        <v>0</v>
      </c>
    </row>
    <row r="14" spans="1:11" ht="30">
      <c r="A14" s="12"/>
      <c r="B14" s="115" t="s">
        <v>661</v>
      </c>
      <c r="C14" s="17" t="s">
        <v>662</v>
      </c>
      <c r="D14" s="101" t="s">
        <v>88</v>
      </c>
      <c r="E14" s="80"/>
      <c r="F14" s="80"/>
      <c r="G14" s="80"/>
      <c r="H14" s="18">
        <v>10</v>
      </c>
      <c r="I14" s="18">
        <f>IF(Tabel112[[#This Row],[Kolom4]]="Ja",Tabel112[[#This Row],[Kolom7]],0)</f>
        <v>0</v>
      </c>
      <c r="J14" s="18">
        <f>IF(Tabel112[[#This Row],[Kolom5]]="Ja",Tabel112[[#This Row],[Kolom7]]/2,0)</f>
        <v>0</v>
      </c>
      <c r="K14" s="18">
        <f t="shared" si="0"/>
        <v>0</v>
      </c>
    </row>
    <row r="15" spans="1:11" ht="60">
      <c r="A15" s="12"/>
      <c r="B15" s="115" t="s">
        <v>663</v>
      </c>
      <c r="C15" s="17" t="s">
        <v>664</v>
      </c>
      <c r="D15" s="101" t="s">
        <v>88</v>
      </c>
      <c r="E15" s="80"/>
      <c r="F15" s="80"/>
      <c r="G15" s="80"/>
      <c r="H15" s="18">
        <v>20</v>
      </c>
      <c r="I15" s="18">
        <f>IF(Tabel112[[#This Row],[Kolom4]]="Ja",Tabel112[[#This Row],[Kolom7]],0)</f>
        <v>0</v>
      </c>
      <c r="J15" s="18">
        <f>IF(Tabel112[[#This Row],[Kolom5]]="Ja",Tabel112[[#This Row],[Kolom7]]/2,0)</f>
        <v>0</v>
      </c>
      <c r="K15" s="18">
        <f t="shared" si="0"/>
        <v>0</v>
      </c>
    </row>
    <row r="16" spans="1:11" s="126" customFormat="1">
      <c r="B16" s="123"/>
      <c r="C16" s="123" t="s">
        <v>665</v>
      </c>
      <c r="D16" s="125"/>
      <c r="E16" s="125"/>
      <c r="F16" s="125"/>
      <c r="G16" s="125"/>
      <c r="H16" s="125"/>
      <c r="I16" s="125"/>
      <c r="J16" s="125"/>
      <c r="K16" s="18">
        <f t="shared" si="0"/>
        <v>0</v>
      </c>
    </row>
    <row r="17" spans="1:11" ht="45">
      <c r="A17" s="12"/>
      <c r="B17" s="115" t="s">
        <v>666</v>
      </c>
      <c r="C17" s="17" t="s">
        <v>667</v>
      </c>
      <c r="D17" s="101" t="s">
        <v>68</v>
      </c>
      <c r="E17" s="80"/>
      <c r="F17" s="18"/>
      <c r="G17" s="18"/>
      <c r="H17" s="18"/>
      <c r="I17" s="18"/>
      <c r="J17" s="18"/>
      <c r="K17" s="18">
        <f t="shared" si="0"/>
        <v>0</v>
      </c>
    </row>
    <row r="18" spans="1:11" ht="30">
      <c r="A18" s="12"/>
      <c r="B18" s="115" t="s">
        <v>666</v>
      </c>
      <c r="C18" s="17" t="s">
        <v>668</v>
      </c>
      <c r="D18" s="101" t="s">
        <v>68</v>
      </c>
      <c r="E18" s="80"/>
      <c r="F18" s="18"/>
      <c r="G18" s="18"/>
      <c r="H18" s="18"/>
      <c r="I18" s="18"/>
      <c r="J18" s="18"/>
      <c r="K18" s="18">
        <f t="shared" si="0"/>
        <v>0</v>
      </c>
    </row>
    <row r="19" spans="1:11" s="126" customFormat="1">
      <c r="B19" s="123"/>
      <c r="C19" s="123" t="s">
        <v>669</v>
      </c>
      <c r="D19" s="125"/>
      <c r="E19" s="125"/>
      <c r="F19" s="125"/>
      <c r="G19" s="125"/>
      <c r="H19" s="125"/>
      <c r="I19" s="125"/>
      <c r="J19" s="125"/>
      <c r="K19" s="18">
        <f t="shared" si="0"/>
        <v>0</v>
      </c>
    </row>
    <row r="20" spans="1:11" ht="60">
      <c r="A20" s="12"/>
      <c r="B20" s="115" t="s">
        <v>670</v>
      </c>
      <c r="C20" s="17" t="s">
        <v>671</v>
      </c>
      <c r="D20" s="101" t="s">
        <v>88</v>
      </c>
      <c r="E20" s="80"/>
      <c r="F20" s="80"/>
      <c r="G20" s="80"/>
      <c r="H20" s="18">
        <v>20</v>
      </c>
      <c r="I20" s="18">
        <f>IF(Tabel112[[#This Row],[Kolom4]]="Ja",Tabel112[[#This Row],[Kolom7]],0)</f>
        <v>0</v>
      </c>
      <c r="J20" s="18">
        <f>IF(Tabel112[[#This Row],[Kolom5]]="Ja",Tabel112[[#This Row],[Kolom7]]/2,0)</f>
        <v>0</v>
      </c>
      <c r="K20" s="18">
        <f t="shared" si="0"/>
        <v>0</v>
      </c>
    </row>
    <row r="21" spans="1:11" ht="30">
      <c r="A21" s="12"/>
      <c r="B21" s="115" t="s">
        <v>672</v>
      </c>
      <c r="C21" s="17" t="s">
        <v>673</v>
      </c>
      <c r="D21" s="101" t="s">
        <v>88</v>
      </c>
      <c r="E21" s="80"/>
      <c r="F21" s="80"/>
      <c r="G21" s="80"/>
      <c r="H21" s="18">
        <v>10</v>
      </c>
      <c r="I21" s="18">
        <f>IF(Tabel112[[#This Row],[Kolom4]]="Ja",Tabel112[[#This Row],[Kolom7]],0)</f>
        <v>0</v>
      </c>
      <c r="J21" s="18">
        <f>IF(Tabel112[[#This Row],[Kolom5]]="Ja",Tabel112[[#This Row],[Kolom7]]/2,0)</f>
        <v>0</v>
      </c>
      <c r="K21" s="18">
        <f t="shared" si="0"/>
        <v>0</v>
      </c>
    </row>
    <row r="22" spans="1:11" ht="30">
      <c r="A22" s="12"/>
      <c r="B22" s="115" t="s">
        <v>674</v>
      </c>
      <c r="C22" s="17" t="s">
        <v>675</v>
      </c>
      <c r="D22" s="101" t="s">
        <v>88</v>
      </c>
      <c r="E22" s="80"/>
      <c r="F22" s="80"/>
      <c r="G22" s="80"/>
      <c r="H22" s="18">
        <v>20</v>
      </c>
      <c r="I22" s="18">
        <f>IF(Tabel112[[#This Row],[Kolom4]]="Ja",Tabel112[[#This Row],[Kolom7]],0)</f>
        <v>0</v>
      </c>
      <c r="J22" s="18">
        <f>IF(Tabel112[[#This Row],[Kolom5]]="Ja",Tabel112[[#This Row],[Kolom7]]/2,0)</f>
        <v>0</v>
      </c>
      <c r="K22" s="18">
        <f t="shared" si="0"/>
        <v>0</v>
      </c>
    </row>
    <row r="23" spans="1:11" ht="45">
      <c r="A23" s="12"/>
      <c r="B23" s="115" t="s">
        <v>676</v>
      </c>
      <c r="C23" s="17" t="s">
        <v>677</v>
      </c>
      <c r="D23" s="101" t="s">
        <v>68</v>
      </c>
      <c r="E23" s="80"/>
      <c r="F23" s="18"/>
      <c r="G23" s="18"/>
      <c r="H23" s="18"/>
      <c r="I23" s="18"/>
      <c r="J23" s="18"/>
      <c r="K23" s="18">
        <f t="shared" si="0"/>
        <v>0</v>
      </c>
    </row>
    <row r="24" spans="1:11" ht="90">
      <c r="A24" s="12"/>
      <c r="B24" s="115" t="s">
        <v>678</v>
      </c>
      <c r="C24" s="17" t="s">
        <v>679</v>
      </c>
      <c r="D24" s="101" t="s">
        <v>88</v>
      </c>
      <c r="E24" s="80"/>
      <c r="F24" s="80"/>
      <c r="G24" s="80"/>
      <c r="H24" s="18">
        <v>20</v>
      </c>
      <c r="I24" s="18">
        <f>IF(Tabel112[[#This Row],[Kolom4]]="Ja",Tabel112[[#This Row],[Kolom7]],0)</f>
        <v>0</v>
      </c>
      <c r="J24" s="18">
        <f>IF(Tabel112[[#This Row],[Kolom5]]="Ja",Tabel112[[#This Row],[Kolom7]]/2,0)</f>
        <v>0</v>
      </c>
      <c r="K24" s="18">
        <f t="shared" si="0"/>
        <v>0</v>
      </c>
    </row>
    <row r="25" spans="1:11">
      <c r="A25" s="12"/>
      <c r="B25" s="115" t="s">
        <v>680</v>
      </c>
      <c r="C25" s="17" t="s">
        <v>681</v>
      </c>
      <c r="D25" s="101" t="s">
        <v>68</v>
      </c>
      <c r="E25" s="80"/>
      <c r="F25" s="18"/>
      <c r="G25" s="18"/>
      <c r="H25" s="18"/>
      <c r="I25" s="18"/>
      <c r="J25" s="18"/>
      <c r="K25" s="18">
        <f t="shared" si="0"/>
        <v>0</v>
      </c>
    </row>
    <row r="26" spans="1:11" ht="90">
      <c r="A26" s="12"/>
      <c r="B26" s="115" t="s">
        <v>682</v>
      </c>
      <c r="C26" s="17" t="s">
        <v>683</v>
      </c>
      <c r="D26" s="101" t="s">
        <v>68</v>
      </c>
      <c r="E26" s="80"/>
      <c r="F26" s="18"/>
      <c r="G26" s="18"/>
      <c r="H26" s="18"/>
      <c r="I26" s="18"/>
      <c r="J26" s="18"/>
      <c r="K26" s="18">
        <f t="shared" si="0"/>
        <v>0</v>
      </c>
    </row>
    <row r="27" spans="1:11" ht="30">
      <c r="A27" s="12"/>
      <c r="B27" s="115" t="s">
        <v>684</v>
      </c>
      <c r="C27" s="17" t="s">
        <v>685</v>
      </c>
      <c r="D27" s="101" t="s">
        <v>88</v>
      </c>
      <c r="E27" s="80"/>
      <c r="F27" s="80"/>
      <c r="G27" s="80"/>
      <c r="H27" s="18">
        <v>20</v>
      </c>
      <c r="I27" s="18">
        <f>IF(Tabel112[[#This Row],[Kolom4]]="Ja",Tabel112[[#This Row],[Kolom7]],0)</f>
        <v>0</v>
      </c>
      <c r="J27" s="18">
        <f>IF(Tabel112[[#This Row],[Kolom5]]="Ja",Tabel112[[#This Row],[Kolom7]]/2,0)</f>
        <v>0</v>
      </c>
      <c r="K27" s="18">
        <f t="shared" si="0"/>
        <v>0</v>
      </c>
    </row>
    <row r="28" spans="1:11" ht="60">
      <c r="A28" s="12"/>
      <c r="B28" s="115" t="s">
        <v>686</v>
      </c>
      <c r="C28" s="17" t="s">
        <v>687</v>
      </c>
      <c r="D28" s="407" t="s">
        <v>68</v>
      </c>
      <c r="E28" s="80"/>
      <c r="F28" s="18"/>
      <c r="G28" s="18"/>
      <c r="H28" s="18"/>
      <c r="I28" s="18"/>
      <c r="J28" s="18"/>
      <c r="K28" s="18">
        <f t="shared" si="0"/>
        <v>0</v>
      </c>
    </row>
    <row r="29" spans="1:11" ht="90">
      <c r="A29" s="12"/>
      <c r="B29" s="115" t="s">
        <v>688</v>
      </c>
      <c r="C29" s="17" t="s">
        <v>689</v>
      </c>
      <c r="D29" s="407" t="s">
        <v>68</v>
      </c>
      <c r="E29" s="80"/>
      <c r="F29" s="18"/>
      <c r="G29" s="18"/>
      <c r="H29" s="18"/>
      <c r="I29" s="18"/>
      <c r="J29" s="18"/>
      <c r="K29" s="18">
        <f t="shared" si="0"/>
        <v>0</v>
      </c>
    </row>
    <row r="30" spans="1:11" ht="30">
      <c r="A30" s="12"/>
      <c r="B30" s="115" t="s">
        <v>690</v>
      </c>
      <c r="C30" s="17" t="s">
        <v>691</v>
      </c>
      <c r="D30" s="101" t="s">
        <v>88</v>
      </c>
      <c r="E30" s="80"/>
      <c r="F30" s="80"/>
      <c r="G30" s="80"/>
      <c r="H30" s="18">
        <v>20</v>
      </c>
      <c r="I30" s="18">
        <f>IF(Tabel112[[#This Row],[Kolom4]]="Ja",Tabel112[[#This Row],[Kolom7]],0)</f>
        <v>0</v>
      </c>
      <c r="J30" s="18">
        <f>IF(Tabel112[[#This Row],[Kolom5]]="Ja",Tabel112[[#This Row],[Kolom7]]/2,0)</f>
        <v>0</v>
      </c>
      <c r="K30" s="18">
        <f t="shared" si="0"/>
        <v>0</v>
      </c>
    </row>
    <row r="31" spans="1:11" ht="45">
      <c r="A31" s="12"/>
      <c r="B31" s="115" t="s">
        <v>692</v>
      </c>
      <c r="C31" s="17" t="s">
        <v>693</v>
      </c>
      <c r="D31" s="407" t="s">
        <v>68</v>
      </c>
      <c r="E31" s="80"/>
      <c r="F31" s="18"/>
      <c r="G31" s="18"/>
      <c r="H31" s="18"/>
      <c r="I31" s="18"/>
      <c r="J31" s="18"/>
      <c r="K31" s="18">
        <f t="shared" si="0"/>
        <v>0</v>
      </c>
    </row>
    <row r="32" spans="1:11" ht="60">
      <c r="A32" s="12"/>
      <c r="B32" s="115" t="s">
        <v>694</v>
      </c>
      <c r="C32" s="17" t="s">
        <v>695</v>
      </c>
      <c r="D32" s="407" t="s">
        <v>68</v>
      </c>
      <c r="E32" s="80"/>
      <c r="F32" s="18"/>
      <c r="G32" s="18"/>
      <c r="H32" s="18"/>
      <c r="I32" s="18"/>
      <c r="J32" s="18"/>
      <c r="K32" s="18">
        <f t="shared" si="0"/>
        <v>0</v>
      </c>
    </row>
    <row r="33" spans="1:11" ht="30">
      <c r="A33" s="12"/>
      <c r="B33" s="115" t="s">
        <v>696</v>
      </c>
      <c r="C33" s="17" t="s">
        <v>697</v>
      </c>
      <c r="D33" s="407" t="s">
        <v>68</v>
      </c>
      <c r="E33" s="80"/>
      <c r="F33" s="18"/>
      <c r="G33" s="18"/>
      <c r="H33" s="18"/>
      <c r="I33" s="18"/>
      <c r="J33" s="18"/>
      <c r="K33" s="18">
        <f t="shared" si="0"/>
        <v>0</v>
      </c>
    </row>
    <row r="34" spans="1:11" ht="30">
      <c r="A34" s="12"/>
      <c r="B34" s="115" t="s">
        <v>698</v>
      </c>
      <c r="C34" s="17" t="s">
        <v>699</v>
      </c>
      <c r="D34" s="407" t="s">
        <v>68</v>
      </c>
      <c r="E34" s="80"/>
      <c r="F34" s="18"/>
      <c r="G34" s="18"/>
      <c r="H34" s="18"/>
      <c r="I34" s="18"/>
      <c r="J34" s="18"/>
      <c r="K34" s="18">
        <f t="shared" si="0"/>
        <v>0</v>
      </c>
    </row>
    <row r="35" spans="1:11" ht="60">
      <c r="A35" s="12"/>
      <c r="B35" s="115" t="s">
        <v>700</v>
      </c>
      <c r="C35" s="17" t="s">
        <v>701</v>
      </c>
      <c r="D35" s="101" t="s">
        <v>88</v>
      </c>
      <c r="E35" s="80"/>
      <c r="F35" s="80"/>
      <c r="G35" s="80"/>
      <c r="H35" s="18">
        <v>20</v>
      </c>
      <c r="I35" s="18">
        <f>IF(Tabel112[[#This Row],[Kolom4]]="Ja",Tabel112[[#This Row],[Kolom7]],0)</f>
        <v>0</v>
      </c>
      <c r="J35" s="18">
        <f>IF(Tabel112[[#This Row],[Kolom5]]="Ja",Tabel112[[#This Row],[Kolom7]]/2,0)</f>
        <v>0</v>
      </c>
      <c r="K35" s="18">
        <f t="shared" si="0"/>
        <v>0</v>
      </c>
    </row>
    <row r="36" spans="1:11" ht="45">
      <c r="A36" s="12"/>
      <c r="B36" s="115" t="s">
        <v>702</v>
      </c>
      <c r="C36" s="17" t="s">
        <v>703</v>
      </c>
      <c r="D36" s="101" t="s">
        <v>68</v>
      </c>
      <c r="E36" s="80"/>
      <c r="F36" s="18"/>
      <c r="G36" s="18"/>
      <c r="H36" s="18"/>
      <c r="I36" s="18"/>
      <c r="J36" s="18"/>
      <c r="K36" s="18">
        <f t="shared" si="0"/>
        <v>0</v>
      </c>
    </row>
    <row r="37" spans="1:11" ht="45">
      <c r="A37" s="12"/>
      <c r="B37" s="115" t="s">
        <v>704</v>
      </c>
      <c r="C37" s="17" t="s">
        <v>705</v>
      </c>
      <c r="D37" s="101" t="s">
        <v>68</v>
      </c>
      <c r="E37" s="80"/>
      <c r="F37" s="18"/>
      <c r="G37" s="18"/>
      <c r="H37" s="18"/>
      <c r="I37" s="18"/>
      <c r="J37" s="18"/>
      <c r="K37" s="18">
        <f t="shared" si="0"/>
        <v>0</v>
      </c>
    </row>
    <row r="38" spans="1:11" ht="60">
      <c r="A38" s="12"/>
      <c r="B38" s="115" t="s">
        <v>706</v>
      </c>
      <c r="C38" s="17" t="s">
        <v>707</v>
      </c>
      <c r="D38" s="407" t="s">
        <v>68</v>
      </c>
      <c r="E38" s="80"/>
      <c r="F38" s="18"/>
      <c r="G38" s="18"/>
      <c r="H38" s="18"/>
      <c r="I38" s="18"/>
      <c r="J38" s="18"/>
      <c r="K38" s="18">
        <f t="shared" si="0"/>
        <v>0</v>
      </c>
    </row>
    <row r="39" spans="1:11" ht="135">
      <c r="A39" s="12"/>
      <c r="B39" s="115" t="s">
        <v>708</v>
      </c>
      <c r="C39" s="17" t="s">
        <v>709</v>
      </c>
      <c r="D39" s="101" t="s">
        <v>88</v>
      </c>
      <c r="E39" s="80"/>
      <c r="F39" s="80"/>
      <c r="G39" s="80"/>
      <c r="H39" s="18">
        <v>20</v>
      </c>
      <c r="I39" s="18">
        <f>IF(Tabel112[[#This Row],[Kolom4]]="Ja",Tabel112[[#This Row],[Kolom7]],0)</f>
        <v>0</v>
      </c>
      <c r="J39" s="18">
        <f>IF(Tabel112[[#This Row],[Kolom5]]="Ja",Tabel112[[#This Row],[Kolom7]]/2,0)</f>
        <v>0</v>
      </c>
      <c r="K39" s="18">
        <f t="shared" si="0"/>
        <v>0</v>
      </c>
    </row>
    <row r="40" spans="1:11" s="126" customFormat="1">
      <c r="B40" s="123"/>
      <c r="C40" s="123" t="s">
        <v>710</v>
      </c>
      <c r="D40" s="125"/>
      <c r="E40" s="125"/>
      <c r="F40" s="125"/>
      <c r="G40" s="125"/>
      <c r="H40" s="125"/>
      <c r="I40" s="125"/>
      <c r="J40" s="125"/>
      <c r="K40" s="18">
        <f t="shared" si="0"/>
        <v>0</v>
      </c>
    </row>
    <row r="41" spans="1:11" ht="30">
      <c r="A41" s="12"/>
      <c r="B41" s="115" t="s">
        <v>711</v>
      </c>
      <c r="C41" s="17" t="s">
        <v>712</v>
      </c>
      <c r="D41" s="407" t="s">
        <v>68</v>
      </c>
      <c r="E41" s="80"/>
      <c r="F41" s="18"/>
      <c r="G41" s="18"/>
      <c r="H41" s="18"/>
      <c r="I41" s="18"/>
      <c r="J41" s="18"/>
      <c r="K41" s="18">
        <f t="shared" si="0"/>
        <v>0</v>
      </c>
    </row>
    <row r="42" spans="1:11">
      <c r="A42" s="12"/>
      <c r="B42" s="115" t="s">
        <v>713</v>
      </c>
      <c r="C42" s="17" t="s">
        <v>714</v>
      </c>
      <c r="D42" s="101" t="s">
        <v>68</v>
      </c>
      <c r="E42" s="80"/>
      <c r="F42" s="18"/>
      <c r="G42" s="18"/>
      <c r="H42" s="18"/>
      <c r="I42" s="18"/>
      <c r="J42" s="18"/>
      <c r="K42" s="18">
        <f t="shared" si="0"/>
        <v>0</v>
      </c>
    </row>
    <row r="43" spans="1:11" ht="45">
      <c r="A43" s="12"/>
      <c r="B43" s="115" t="s">
        <v>715</v>
      </c>
      <c r="C43" s="17" t="s">
        <v>716</v>
      </c>
      <c r="D43" s="101" t="s">
        <v>68</v>
      </c>
      <c r="E43" s="80"/>
      <c r="F43" s="18"/>
      <c r="G43" s="18"/>
      <c r="H43" s="18"/>
      <c r="I43" s="18"/>
      <c r="J43" s="18"/>
      <c r="K43" s="18">
        <f t="shared" si="0"/>
        <v>0</v>
      </c>
    </row>
    <row r="44" spans="1:11" ht="45">
      <c r="A44" s="12"/>
      <c r="B44" s="115" t="s">
        <v>717</v>
      </c>
      <c r="C44" s="17" t="s">
        <v>718</v>
      </c>
      <c r="D44" s="101" t="s">
        <v>88</v>
      </c>
      <c r="E44" s="80"/>
      <c r="F44" s="80"/>
      <c r="G44" s="80"/>
      <c r="H44" s="18">
        <v>20</v>
      </c>
      <c r="I44" s="18">
        <f>IF(Tabel112[[#This Row],[Kolom4]]="Ja",Tabel112[[#This Row],[Kolom7]],0)</f>
        <v>0</v>
      </c>
      <c r="J44" s="18">
        <f>IF(Tabel112[[#This Row],[Kolom5]]="Ja",Tabel112[[#This Row],[Kolom7]]/2,0)</f>
        <v>0</v>
      </c>
      <c r="K44" s="18">
        <f t="shared" si="0"/>
        <v>0</v>
      </c>
    </row>
    <row r="45" spans="1:11" ht="45">
      <c r="A45" s="12"/>
      <c r="B45" s="115" t="s">
        <v>719</v>
      </c>
      <c r="C45" s="17" t="s">
        <v>720</v>
      </c>
      <c r="D45" s="407" t="s">
        <v>68</v>
      </c>
      <c r="E45" s="80"/>
      <c r="F45" s="18"/>
      <c r="G45" s="18"/>
      <c r="H45" s="18"/>
      <c r="I45" s="18"/>
      <c r="J45" s="18"/>
      <c r="K45" s="18">
        <f t="shared" si="0"/>
        <v>0</v>
      </c>
    </row>
    <row r="46" spans="1:11" s="126" customFormat="1">
      <c r="B46" s="123"/>
      <c r="C46" s="123" t="s">
        <v>721</v>
      </c>
      <c r="D46" s="125"/>
      <c r="E46" s="125"/>
      <c r="F46" s="125"/>
      <c r="G46" s="125"/>
      <c r="H46" s="125"/>
      <c r="I46" s="125"/>
      <c r="J46" s="125"/>
      <c r="K46" s="18">
        <f t="shared" si="0"/>
        <v>0</v>
      </c>
    </row>
    <row r="47" spans="1:11" ht="30">
      <c r="A47" s="12"/>
      <c r="B47" s="115" t="s">
        <v>722</v>
      </c>
      <c r="C47" s="17" t="s">
        <v>723</v>
      </c>
      <c r="D47" s="101" t="s">
        <v>88</v>
      </c>
      <c r="E47" s="80"/>
      <c r="F47" s="80"/>
      <c r="G47" s="80"/>
      <c r="H47" s="18">
        <v>20</v>
      </c>
      <c r="I47" s="18">
        <f>IF(Tabel112[[#This Row],[Kolom4]]="Ja",Tabel112[[#This Row],[Kolom7]],0)</f>
        <v>0</v>
      </c>
      <c r="J47" s="18">
        <f>IF(Tabel112[[#This Row],[Kolom5]]="Ja",Tabel112[[#This Row],[Kolom7]]/2,0)</f>
        <v>0</v>
      </c>
      <c r="K47" s="18">
        <f t="shared" si="0"/>
        <v>0</v>
      </c>
    </row>
    <row r="48" spans="1:11" ht="210">
      <c r="A48" s="12"/>
      <c r="B48" s="115" t="s">
        <v>724</v>
      </c>
      <c r="C48" s="17" t="s">
        <v>725</v>
      </c>
      <c r="D48" s="407" t="s">
        <v>68</v>
      </c>
      <c r="E48" s="80"/>
      <c r="F48" s="18"/>
      <c r="G48" s="18"/>
      <c r="H48" s="18"/>
      <c r="I48" s="18"/>
      <c r="J48" s="18"/>
      <c r="K48" s="18">
        <f t="shared" si="0"/>
        <v>0</v>
      </c>
    </row>
    <row r="49" spans="1:11" s="126" customFormat="1">
      <c r="B49" s="123"/>
      <c r="C49" s="123" t="s">
        <v>726</v>
      </c>
      <c r="D49" s="125"/>
      <c r="E49" s="125"/>
      <c r="F49" s="125"/>
      <c r="G49" s="125"/>
      <c r="H49" s="125"/>
      <c r="I49" s="125"/>
      <c r="J49" s="125"/>
      <c r="K49" s="18">
        <f t="shared" si="0"/>
        <v>0</v>
      </c>
    </row>
    <row r="50" spans="1:11" ht="30">
      <c r="A50" s="12"/>
      <c r="B50" s="115" t="s">
        <v>727</v>
      </c>
      <c r="C50" s="17" t="s">
        <v>728</v>
      </c>
      <c r="D50" s="101" t="s">
        <v>88</v>
      </c>
      <c r="E50" s="80"/>
      <c r="F50" s="80"/>
      <c r="G50" s="80"/>
      <c r="H50" s="18">
        <v>20</v>
      </c>
      <c r="I50" s="18">
        <f>IF(Tabel112[[#This Row],[Kolom4]]="Ja",Tabel112[[#This Row],[Kolom7]],0)</f>
        <v>0</v>
      </c>
      <c r="J50" s="18">
        <f>IF(Tabel112[[#This Row],[Kolom5]]="Ja",Tabel112[[#This Row],[Kolom7]]/2,0)</f>
        <v>0</v>
      </c>
      <c r="K50" s="18">
        <f t="shared" si="0"/>
        <v>0</v>
      </c>
    </row>
    <row r="51" spans="1:11" ht="75">
      <c r="A51" s="12"/>
      <c r="B51" s="115" t="s">
        <v>729</v>
      </c>
      <c r="C51" s="17" t="s">
        <v>730</v>
      </c>
      <c r="D51" s="101" t="s">
        <v>88</v>
      </c>
      <c r="E51" s="80"/>
      <c r="F51" s="80"/>
      <c r="G51" s="80"/>
      <c r="H51" s="18">
        <v>20</v>
      </c>
      <c r="I51" s="18">
        <f>IF(Tabel112[[#This Row],[Kolom4]]="Ja",Tabel112[[#This Row],[Kolom7]],0)</f>
        <v>0</v>
      </c>
      <c r="J51" s="18">
        <f>IF(Tabel112[[#This Row],[Kolom5]]="Ja",Tabel112[[#This Row],[Kolom7]]/2,0)</f>
        <v>0</v>
      </c>
      <c r="K51" s="18">
        <f t="shared" si="0"/>
        <v>0</v>
      </c>
    </row>
    <row r="52" spans="1:11" ht="45">
      <c r="A52" s="12"/>
      <c r="B52" s="115" t="s">
        <v>731</v>
      </c>
      <c r="C52" s="17" t="s">
        <v>732</v>
      </c>
      <c r="D52" s="101" t="s">
        <v>88</v>
      </c>
      <c r="E52" s="80"/>
      <c r="F52" s="80"/>
      <c r="G52" s="80"/>
      <c r="H52" s="18">
        <v>20</v>
      </c>
      <c r="I52" s="18">
        <f>IF(Tabel112[[#This Row],[Kolom4]]="Ja",Tabel112[[#This Row],[Kolom7]],0)</f>
        <v>0</v>
      </c>
      <c r="J52" s="18">
        <f>IF(Tabel112[[#This Row],[Kolom5]]="Ja",Tabel112[[#This Row],[Kolom7]]/2,0)</f>
        <v>0</v>
      </c>
      <c r="K52" s="18">
        <f t="shared" si="0"/>
        <v>0</v>
      </c>
    </row>
    <row r="53" spans="1:11" ht="45">
      <c r="A53" s="12"/>
      <c r="B53" s="115" t="s">
        <v>733</v>
      </c>
      <c r="C53" s="17" t="s">
        <v>734</v>
      </c>
      <c r="D53" s="101" t="s">
        <v>88</v>
      </c>
      <c r="E53" s="80"/>
      <c r="F53" s="80"/>
      <c r="G53" s="80"/>
      <c r="H53" s="18">
        <v>20</v>
      </c>
      <c r="I53" s="18">
        <f>IF(Tabel112[[#This Row],[Kolom4]]="Ja",Tabel112[[#This Row],[Kolom7]],0)</f>
        <v>0</v>
      </c>
      <c r="J53" s="18">
        <f>IF(Tabel112[[#This Row],[Kolom5]]="Ja",Tabel112[[#This Row],[Kolom7]]/2,0)</f>
        <v>0</v>
      </c>
      <c r="K53" s="18">
        <f t="shared" si="0"/>
        <v>0</v>
      </c>
    </row>
    <row r="54" spans="1:11">
      <c r="A54" s="12"/>
      <c r="B54" s="115" t="s">
        <v>735</v>
      </c>
      <c r="C54" s="17" t="s">
        <v>736</v>
      </c>
      <c r="D54" s="101" t="s">
        <v>88</v>
      </c>
      <c r="E54" s="80"/>
      <c r="F54" s="80"/>
      <c r="G54" s="80"/>
      <c r="H54" s="18">
        <v>20</v>
      </c>
      <c r="I54" s="18">
        <f>IF(Tabel112[[#This Row],[Kolom4]]="Ja",Tabel112[[#This Row],[Kolom7]],0)</f>
        <v>0</v>
      </c>
      <c r="J54" s="18">
        <f>IF(Tabel112[[#This Row],[Kolom5]]="Ja",Tabel112[[#This Row],[Kolom7]]/2,0)</f>
        <v>0</v>
      </c>
      <c r="K54" s="18">
        <f t="shared" si="0"/>
        <v>0</v>
      </c>
    </row>
    <row r="55" spans="1:11" ht="30">
      <c r="A55" s="12"/>
      <c r="B55" s="115" t="s">
        <v>737</v>
      </c>
      <c r="C55" s="17" t="s">
        <v>738</v>
      </c>
      <c r="D55" s="101" t="s">
        <v>88</v>
      </c>
      <c r="E55" s="80"/>
      <c r="F55" s="80"/>
      <c r="G55" s="80"/>
      <c r="H55" s="18">
        <v>20</v>
      </c>
      <c r="I55" s="18">
        <f>IF(Tabel112[[#This Row],[Kolom4]]="Ja",Tabel112[[#This Row],[Kolom7]],0)</f>
        <v>0</v>
      </c>
      <c r="J55" s="18">
        <f>IF(Tabel112[[#This Row],[Kolom5]]="Ja",Tabel112[[#This Row],[Kolom7]]/2,0)</f>
        <v>0</v>
      </c>
      <c r="K55" s="18">
        <f t="shared" si="0"/>
        <v>0</v>
      </c>
    </row>
    <row r="56" spans="1:11">
      <c r="A56" s="12"/>
      <c r="B56" s="115" t="s">
        <v>739</v>
      </c>
      <c r="C56" s="17" t="s">
        <v>740</v>
      </c>
      <c r="D56" s="407" t="s">
        <v>68</v>
      </c>
      <c r="E56" s="80"/>
      <c r="F56" s="18"/>
      <c r="G56" s="18"/>
      <c r="H56" s="18"/>
      <c r="I56" s="18"/>
      <c r="J56" s="18"/>
      <c r="K56" s="18">
        <f t="shared" si="0"/>
        <v>0</v>
      </c>
    </row>
    <row r="57" spans="1:11" s="126" customFormat="1">
      <c r="B57" s="123"/>
      <c r="C57" s="123" t="s">
        <v>741</v>
      </c>
      <c r="D57" s="125"/>
      <c r="E57" s="125"/>
      <c r="F57" s="125"/>
      <c r="G57" s="125"/>
      <c r="H57" s="125"/>
      <c r="I57" s="125"/>
      <c r="J57" s="125"/>
      <c r="K57" s="18">
        <f t="shared" si="0"/>
        <v>0</v>
      </c>
    </row>
    <row r="58" spans="1:11" ht="30">
      <c r="A58" s="12"/>
      <c r="B58" s="115" t="s">
        <v>742</v>
      </c>
      <c r="C58" s="17" t="s">
        <v>743</v>
      </c>
      <c r="D58" s="407" t="s">
        <v>68</v>
      </c>
      <c r="E58" s="80"/>
      <c r="F58" s="18"/>
      <c r="G58" s="18"/>
      <c r="H58" s="101"/>
      <c r="I58" s="101"/>
      <c r="J58" s="18"/>
      <c r="K58" s="18">
        <f t="shared" si="0"/>
        <v>0</v>
      </c>
    </row>
    <row r="59" spans="1:11" ht="30">
      <c r="A59" s="12"/>
      <c r="B59" s="115" t="s">
        <v>744</v>
      </c>
      <c r="C59" s="17" t="s">
        <v>745</v>
      </c>
      <c r="D59" s="407" t="s">
        <v>68</v>
      </c>
      <c r="E59" s="80"/>
      <c r="F59" s="18"/>
      <c r="G59" s="18"/>
      <c r="H59" s="101"/>
      <c r="I59" s="101"/>
      <c r="J59" s="18"/>
      <c r="K59" s="18">
        <f t="shared" si="0"/>
        <v>0</v>
      </c>
    </row>
    <row r="60" spans="1:11" ht="30">
      <c r="A60" s="12"/>
      <c r="B60" s="115" t="s">
        <v>746</v>
      </c>
      <c r="C60" s="17" t="s">
        <v>747</v>
      </c>
      <c r="D60" s="101" t="s">
        <v>88</v>
      </c>
      <c r="E60" s="80"/>
      <c r="F60" s="80"/>
      <c r="G60" s="80"/>
      <c r="H60" s="101">
        <v>20</v>
      </c>
      <c r="I60" s="18">
        <f>IF(Tabel112[[#This Row],[Kolom4]]="Ja",Tabel112[[#This Row],[Kolom7]],0)</f>
        <v>0</v>
      </c>
      <c r="J60" s="18">
        <f>IF(Tabel112[[#This Row],[Kolom5]]="Ja",Tabel112[[#This Row],[Kolom7]]/2,0)</f>
        <v>0</v>
      </c>
      <c r="K60" s="18">
        <f t="shared" si="0"/>
        <v>0</v>
      </c>
    </row>
    <row r="61" spans="1:11" ht="30">
      <c r="A61" s="12"/>
      <c r="B61" s="115" t="s">
        <v>748</v>
      </c>
      <c r="C61" s="17" t="s">
        <v>749</v>
      </c>
      <c r="D61" s="101" t="s">
        <v>88</v>
      </c>
      <c r="E61" s="80"/>
      <c r="F61" s="80"/>
      <c r="G61" s="80"/>
      <c r="H61" s="101">
        <v>20</v>
      </c>
      <c r="I61" s="18">
        <f>IF(Tabel112[[#This Row],[Kolom4]]="Ja",Tabel112[[#This Row],[Kolom7]],0)</f>
        <v>0</v>
      </c>
      <c r="J61" s="18">
        <f>IF(Tabel112[[#This Row],[Kolom5]]="Ja",Tabel112[[#This Row],[Kolom7]]/2,0)</f>
        <v>0</v>
      </c>
      <c r="K61" s="18">
        <f t="shared" si="0"/>
        <v>0</v>
      </c>
    </row>
    <row r="62" spans="1:11" ht="30">
      <c r="A62" s="12"/>
      <c r="B62" s="115" t="s">
        <v>750</v>
      </c>
      <c r="C62" s="17" t="s">
        <v>751</v>
      </c>
      <c r="D62" s="101" t="s">
        <v>88</v>
      </c>
      <c r="E62" s="80"/>
      <c r="F62" s="80"/>
      <c r="G62" s="80"/>
      <c r="H62" s="101">
        <v>20</v>
      </c>
      <c r="I62" s="18">
        <f>IF(Tabel112[[#This Row],[Kolom4]]="Ja",Tabel112[[#This Row],[Kolom7]],0)</f>
        <v>0</v>
      </c>
      <c r="J62" s="18">
        <f>IF(Tabel112[[#This Row],[Kolom5]]="Ja",Tabel112[[#This Row],[Kolom7]]/2,0)</f>
        <v>0</v>
      </c>
      <c r="K62" s="18">
        <f t="shared" si="0"/>
        <v>0</v>
      </c>
    </row>
    <row r="63" spans="1:11" ht="60">
      <c r="A63" s="12"/>
      <c r="B63" s="115" t="s">
        <v>752</v>
      </c>
      <c r="C63" s="17" t="s">
        <v>753</v>
      </c>
      <c r="D63" s="407" t="s">
        <v>68</v>
      </c>
      <c r="E63" s="80"/>
      <c r="F63" s="18"/>
      <c r="G63" s="18"/>
      <c r="H63" s="101"/>
      <c r="I63" s="101"/>
      <c r="J63" s="18"/>
      <c r="K63" s="18">
        <f t="shared" si="0"/>
        <v>0</v>
      </c>
    </row>
    <row r="64" spans="1:11" ht="60">
      <c r="A64" s="12"/>
      <c r="B64" s="115" t="s">
        <v>754</v>
      </c>
      <c r="C64" s="17" t="s">
        <v>755</v>
      </c>
      <c r="D64" s="407" t="s">
        <v>68</v>
      </c>
      <c r="E64" s="80"/>
      <c r="F64" s="18"/>
      <c r="G64" s="18"/>
      <c r="H64" s="101"/>
      <c r="I64" s="101"/>
      <c r="J64" s="18"/>
      <c r="K64" s="18">
        <f t="shared" si="0"/>
        <v>0</v>
      </c>
    </row>
    <row r="65" spans="2:11">
      <c r="B65" s="102"/>
      <c r="C65" s="22" t="s">
        <v>179</v>
      </c>
      <c r="D65" s="251">
        <f>COUNTIF(D4:D64,"Wens")</f>
        <v>25</v>
      </c>
      <c r="E65" s="103"/>
      <c r="F65" s="44"/>
      <c r="G65" s="44"/>
      <c r="H65" s="44"/>
      <c r="I65" s="44"/>
      <c r="J65" s="44"/>
      <c r="K65" s="18">
        <f t="shared" si="0"/>
        <v>0</v>
      </c>
    </row>
    <row r="66" spans="2:11">
      <c r="B66" s="287"/>
      <c r="C66" s="287" t="s">
        <v>180</v>
      </c>
      <c r="D66" s="22">
        <f>COUNTIF(D4:D64,"Eis")</f>
        <v>28</v>
      </c>
      <c r="E66" s="18"/>
      <c r="F66" s="18"/>
      <c r="G66" s="22" t="s">
        <v>44</v>
      </c>
      <c r="H66" s="22">
        <f>SUBTOTAL(109,H2:H65)</f>
        <v>440</v>
      </c>
      <c r="I66" s="22">
        <f t="shared" ref="I66:J66" si="1">SUBTOTAL(109,I2:I65)</f>
        <v>0</v>
      </c>
      <c r="J66" s="22">
        <f t="shared" si="1"/>
        <v>0</v>
      </c>
      <c r="K66" s="18">
        <f t="shared" ref="K66" si="2">COUNTA(E66:G66)</f>
        <v>1</v>
      </c>
    </row>
  </sheetData>
  <sheetProtection algorithmName="SHA-512" hashValue="bUB4xa3ae22ck/1rF/+LfJvJ7sGcT+n4B1B38Asp0A9DibYvXXJaU2ZWfoLB+DZWCCCoJZeqaV/3wq3ehn5x/g==" saltValue="ZCR2Tb4wv/V5419I1+qHLA==" spinCount="100000" sheet="1" objects="1" scenarios="1"/>
  <protectedRanges>
    <protectedRange sqref="E6:E15 E50:E56 E47:E48 E41:E45 E17:E18 E20:E39 F10:G15 F20:G22 F24:G24 F27:G27 F35:G35 F39:G39 F44:G44 F47:G47 F50:G55 E58:E64 F60:G62 F30:G30" name="Invoer IB en Privacy"/>
  </protectedRanges>
  <phoneticPr fontId="20" type="noConversion"/>
  <conditionalFormatting sqref="K7:K66">
    <cfRule type="cellIs" dxfId="20" priority="1" operator="greaterThan">
      <formula>1</formula>
    </cfRule>
    <cfRule type="cellIs" dxfId="19" priority="2" operator="greaterThan">
      <formula>1</formula>
    </cfRule>
    <cfRule type="cellIs" dxfId="18" priority="3" operator="lessThanOrEqual">
      <formula>1</formula>
    </cfRule>
  </conditionalFormatting>
  <pageMargins left="0.7" right="0.7" top="0.75" bottom="0.75" header="0.3" footer="0.3"/>
  <pageSetup orientation="portrait" r:id="rId1"/>
  <ignoredErrors>
    <ignoredError sqref="G66" calculatedColumn="1"/>
  </ignoredErrors>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550680D-F231-43DB-B6DF-4AACF4EEED86}">
          <x14:formula1>
            <xm:f>Blad1!$B$2:$B$3</xm:f>
          </x14:formula1>
          <xm:sqref>F50:G55 E47:E48 E41:E45 E6:E15 E17:E18 E20:E39 F10:G15 F20:G22 F24:G24 F27:G27 F35:G35 F39:G39 F44:G44 F47:G47 E50:E56 E58:E64 F60:G62 F30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F64BE-8311-4CD7-83E5-869ACB7E50F1}">
  <sheetPr>
    <tabColor theme="4" tint="0.79998168889431442"/>
  </sheetPr>
  <dimension ref="A1:K18"/>
  <sheetViews>
    <sheetView zoomScaleNormal="100" workbookViewId="0">
      <selection activeCell="C5" sqref="C5"/>
    </sheetView>
  </sheetViews>
  <sheetFormatPr defaultColWidth="8.7109375" defaultRowHeight="15"/>
  <cols>
    <col min="1" max="1" width="9.7109375" customWidth="1"/>
    <col min="2" max="2" width="12.28515625" style="302" bestFit="1" customWidth="1"/>
    <col min="3" max="3" width="67" customWidth="1"/>
    <col min="4" max="4" width="9.42578125" bestFit="1" customWidth="1"/>
    <col min="5" max="5" width="24.42578125" bestFit="1" customWidth="1"/>
    <col min="6" max="6" width="25.42578125" bestFit="1" customWidth="1"/>
  </cols>
  <sheetData>
    <row r="1" spans="1:11">
      <c r="A1" s="46"/>
      <c r="B1" s="300" t="s">
        <v>46</v>
      </c>
      <c r="C1" s="166" t="s">
        <v>47</v>
      </c>
      <c r="D1" s="166" t="s">
        <v>48</v>
      </c>
      <c r="E1" s="166" t="s">
        <v>49</v>
      </c>
      <c r="F1" s="175" t="s">
        <v>50</v>
      </c>
    </row>
    <row r="2" spans="1:11" ht="15.75" thickBot="1">
      <c r="B2" s="301"/>
      <c r="C2" s="285" t="s">
        <v>756</v>
      </c>
      <c r="D2" s="165"/>
      <c r="E2" s="165"/>
      <c r="F2" s="167"/>
    </row>
    <row r="3" spans="1:11" s="32" customFormat="1" ht="45">
      <c r="A3" s="98"/>
      <c r="B3" s="99" t="s">
        <v>57</v>
      </c>
      <c r="C3" s="94" t="s">
        <v>58</v>
      </c>
      <c r="D3" s="93" t="s">
        <v>68</v>
      </c>
      <c r="E3" s="94" t="s">
        <v>60</v>
      </c>
      <c r="F3" s="168" t="s">
        <v>757</v>
      </c>
    </row>
    <row r="4" spans="1:11" ht="15.75">
      <c r="B4" s="344"/>
      <c r="C4" s="345" t="s">
        <v>758</v>
      </c>
      <c r="D4" s="346"/>
      <c r="E4" s="346"/>
      <c r="F4" s="347"/>
    </row>
    <row r="5" spans="1:11" ht="30">
      <c r="B5" s="115">
        <v>1</v>
      </c>
      <c r="C5" s="17" t="s">
        <v>759</v>
      </c>
      <c r="D5" s="18" t="s">
        <v>88</v>
      </c>
      <c r="E5" s="19" t="s">
        <v>69</v>
      </c>
      <c r="F5" s="169">
        <v>10</v>
      </c>
    </row>
    <row r="6" spans="1:11" ht="30">
      <c r="B6" s="115">
        <v>2</v>
      </c>
      <c r="C6" s="17" t="s">
        <v>760</v>
      </c>
      <c r="D6" s="18" t="s">
        <v>88</v>
      </c>
      <c r="E6" s="19"/>
      <c r="F6" s="170">
        <v>10</v>
      </c>
    </row>
    <row r="7" spans="1:11" ht="30">
      <c r="B7" s="115">
        <f>B6+1</f>
        <v>3</v>
      </c>
      <c r="C7" s="17" t="s">
        <v>761</v>
      </c>
      <c r="D7" s="18" t="s">
        <v>88</v>
      </c>
      <c r="E7" s="19"/>
      <c r="F7" s="96">
        <v>10</v>
      </c>
    </row>
    <row r="8" spans="1:11">
      <c r="B8" s="115">
        <f t="shared" ref="B8:B16" si="0">B7+1</f>
        <v>4</v>
      </c>
      <c r="C8" s="17" t="s">
        <v>762</v>
      </c>
      <c r="D8" s="18" t="s">
        <v>88</v>
      </c>
      <c r="E8" s="19"/>
      <c r="F8" s="170">
        <v>10</v>
      </c>
    </row>
    <row r="9" spans="1:11" ht="30">
      <c r="B9" s="115">
        <f t="shared" si="0"/>
        <v>5</v>
      </c>
      <c r="C9" s="17" t="s">
        <v>763</v>
      </c>
      <c r="D9" s="18" t="s">
        <v>88</v>
      </c>
      <c r="E9" s="19"/>
      <c r="F9" s="171">
        <v>10</v>
      </c>
    </row>
    <row r="10" spans="1:11">
      <c r="B10" s="115">
        <f t="shared" si="0"/>
        <v>6</v>
      </c>
      <c r="C10" s="104" t="s">
        <v>764</v>
      </c>
      <c r="D10" s="18" t="s">
        <v>88</v>
      </c>
      <c r="E10" s="19"/>
      <c r="F10" s="170">
        <v>10</v>
      </c>
    </row>
    <row r="11" spans="1:11" s="30" customFormat="1">
      <c r="A11"/>
      <c r="B11" s="115">
        <f t="shared" si="0"/>
        <v>7</v>
      </c>
      <c r="C11" s="21" t="s">
        <v>765</v>
      </c>
      <c r="D11" s="18" t="s">
        <v>88</v>
      </c>
      <c r="E11" s="19"/>
      <c r="F11" s="169">
        <v>10</v>
      </c>
      <c r="G11"/>
      <c r="H11"/>
      <c r="I11"/>
      <c r="J11"/>
      <c r="K11"/>
    </row>
    <row r="12" spans="1:11" ht="30">
      <c r="B12" s="115">
        <f t="shared" si="0"/>
        <v>8</v>
      </c>
      <c r="C12" s="43" t="s">
        <v>766</v>
      </c>
      <c r="D12" s="22" t="s">
        <v>68</v>
      </c>
      <c r="E12" s="19"/>
      <c r="F12" s="170"/>
    </row>
    <row r="13" spans="1:11">
      <c r="B13" s="115">
        <f t="shared" si="0"/>
        <v>9</v>
      </c>
      <c r="C13" s="288" t="s">
        <v>775</v>
      </c>
      <c r="D13" s="16" t="s">
        <v>88</v>
      </c>
      <c r="E13" s="19"/>
      <c r="F13" s="96">
        <v>10</v>
      </c>
    </row>
    <row r="14" spans="1:11">
      <c r="A14" s="12"/>
      <c r="B14" s="115">
        <f t="shared" si="0"/>
        <v>10</v>
      </c>
      <c r="C14" s="288"/>
      <c r="D14" s="17"/>
      <c r="E14" s="19"/>
      <c r="F14" s="170"/>
    </row>
    <row r="15" spans="1:11">
      <c r="A15" s="12"/>
      <c r="B15" s="115">
        <f t="shared" si="0"/>
        <v>11</v>
      </c>
      <c r="C15" s="288"/>
      <c r="D15" s="17"/>
      <c r="E15" s="18"/>
      <c r="F15" s="96"/>
    </row>
    <row r="16" spans="1:11">
      <c r="A16" s="12"/>
      <c r="B16" s="115">
        <f t="shared" si="0"/>
        <v>12</v>
      </c>
      <c r="C16" s="288"/>
      <c r="D16" s="17"/>
      <c r="E16" s="18"/>
      <c r="F16" s="170"/>
    </row>
    <row r="17" spans="2:6">
      <c r="B17" s="115"/>
      <c r="C17" s="105"/>
      <c r="D17" s="105"/>
      <c r="E17" s="18"/>
      <c r="F17" s="96"/>
    </row>
    <row r="18" spans="2:6" ht="15.75" thickBot="1">
      <c r="B18" s="172"/>
      <c r="C18" s="13"/>
      <c r="D18" s="173" t="s">
        <v>119</v>
      </c>
      <c r="E18" s="174">
        <f>SUBTOTAL(109,E2:E17)</f>
        <v>0</v>
      </c>
      <c r="F18" s="286">
        <f>SUBTOTAL(109,F2:F17)</f>
        <v>80</v>
      </c>
    </row>
  </sheetData>
  <sheetProtection algorithmName="SHA-512" hashValue="HwC0ZQMLdYdQ7seQVDP28baP0JBySGtPYBgw+cjWAu1Akik+WzsOm6pVJ9/2CdqSxIqGFnWuLryjZFkHQPY+qg==" saltValue="i/vITEYYlIav8vloUKes6g==" spinCount="100000" sheet="1" objects="1" scenarios="1"/>
  <protectedRanges>
    <protectedRange sqref="E5:E13" name="Invoer Gebruiksvr"/>
  </protectedRanges>
  <phoneticPr fontId="20" type="noConversion"/>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0961B9F-1FF8-45B2-A05F-D58F9830A9E4}">
          <x14:formula1>
            <xm:f>Blad1!$B$2:$B$3</xm:f>
          </x14:formula1>
          <xm:sqref>E5:E13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E34E7-B728-415E-A76D-B8F4E0DFFF51}">
  <dimension ref="B1:B3"/>
  <sheetViews>
    <sheetView showFormulas="1" workbookViewId="0">
      <selection activeCell="C13" sqref="C13"/>
    </sheetView>
  </sheetViews>
  <sheetFormatPr defaultRowHeight="15"/>
  <sheetData>
    <row r="1" spans="2:2">
      <c r="B1" t="s">
        <v>767</v>
      </c>
    </row>
    <row r="2" spans="2:2">
      <c r="B2" s="12" t="s">
        <v>69</v>
      </c>
    </row>
    <row r="3" spans="2:2">
      <c r="B3" s="12"/>
    </row>
  </sheetData>
  <sheetProtection algorithmName="SHA-512" hashValue="KaN3yO7vjt5qRDXPJ0HzIeHH1pp6ipdTWazyZfxw001zJsOKTc+9smumpJeElaW4IEBRcd73CKIMY4k6git8Iw==" saltValue="BtVk0IjcPFbMQ2nReol/K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CD89F-D179-47AE-BB03-BE08DBD77265}">
  <sheetPr>
    <tabColor theme="0" tint="-0.14999847407452621"/>
  </sheetPr>
  <dimension ref="B1:K47"/>
  <sheetViews>
    <sheetView zoomScaleNormal="100" workbookViewId="0"/>
  </sheetViews>
  <sheetFormatPr defaultColWidth="9.140625" defaultRowHeight="15"/>
  <cols>
    <col min="2" max="2" width="7.85546875" bestFit="1" customWidth="1"/>
    <col min="3" max="3" width="67" customWidth="1"/>
    <col min="4" max="4" width="9.42578125" style="32" bestFit="1" customWidth="1"/>
    <col min="5" max="5" width="23.140625" style="32" customWidth="1"/>
    <col min="6" max="6" width="22.5703125" style="32" customWidth="1"/>
    <col min="7" max="7" width="20.28515625" style="32" customWidth="1"/>
    <col min="8" max="8" width="10.28515625" style="32" bestFit="1" customWidth="1"/>
    <col min="9" max="9" width="17.42578125" style="32" bestFit="1" customWidth="1"/>
    <col min="10" max="10" width="19" style="32" customWidth="1"/>
    <col min="11" max="11" width="3.140625" style="32" customWidth="1"/>
    <col min="12" max="12" width="31.85546875" customWidth="1"/>
  </cols>
  <sheetData>
    <row r="1" spans="2:11">
      <c r="B1" s="182" t="s">
        <v>46</v>
      </c>
      <c r="C1" s="183" t="s">
        <v>47</v>
      </c>
      <c r="D1" s="183" t="s">
        <v>48</v>
      </c>
      <c r="E1" s="183" t="s">
        <v>49</v>
      </c>
      <c r="F1" s="183" t="s">
        <v>50</v>
      </c>
      <c r="G1" s="183" t="s">
        <v>51</v>
      </c>
      <c r="H1" s="183" t="s">
        <v>52</v>
      </c>
      <c r="I1" s="183" t="s">
        <v>53</v>
      </c>
      <c r="J1" s="184" t="s">
        <v>54</v>
      </c>
      <c r="K1" s="385" t="s">
        <v>55</v>
      </c>
    </row>
    <row r="2" spans="2:11">
      <c r="B2" s="188"/>
      <c r="C2" s="189" t="s">
        <v>56</v>
      </c>
      <c r="D2" s="110"/>
      <c r="E2" s="110"/>
      <c r="F2" s="110"/>
      <c r="G2" s="110"/>
      <c r="H2" s="110"/>
      <c r="I2" s="110"/>
      <c r="J2" s="190"/>
      <c r="K2" s="19">
        <f>COUNTA(Tabel4[[#This Row],[Kolom4]:[Kolom6]])</f>
        <v>0</v>
      </c>
    </row>
    <row r="3" spans="2:11" s="32" customFormat="1" ht="60">
      <c r="B3" s="176" t="s">
        <v>57</v>
      </c>
      <c r="C3" s="14" t="s">
        <v>58</v>
      </c>
      <c r="D3" s="14" t="s">
        <v>59</v>
      </c>
      <c r="E3" s="14" t="s">
        <v>60</v>
      </c>
      <c r="F3" s="14" t="s">
        <v>61</v>
      </c>
      <c r="G3" s="52" t="s">
        <v>62</v>
      </c>
      <c r="H3" s="15" t="s">
        <v>63</v>
      </c>
      <c r="I3" s="14" t="s">
        <v>64</v>
      </c>
      <c r="J3" s="177" t="s">
        <v>65</v>
      </c>
    </row>
    <row r="4" spans="2:11">
      <c r="B4" s="108" t="s">
        <v>66</v>
      </c>
      <c r="C4" s="20" t="s">
        <v>67</v>
      </c>
      <c r="D4" s="22" t="s">
        <v>68</v>
      </c>
      <c r="E4" s="19"/>
      <c r="F4" s="19"/>
      <c r="G4" s="19"/>
      <c r="H4" s="19"/>
      <c r="I4" s="23"/>
      <c r="J4" s="178"/>
      <c r="K4" s="19">
        <f>COUNTA(Tabel4[[#This Row],[Kolom4]:[Kolom6]])</f>
        <v>0</v>
      </c>
    </row>
    <row r="5" spans="2:11">
      <c r="B5" s="108" t="s">
        <v>70</v>
      </c>
      <c r="C5" s="20" t="s">
        <v>71</v>
      </c>
      <c r="D5" s="22" t="s">
        <v>68</v>
      </c>
      <c r="E5" s="19"/>
      <c r="F5" s="19"/>
      <c r="G5" s="19"/>
      <c r="H5" s="19"/>
      <c r="I5" s="23"/>
      <c r="J5" s="178"/>
      <c r="K5" s="19">
        <f>COUNTA(Tabel4[[#This Row],[Kolom4]:[Kolom6]])</f>
        <v>0</v>
      </c>
    </row>
    <row r="6" spans="2:11">
      <c r="B6" s="108" t="s">
        <v>72</v>
      </c>
      <c r="C6" s="21" t="s">
        <v>73</v>
      </c>
      <c r="D6" s="22" t="s">
        <v>68</v>
      </c>
      <c r="E6" s="19"/>
      <c r="F6" s="19"/>
      <c r="G6" s="19"/>
      <c r="H6" s="19"/>
      <c r="I6" s="23"/>
      <c r="J6" s="178"/>
      <c r="K6" s="19">
        <f>COUNTA(Tabel4[[#This Row],[Kolom4]:[Kolom6]])</f>
        <v>0</v>
      </c>
    </row>
    <row r="7" spans="2:11" ht="109.5" customHeight="1">
      <c r="B7" s="108" t="s">
        <v>74</v>
      </c>
      <c r="C7" s="17" t="s">
        <v>75</v>
      </c>
      <c r="D7" s="22" t="s">
        <v>68</v>
      </c>
      <c r="E7" s="19"/>
      <c r="F7" s="19"/>
      <c r="G7" s="19"/>
      <c r="H7" s="19"/>
      <c r="I7" s="23"/>
      <c r="J7" s="178"/>
      <c r="K7" s="19">
        <f>COUNTA(Tabel4[[#This Row],[Kolom4]:[Kolom6]])</f>
        <v>0</v>
      </c>
    </row>
    <row r="8" spans="2:11" ht="45">
      <c r="B8" s="108" t="s">
        <v>76</v>
      </c>
      <c r="C8" s="20" t="s">
        <v>77</v>
      </c>
      <c r="D8" s="22" t="s">
        <v>68</v>
      </c>
      <c r="E8" s="19"/>
      <c r="F8" s="19"/>
      <c r="G8" s="19"/>
      <c r="H8" s="19"/>
      <c r="I8" s="23"/>
      <c r="J8" s="178"/>
      <c r="K8" s="19">
        <f>COUNTA(Tabel4[[#This Row],[Kolom4]:[Kolom6]])</f>
        <v>0</v>
      </c>
    </row>
    <row r="9" spans="2:11">
      <c r="B9" s="108" t="s">
        <v>78</v>
      </c>
      <c r="C9" s="17" t="s">
        <v>79</v>
      </c>
      <c r="D9" s="22" t="s">
        <v>68</v>
      </c>
      <c r="E9" s="19"/>
      <c r="F9" s="19"/>
      <c r="G9" s="19"/>
      <c r="H9" s="19"/>
      <c r="I9" s="23"/>
      <c r="J9" s="178"/>
      <c r="K9" s="19">
        <f>COUNTA(Tabel4[[#This Row],[Kolom4]:[Kolom6]])</f>
        <v>0</v>
      </c>
    </row>
    <row r="10" spans="2:11" s="30" customFormat="1">
      <c r="B10" s="108" t="s">
        <v>80</v>
      </c>
      <c r="C10" s="31" t="s">
        <v>81</v>
      </c>
      <c r="D10" s="22" t="s">
        <v>68</v>
      </c>
      <c r="E10" s="19"/>
      <c r="F10" s="19"/>
      <c r="G10" s="19"/>
      <c r="H10" s="19"/>
      <c r="I10" s="23"/>
      <c r="J10" s="178"/>
      <c r="K10" s="19">
        <f>COUNTA(Tabel4[[#This Row],[Kolom4]:[Kolom6]])</f>
        <v>0</v>
      </c>
    </row>
    <row r="11" spans="2:11" s="30" customFormat="1" ht="45" customHeight="1">
      <c r="B11" s="108" t="s">
        <v>82</v>
      </c>
      <c r="C11" s="17" t="s">
        <v>83</v>
      </c>
      <c r="D11" s="22" t="s">
        <v>68</v>
      </c>
      <c r="E11" s="19"/>
      <c r="F11" s="19"/>
      <c r="G11" s="19"/>
      <c r="H11" s="19"/>
      <c r="I11" s="23"/>
      <c r="J11" s="178"/>
      <c r="K11" s="19">
        <f>COUNTA(Tabel4[[#This Row],[Kolom4]:[Kolom6]])</f>
        <v>0</v>
      </c>
    </row>
    <row r="12" spans="2:11">
      <c r="B12" s="108" t="s">
        <v>84</v>
      </c>
      <c r="C12" s="17" t="s">
        <v>85</v>
      </c>
      <c r="D12" s="22" t="s">
        <v>68</v>
      </c>
      <c r="E12" s="19"/>
      <c r="F12" s="19"/>
      <c r="G12" s="19"/>
      <c r="H12" s="19"/>
      <c r="I12" s="23"/>
      <c r="J12" s="178"/>
      <c r="K12" s="19">
        <f>COUNTA(Tabel4[[#This Row],[Kolom4]:[Kolom6]])</f>
        <v>0</v>
      </c>
    </row>
    <row r="13" spans="2:11">
      <c r="B13" s="108" t="s">
        <v>86</v>
      </c>
      <c r="C13" s="17" t="s">
        <v>87</v>
      </c>
      <c r="D13" s="18" t="s">
        <v>88</v>
      </c>
      <c r="E13" s="19"/>
      <c r="F13" s="19"/>
      <c r="G13" s="19"/>
      <c r="H13" s="19">
        <v>20</v>
      </c>
      <c r="I13" s="23">
        <f>IF(Tabel4[[#This Row],[Kolom4]]="Ja",Tabel4[[#This Row],[Kolom7]],0)</f>
        <v>0</v>
      </c>
      <c r="J13" s="139">
        <f>IF(Tabel4[[#This Row],[Kolom5]]="Ja",Tabel4[[#This Row],[Kolom7]]/2,0)</f>
        <v>0</v>
      </c>
      <c r="K13" s="19">
        <f>COUNTA(Tabel4[[#This Row],[Kolom4]:[Kolom6]])</f>
        <v>0</v>
      </c>
    </row>
    <row r="14" spans="2:11" ht="30">
      <c r="B14" s="108" t="s">
        <v>89</v>
      </c>
      <c r="C14" s="17" t="s">
        <v>90</v>
      </c>
      <c r="D14" s="18" t="s">
        <v>88</v>
      </c>
      <c r="E14" s="19"/>
      <c r="F14" s="19"/>
      <c r="G14" s="19"/>
      <c r="H14" s="19">
        <v>20</v>
      </c>
      <c r="I14" s="23">
        <f>IF(Tabel4[[#This Row],[Kolom4]]="Ja",Tabel4[[#This Row],[Kolom7]],0)</f>
        <v>0</v>
      </c>
      <c r="J14" s="139">
        <f>IF(Tabel4[[#This Row],[Kolom5]]="Ja",Tabel4[[#This Row],[Kolom7]]/2,0)</f>
        <v>0</v>
      </c>
      <c r="K14" s="19">
        <f>COUNTA(Tabel4[[#This Row],[Kolom4]:[Kolom6]])</f>
        <v>0</v>
      </c>
    </row>
    <row r="15" spans="2:11" ht="60">
      <c r="B15" s="108" t="s">
        <v>91</v>
      </c>
      <c r="C15" s="17" t="s">
        <v>92</v>
      </c>
      <c r="D15" s="18" t="s">
        <v>88</v>
      </c>
      <c r="E15" s="19"/>
      <c r="F15" s="19"/>
      <c r="G15" s="19"/>
      <c r="H15" s="19">
        <v>20</v>
      </c>
      <c r="I15" s="23">
        <f>IF(Tabel4[[#This Row],[Kolom4]]="Ja",Tabel4[[#This Row],[Kolom7]],0)</f>
        <v>0</v>
      </c>
      <c r="J15" s="139">
        <f>IF(Tabel4[[#This Row],[Kolom5]]="Ja",Tabel4[[#This Row],[Kolom7]]/2,0)</f>
        <v>0</v>
      </c>
      <c r="K15" s="19">
        <f>COUNTA(Tabel4[[#This Row],[Kolom4]:[Kolom6]])</f>
        <v>0</v>
      </c>
    </row>
    <row r="16" spans="2:11" ht="30">
      <c r="B16" s="108" t="s">
        <v>93</v>
      </c>
      <c r="C16" s="17" t="s">
        <v>94</v>
      </c>
      <c r="D16" s="18" t="s">
        <v>88</v>
      </c>
      <c r="E16" s="19"/>
      <c r="F16" s="19"/>
      <c r="G16" s="19"/>
      <c r="H16" s="19">
        <v>10</v>
      </c>
      <c r="I16" s="23">
        <f>IF(Tabel4[[#This Row],[Kolom4]]="Ja",Tabel4[[#This Row],[Kolom7]],0)</f>
        <v>0</v>
      </c>
      <c r="J16" s="139">
        <f>IF(Tabel4[[#This Row],[Kolom5]]="Ja",Tabel4[[#This Row],[Kolom7]]/2,0)</f>
        <v>0</v>
      </c>
      <c r="K16" s="19">
        <f>COUNTA(Tabel4[[#This Row],[Kolom4]:[Kolom6]])</f>
        <v>0</v>
      </c>
    </row>
    <row r="17" spans="2:11" ht="30">
      <c r="B17" s="108" t="s">
        <v>95</v>
      </c>
      <c r="C17" s="17" t="s">
        <v>96</v>
      </c>
      <c r="D17" s="18" t="s">
        <v>88</v>
      </c>
      <c r="E17" s="19"/>
      <c r="F17" s="19"/>
      <c r="G17" s="19"/>
      <c r="H17" s="19">
        <v>20</v>
      </c>
      <c r="I17" s="23">
        <f>IF(Tabel4[[#This Row],[Kolom4]]="Ja",Tabel4[[#This Row],[Kolom7]],0)</f>
        <v>0</v>
      </c>
      <c r="J17" s="139">
        <f>IF(Tabel4[[#This Row],[Kolom5]]="Ja",Tabel4[[#This Row],[Kolom7]]/2,0)</f>
        <v>0</v>
      </c>
      <c r="K17" s="19">
        <f>COUNTA(Tabel4[[#This Row],[Kolom4]:[Kolom6]])</f>
        <v>0</v>
      </c>
    </row>
    <row r="18" spans="2:11" s="24" customFormat="1" ht="30">
      <c r="B18" s="108" t="s">
        <v>97</v>
      </c>
      <c r="C18" s="17" t="s">
        <v>98</v>
      </c>
      <c r="D18" s="18" t="s">
        <v>88</v>
      </c>
      <c r="E18" s="19"/>
      <c r="F18" s="19"/>
      <c r="G18" s="19"/>
      <c r="H18" s="19">
        <v>10</v>
      </c>
      <c r="I18" s="23">
        <f>IF(Tabel4[[#This Row],[Kolom4]]="Ja",Tabel4[[#This Row],[Kolom7]],0)</f>
        <v>0</v>
      </c>
      <c r="J18" s="139">
        <f>IF(Tabel4[[#This Row],[Kolom5]]="Ja",Tabel4[[#This Row],[Kolom7]]/2,0)</f>
        <v>0</v>
      </c>
      <c r="K18" s="19">
        <f>COUNTA(Tabel4[[#This Row],[Kolom4]:[Kolom6]])</f>
        <v>0</v>
      </c>
    </row>
    <row r="19" spans="2:11" ht="30">
      <c r="B19" s="108" t="s">
        <v>99</v>
      </c>
      <c r="C19" s="17" t="s">
        <v>100</v>
      </c>
      <c r="D19" s="18" t="s">
        <v>88</v>
      </c>
      <c r="E19" s="19"/>
      <c r="F19" s="19"/>
      <c r="G19" s="19"/>
      <c r="H19" s="19">
        <v>20</v>
      </c>
      <c r="I19" s="23">
        <f>IF(Tabel4[[#This Row],[Kolom4]]="Ja",Tabel4[[#This Row],[Kolom7]],0)</f>
        <v>0</v>
      </c>
      <c r="J19" s="139">
        <f>IF(Tabel4[[#This Row],[Kolom5]]="Ja",Tabel4[[#This Row],[Kolom7]]/2,0)</f>
        <v>0</v>
      </c>
      <c r="K19" s="19">
        <f>COUNTA(Tabel4[[#This Row],[Kolom4]:[Kolom6]])</f>
        <v>0</v>
      </c>
    </row>
    <row r="20" spans="2:11">
      <c r="B20" s="108" t="s">
        <v>101</v>
      </c>
      <c r="C20" s="17" t="s">
        <v>102</v>
      </c>
      <c r="D20" s="18" t="s">
        <v>88</v>
      </c>
      <c r="E20" s="19"/>
      <c r="F20" s="19"/>
      <c r="G20" s="19"/>
      <c r="H20" s="19">
        <v>20</v>
      </c>
      <c r="I20" s="23">
        <f>IF(Tabel4[[#This Row],[Kolom4]]="Ja",Tabel4[[#This Row],[Kolom7]],0)</f>
        <v>0</v>
      </c>
      <c r="J20" s="139">
        <f>IF(Tabel4[[#This Row],[Kolom5]]="Ja",Tabel4[[#This Row],[Kolom7]]/2,0)</f>
        <v>0</v>
      </c>
      <c r="K20" s="19">
        <f>COUNTA(Tabel4[[#This Row],[Kolom4]:[Kolom6]])</f>
        <v>0</v>
      </c>
    </row>
    <row r="21" spans="2:11" ht="30">
      <c r="B21" s="108" t="s">
        <v>103</v>
      </c>
      <c r="C21" s="17" t="s">
        <v>104</v>
      </c>
      <c r="D21" s="18" t="s">
        <v>88</v>
      </c>
      <c r="E21" s="19"/>
      <c r="F21" s="19"/>
      <c r="G21" s="19"/>
      <c r="H21" s="19">
        <v>20</v>
      </c>
      <c r="I21" s="23">
        <f>IF(Tabel4[[#This Row],[Kolom4]]="Ja",Tabel4[[#This Row],[Kolom7]],0)</f>
        <v>0</v>
      </c>
      <c r="J21" s="139">
        <f>IF(Tabel4[[#This Row],[Kolom5]]="Ja",Tabel4[[#This Row],[Kolom7]]/2,0)</f>
        <v>0</v>
      </c>
      <c r="K21" s="19">
        <f>COUNTA(Tabel4[[#This Row],[Kolom4]:[Kolom6]])</f>
        <v>0</v>
      </c>
    </row>
    <row r="22" spans="2:11" ht="30">
      <c r="B22" s="108" t="s">
        <v>105</v>
      </c>
      <c r="C22" s="17" t="s">
        <v>106</v>
      </c>
      <c r="D22" s="18" t="s">
        <v>88</v>
      </c>
      <c r="E22" s="19"/>
      <c r="F22" s="19"/>
      <c r="G22" s="19"/>
      <c r="H22" s="19">
        <v>10</v>
      </c>
      <c r="I22" s="23">
        <f>IF(Tabel4[[#This Row],[Kolom4]]="Ja",Tabel4[[#This Row],[Kolom7]],0)</f>
        <v>0</v>
      </c>
      <c r="J22" s="139">
        <f>IF(Tabel4[[#This Row],[Kolom5]]="Ja",Tabel4[[#This Row],[Kolom7]]/2,0)</f>
        <v>0</v>
      </c>
      <c r="K22" s="19">
        <f>COUNTA(Tabel4[[#This Row],[Kolom4]:[Kolom6]])</f>
        <v>0</v>
      </c>
    </row>
    <row r="23" spans="2:11" ht="30">
      <c r="B23" s="108" t="s">
        <v>107</v>
      </c>
      <c r="C23" s="17" t="s">
        <v>108</v>
      </c>
      <c r="D23" s="18" t="s">
        <v>88</v>
      </c>
      <c r="E23" s="19"/>
      <c r="F23" s="19"/>
      <c r="G23" s="19"/>
      <c r="H23" s="19">
        <v>10</v>
      </c>
      <c r="I23" s="23">
        <f>IF(Tabel4[[#This Row],[Kolom4]]="Ja",Tabel4[[#This Row],[Kolom7]],0)</f>
        <v>0</v>
      </c>
      <c r="J23" s="139">
        <f>IF(Tabel4[[#This Row],[Kolom5]]="Ja",Tabel4[[#This Row],[Kolom7]]/2,0)</f>
        <v>0</v>
      </c>
      <c r="K23" s="19">
        <f>COUNTA(Tabel4[[#This Row],[Kolom4]:[Kolom6]])</f>
        <v>0</v>
      </c>
    </row>
    <row r="24" spans="2:11">
      <c r="B24" s="108" t="s">
        <v>109</v>
      </c>
      <c r="C24" s="17" t="s">
        <v>110</v>
      </c>
      <c r="D24" s="18" t="s">
        <v>88</v>
      </c>
      <c r="E24" s="19"/>
      <c r="F24" s="19"/>
      <c r="G24" s="19"/>
      <c r="H24" s="19">
        <v>10</v>
      </c>
      <c r="I24" s="23">
        <f>IF(Tabel4[[#This Row],[Kolom4]]="Ja",Tabel4[[#This Row],[Kolom7]],0)</f>
        <v>0</v>
      </c>
      <c r="J24" s="139">
        <f>IF(Tabel4[[#This Row],[Kolom5]]="Ja",Tabel4[[#This Row],[Kolom7]]/2,0)</f>
        <v>0</v>
      </c>
      <c r="K24" s="19">
        <f>COUNTA(Tabel4[[#This Row],[Kolom4]:[Kolom6]])</f>
        <v>0</v>
      </c>
    </row>
    <row r="25" spans="2:11">
      <c r="B25" s="108" t="s">
        <v>111</v>
      </c>
      <c r="C25" s="17" t="s">
        <v>112</v>
      </c>
      <c r="D25" s="18" t="s">
        <v>88</v>
      </c>
      <c r="E25" s="19"/>
      <c r="F25" s="19"/>
      <c r="G25" s="19"/>
      <c r="H25" s="19">
        <v>10</v>
      </c>
      <c r="I25" s="23">
        <f>IF(Tabel4[[#This Row],[Kolom4]]="Ja",Tabel4[[#This Row],[Kolom7]],0)</f>
        <v>0</v>
      </c>
      <c r="J25" s="139">
        <f>IF(Tabel4[[#This Row],[Kolom5]]="Ja",Tabel4[[#This Row],[Kolom7]]/2,0)</f>
        <v>0</v>
      </c>
      <c r="K25" s="19">
        <f>COUNTA(Tabel4[[#This Row],[Kolom4]:[Kolom6]])</f>
        <v>0</v>
      </c>
    </row>
    <row r="26" spans="2:11">
      <c r="B26" s="108" t="s">
        <v>113</v>
      </c>
      <c r="C26" s="17" t="s">
        <v>114</v>
      </c>
      <c r="D26" s="18" t="s">
        <v>88</v>
      </c>
      <c r="E26" s="19"/>
      <c r="F26" s="19"/>
      <c r="G26" s="19"/>
      <c r="H26" s="19">
        <v>10</v>
      </c>
      <c r="I26" s="23">
        <f>IF(Tabel4[[#This Row],[Kolom4]]="Ja",Tabel4[[#This Row],[Kolom7]],0)</f>
        <v>0</v>
      </c>
      <c r="J26" s="139">
        <f>IF(Tabel4[[#This Row],[Kolom5]]="Ja",Tabel4[[#This Row],[Kolom7]]/2,0)</f>
        <v>0</v>
      </c>
      <c r="K26" s="19">
        <f>COUNTA(Tabel4[[#This Row],[Kolom4]:[Kolom6]])</f>
        <v>0</v>
      </c>
    </row>
    <row r="27" spans="2:11">
      <c r="B27" s="108" t="s">
        <v>115</v>
      </c>
      <c r="C27" s="17" t="s">
        <v>116</v>
      </c>
      <c r="D27" s="18" t="s">
        <v>88</v>
      </c>
      <c r="E27" s="19"/>
      <c r="F27" s="19"/>
      <c r="G27" s="19"/>
      <c r="H27" s="19">
        <v>10</v>
      </c>
      <c r="I27" s="23">
        <f>IF(Tabel4[[#This Row],[Kolom4]]="Ja",Tabel4[[#This Row],[Kolom7]],0)</f>
        <v>0</v>
      </c>
      <c r="J27" s="139">
        <f>IF(Tabel4[[#This Row],[Kolom5]]="Ja",Tabel4[[#This Row],[Kolom7]]/2,0)</f>
        <v>0</v>
      </c>
      <c r="K27" s="19">
        <f>COUNTA(Tabel4[[#This Row],[Kolom4]:[Kolom6]])</f>
        <v>0</v>
      </c>
    </row>
    <row r="28" spans="2:11">
      <c r="B28" s="108"/>
      <c r="C28" s="17"/>
      <c r="D28" s="18"/>
      <c r="E28" s="19"/>
      <c r="F28" s="19"/>
      <c r="G28" s="19"/>
      <c r="H28" s="19"/>
      <c r="I28" s="23"/>
      <c r="J28" s="23"/>
      <c r="K28" s="19">
        <f>COUNTA(Tabel4[[#This Row],[Kolom4]:[Kolom6]])</f>
        <v>0</v>
      </c>
    </row>
    <row r="29" spans="2:11">
      <c r="B29" s="108"/>
      <c r="C29" s="17"/>
      <c r="D29" s="18"/>
      <c r="E29" s="19"/>
      <c r="F29" s="19"/>
      <c r="G29" s="19"/>
      <c r="H29" s="19"/>
      <c r="I29" s="23"/>
      <c r="J29" s="23"/>
      <c r="K29" s="19">
        <f>COUNTA(Tabel4[[#This Row],[Kolom4]:[Kolom6]])</f>
        <v>0</v>
      </c>
    </row>
    <row r="30" spans="2:11">
      <c r="B30" s="185"/>
      <c r="C30" s="104"/>
      <c r="D30" s="104"/>
      <c r="E30" s="19"/>
      <c r="F30" s="104"/>
      <c r="G30" s="104"/>
      <c r="H30" s="104"/>
      <c r="I30" s="104"/>
      <c r="J30" s="179"/>
      <c r="K30" s="19">
        <f>COUNTA(Tabel4[[#This Row],[Kolom4]:[Kolom6]])</f>
        <v>0</v>
      </c>
    </row>
    <row r="31" spans="2:11">
      <c r="B31" s="185"/>
      <c r="C31" s="402" t="s">
        <v>117</v>
      </c>
      <c r="D31" s="64">
        <f>COUNTIF(D4:D30,"Wens")</f>
        <v>15</v>
      </c>
      <c r="E31" s="19"/>
      <c r="F31" s="64"/>
      <c r="G31" s="64"/>
      <c r="H31" s="22"/>
      <c r="I31" s="22"/>
      <c r="J31" s="186"/>
      <c r="K31" s="19">
        <f>COUNTA(Tabel4[[#This Row],[Kolom4]:[Kolom6]])</f>
        <v>0</v>
      </c>
    </row>
    <row r="32" spans="2:11">
      <c r="B32" s="180"/>
      <c r="C32" s="403" t="s">
        <v>118</v>
      </c>
      <c r="D32" s="181">
        <f>COUNTIF(D4:D30,"Eis")</f>
        <v>9</v>
      </c>
      <c r="E32" s="411"/>
      <c r="F32" s="181"/>
      <c r="G32" s="64" t="s">
        <v>119</v>
      </c>
      <c r="H32" s="22">
        <f>SUM(H5:H30)</f>
        <v>220</v>
      </c>
      <c r="I32" s="22">
        <f t="shared" ref="I32:J32" si="0">SUM(I5:I30)</f>
        <v>0</v>
      </c>
      <c r="J32" s="22">
        <f t="shared" si="0"/>
        <v>0</v>
      </c>
      <c r="K32" s="19">
        <f>COUNTA(Tabel4[[#This Row],[Kolom4]:[Kolom6]])</f>
        <v>1</v>
      </c>
    </row>
    <row r="33" spans="2:11">
      <c r="E33" s="98"/>
      <c r="F33" s="98"/>
      <c r="G33" s="98"/>
      <c r="H33" s="33"/>
      <c r="I33" s="33"/>
      <c r="J33" s="33"/>
      <c r="K33" s="33"/>
    </row>
    <row r="34" spans="2:11">
      <c r="E34" s="98"/>
      <c r="F34" s="98"/>
      <c r="G34" s="98"/>
      <c r="H34" s="33"/>
      <c r="I34" s="33"/>
      <c r="J34" s="33"/>
      <c r="K34" s="33"/>
    </row>
    <row r="46" spans="2:11">
      <c r="B46" s="32"/>
      <c r="F46" s="34"/>
      <c r="H46" s="100"/>
      <c r="I46"/>
      <c r="J46" s="100"/>
      <c r="K46"/>
    </row>
    <row r="47" spans="2:11">
      <c r="B47" s="32"/>
      <c r="F47" s="34"/>
      <c r="H47" s="100"/>
      <c r="I47"/>
      <c r="J47" s="100"/>
      <c r="K47"/>
    </row>
  </sheetData>
  <sheetProtection algorithmName="SHA-512" hashValue="xuRBvJOLeFh3d1AGY+/v02BSqelszwzRJmgVrMvqFKmXSe3tDwrdRE8s5ZmsHpSieVVUPuw3XmDog5RybVfY8w==" saltValue="2oM4W8XzHm29rE93gTYzrQ==" spinCount="100000" sheet="1" objects="1" scenarios="1"/>
  <protectedRanges>
    <protectedRange sqref="E13:G27 E4 E5 E6 E7 E8 E9 E10 E11 E12" name="Invoer Algemeen"/>
  </protectedRanges>
  <phoneticPr fontId="20" type="noConversion"/>
  <conditionalFormatting sqref="K2 K4:K32">
    <cfRule type="cellIs" dxfId="298" priority="1" operator="greaterThan">
      <formula>1</formula>
    </cfRule>
    <cfRule type="cellIs" dxfId="297" priority="2" operator="greaterThan">
      <formula>1</formula>
    </cfRule>
    <cfRule type="cellIs" dxfId="296" priority="3" operator="lessThanOrEqual">
      <formula>1</formula>
    </cfRule>
  </conditionalFormatting>
  <dataValidations count="1">
    <dataValidation type="list" allowBlank="1" showInputMessage="1" showErrorMessage="1" sqref="E28:E31" xr:uid="{DA42973E-E9F5-407B-B14B-EA1D101CEDDC}">
      <formula1>"Ja,,"</formula1>
    </dataValidation>
  </dataValidations>
  <pageMargins left="0.7" right="0.7" top="0.75" bottom="0.75" header="0.3" footer="0.3"/>
  <pageSetup orientation="portrait" r:id="rId1"/>
  <ignoredErrors>
    <ignoredError sqref="J13 J26" calculatedColumn="1"/>
  </ignoredErrors>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106B230E-4C8E-4BD7-9FBD-CF7C03EE2A0F}">
          <x14:formula1>
            <xm:f>Blad1!$B$2:$B$3</xm:f>
          </x14:formula1>
          <xm:sqref>E13:G27 E4:E12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E956E-6793-4B1F-9F16-EA795B1E9EF2}">
  <sheetPr>
    <tabColor theme="4"/>
  </sheetPr>
  <dimension ref="B1:K35"/>
  <sheetViews>
    <sheetView zoomScaleNormal="100" workbookViewId="0"/>
  </sheetViews>
  <sheetFormatPr defaultColWidth="9.140625" defaultRowHeight="15"/>
  <cols>
    <col min="2" max="2" width="8.7109375" customWidth="1"/>
    <col min="3" max="3" width="67" customWidth="1"/>
    <col min="4" max="4" width="12.28515625" style="32" bestFit="1" customWidth="1"/>
    <col min="5" max="7" width="22.7109375" style="32" customWidth="1"/>
    <col min="8" max="9" width="15.42578125" style="32" customWidth="1"/>
    <col min="10" max="10" width="17.7109375" style="34" customWidth="1"/>
    <col min="11" max="11" width="2.5703125" customWidth="1"/>
  </cols>
  <sheetData>
    <row r="1" spans="2:11">
      <c r="B1" s="273" t="s">
        <v>46</v>
      </c>
      <c r="C1" s="274" t="s">
        <v>47</v>
      </c>
      <c r="D1" s="274" t="s">
        <v>48</v>
      </c>
      <c r="E1" s="274" t="s">
        <v>49</v>
      </c>
      <c r="F1" s="274" t="s">
        <v>50</v>
      </c>
      <c r="G1" s="274" t="s">
        <v>51</v>
      </c>
      <c r="H1" s="274" t="s">
        <v>52</v>
      </c>
      <c r="I1" s="274" t="s">
        <v>53</v>
      </c>
      <c r="J1" s="275" t="s">
        <v>54</v>
      </c>
      <c r="K1" s="387" t="s">
        <v>55</v>
      </c>
    </row>
    <row r="2" spans="2:11">
      <c r="B2" s="185"/>
      <c r="C2" s="276" t="s">
        <v>120</v>
      </c>
      <c r="D2" s="19"/>
      <c r="E2" s="19"/>
      <c r="F2" s="19"/>
      <c r="G2" s="19"/>
      <c r="H2" s="277"/>
      <c r="I2" s="277"/>
      <c r="J2" s="178"/>
      <c r="K2" s="19">
        <f>COUNTA(Tabel5[[#This Row],[Kolom4]:[Kolom6]])</f>
        <v>0</v>
      </c>
    </row>
    <row r="3" spans="2:11" s="32" customFormat="1" ht="60">
      <c r="B3" s="176" t="s">
        <v>57</v>
      </c>
      <c r="C3" s="15" t="s">
        <v>58</v>
      </c>
      <c r="D3" s="14" t="s">
        <v>121</v>
      </c>
      <c r="E3" s="14" t="s">
        <v>60</v>
      </c>
      <c r="F3" s="14" t="s">
        <v>61</v>
      </c>
      <c r="G3" s="52" t="s">
        <v>62</v>
      </c>
      <c r="H3" s="15" t="s">
        <v>63</v>
      </c>
      <c r="I3" s="14" t="s">
        <v>64</v>
      </c>
      <c r="J3" s="14" t="s">
        <v>65</v>
      </c>
    </row>
    <row r="4" spans="2:11" ht="30">
      <c r="B4" s="35" t="s">
        <v>122</v>
      </c>
      <c r="C4" s="56" t="s">
        <v>123</v>
      </c>
      <c r="D4" s="55" t="s">
        <v>68</v>
      </c>
      <c r="E4" s="19"/>
      <c r="F4" s="36"/>
      <c r="G4" s="36"/>
      <c r="H4" s="23"/>
      <c r="I4" s="23"/>
      <c r="J4" s="139"/>
      <c r="K4" s="19">
        <f>COUNTA(Tabel5[[#This Row],[Kolom4]:[Kolom6]])</f>
        <v>0</v>
      </c>
    </row>
    <row r="5" spans="2:11" ht="45">
      <c r="B5" s="35" t="s">
        <v>124</v>
      </c>
      <c r="C5" s="40" t="s">
        <v>125</v>
      </c>
      <c r="D5" s="55" t="s">
        <v>68</v>
      </c>
      <c r="E5" s="19"/>
      <c r="F5" s="36"/>
      <c r="G5" s="36"/>
      <c r="H5" s="23"/>
      <c r="I5" s="23"/>
      <c r="J5" s="178"/>
      <c r="K5" s="19">
        <f>COUNTA(Tabel5[[#This Row],[Kolom4]:[Kolom6]])</f>
        <v>0</v>
      </c>
    </row>
    <row r="6" spans="2:11" ht="60">
      <c r="B6" s="35" t="s">
        <v>126</v>
      </c>
      <c r="C6" s="56" t="s">
        <v>127</v>
      </c>
      <c r="D6" s="55" t="s">
        <v>68</v>
      </c>
      <c r="E6" s="19"/>
      <c r="F6" s="36"/>
      <c r="G6" s="36"/>
      <c r="H6" s="23"/>
      <c r="I6" s="23"/>
      <c r="J6" s="178"/>
      <c r="K6" s="19">
        <f>COUNTA(Tabel5[[#This Row],[Kolom4]:[Kolom6]])</f>
        <v>0</v>
      </c>
    </row>
    <row r="7" spans="2:11" ht="120">
      <c r="B7" s="35" t="s">
        <v>128</v>
      </c>
      <c r="C7" s="40" t="s">
        <v>129</v>
      </c>
      <c r="D7" s="55" t="s">
        <v>68</v>
      </c>
      <c r="E7" s="19"/>
      <c r="F7" s="36"/>
      <c r="G7" s="36"/>
      <c r="H7" s="23"/>
      <c r="I7" s="23"/>
      <c r="J7" s="178"/>
      <c r="K7" s="19">
        <f>COUNTA(Tabel5[[#This Row],[Kolom4]:[Kolom6]])</f>
        <v>0</v>
      </c>
    </row>
    <row r="8" spans="2:11" ht="152.25" customHeight="1">
      <c r="B8" s="35" t="s">
        <v>130</v>
      </c>
      <c r="C8" s="40" t="s">
        <v>131</v>
      </c>
      <c r="D8" s="55" t="s">
        <v>68</v>
      </c>
      <c r="E8" s="19"/>
      <c r="F8" s="36"/>
      <c r="G8" s="36"/>
      <c r="H8" s="23"/>
      <c r="I8" s="23"/>
      <c r="J8" s="178"/>
      <c r="K8" s="19">
        <f>COUNTA(Tabel5[[#This Row],[Kolom4]:[Kolom6]])</f>
        <v>0</v>
      </c>
    </row>
    <row r="9" spans="2:11" ht="45">
      <c r="B9" s="35" t="s">
        <v>132</v>
      </c>
      <c r="C9" s="40" t="s">
        <v>133</v>
      </c>
      <c r="D9" s="55" t="s">
        <v>68</v>
      </c>
      <c r="E9" s="19"/>
      <c r="F9" s="36"/>
      <c r="G9" s="36"/>
      <c r="H9" s="23"/>
      <c r="I9" s="23"/>
      <c r="J9" s="178"/>
      <c r="K9" s="19">
        <f>COUNTA(Tabel5[[#This Row],[Kolom4]:[Kolom6]])</f>
        <v>0</v>
      </c>
    </row>
    <row r="10" spans="2:11" ht="30">
      <c r="B10" s="35" t="s">
        <v>134</v>
      </c>
      <c r="C10" s="40" t="s">
        <v>135</v>
      </c>
      <c r="D10" s="55" t="s">
        <v>68</v>
      </c>
      <c r="E10" s="19"/>
      <c r="F10" s="36"/>
      <c r="G10" s="36"/>
      <c r="H10" s="23"/>
      <c r="I10" s="23"/>
      <c r="J10" s="178"/>
      <c r="K10" s="19">
        <f>COUNTA(Tabel5[[#This Row],[Kolom4]:[Kolom6]])</f>
        <v>0</v>
      </c>
    </row>
    <row r="11" spans="2:11" ht="60">
      <c r="B11" s="35" t="s">
        <v>136</v>
      </c>
      <c r="C11" s="40" t="s">
        <v>137</v>
      </c>
      <c r="D11" s="55" t="s">
        <v>68</v>
      </c>
      <c r="E11" s="19"/>
      <c r="F11" s="36"/>
      <c r="G11" s="36"/>
      <c r="H11" s="23"/>
      <c r="I11" s="23"/>
      <c r="J11" s="178"/>
      <c r="K11" s="19">
        <f>COUNTA(Tabel5[[#This Row],[Kolom4]:[Kolom6]])</f>
        <v>0</v>
      </c>
    </row>
    <row r="12" spans="2:11" ht="45">
      <c r="B12" s="35" t="s">
        <v>138</v>
      </c>
      <c r="C12" s="40" t="s">
        <v>139</v>
      </c>
      <c r="D12" s="55" t="s">
        <v>68</v>
      </c>
      <c r="E12" s="19"/>
      <c r="F12" s="36"/>
      <c r="G12" s="36"/>
      <c r="H12" s="23"/>
      <c r="I12" s="23"/>
      <c r="J12" s="178"/>
      <c r="K12" s="19">
        <f>COUNTA(Tabel5[[#This Row],[Kolom4]:[Kolom6]])</f>
        <v>0</v>
      </c>
    </row>
    <row r="13" spans="2:11" ht="30">
      <c r="B13" s="35" t="s">
        <v>140</v>
      </c>
      <c r="C13" s="40" t="s">
        <v>141</v>
      </c>
      <c r="D13" s="55" t="s">
        <v>68</v>
      </c>
      <c r="E13" s="19"/>
      <c r="F13" s="36"/>
      <c r="G13" s="36"/>
      <c r="H13" s="23"/>
      <c r="I13" s="23"/>
      <c r="J13" s="178"/>
      <c r="K13" s="19">
        <f>COUNTA(Tabel5[[#This Row],[Kolom4]:[Kolom6]])</f>
        <v>0</v>
      </c>
    </row>
    <row r="14" spans="2:11" ht="30">
      <c r="B14" s="35" t="s">
        <v>142</v>
      </c>
      <c r="C14" s="40" t="s">
        <v>143</v>
      </c>
      <c r="D14" s="55" t="s">
        <v>68</v>
      </c>
      <c r="E14" s="19"/>
      <c r="F14" s="36"/>
      <c r="G14" s="36"/>
      <c r="H14" s="23"/>
      <c r="I14" s="23"/>
      <c r="J14" s="178"/>
      <c r="K14" s="19">
        <f>COUNTA(Tabel5[[#This Row],[Kolom4]:[Kolom6]])</f>
        <v>0</v>
      </c>
    </row>
    <row r="15" spans="2:11" ht="90">
      <c r="B15" s="35" t="s">
        <v>144</v>
      </c>
      <c r="C15" s="40" t="s">
        <v>145</v>
      </c>
      <c r="D15" s="55" t="s">
        <v>68</v>
      </c>
      <c r="E15" s="19"/>
      <c r="F15" s="36"/>
      <c r="G15" s="36"/>
      <c r="H15" s="23"/>
      <c r="I15" s="23"/>
      <c r="J15" s="178"/>
      <c r="K15" s="19">
        <f>COUNTA(Tabel5[[#This Row],[Kolom4]:[Kolom6]])</f>
        <v>0</v>
      </c>
    </row>
    <row r="16" spans="2:11" ht="30">
      <c r="B16" s="35" t="s">
        <v>146</v>
      </c>
      <c r="C16" s="40" t="s">
        <v>147</v>
      </c>
      <c r="D16" s="55" t="s">
        <v>68</v>
      </c>
      <c r="E16" s="19"/>
      <c r="F16" s="36"/>
      <c r="G16" s="36"/>
      <c r="H16" s="23"/>
      <c r="I16" s="23"/>
      <c r="J16" s="178"/>
      <c r="K16" s="19">
        <f>COUNTA(Tabel5[[#This Row],[Kolom4]:[Kolom6]])</f>
        <v>0</v>
      </c>
    </row>
    <row r="17" spans="2:11" ht="30">
      <c r="B17" s="35" t="s">
        <v>148</v>
      </c>
      <c r="C17" s="40" t="s">
        <v>149</v>
      </c>
      <c r="D17" s="55" t="s">
        <v>68</v>
      </c>
      <c r="E17" s="19"/>
      <c r="F17" s="36"/>
      <c r="G17" s="36"/>
      <c r="H17" s="23"/>
      <c r="I17" s="23"/>
      <c r="J17" s="178"/>
      <c r="K17" s="19">
        <f>COUNTA(Tabel5[[#This Row],[Kolom4]:[Kolom6]])</f>
        <v>0</v>
      </c>
    </row>
    <row r="18" spans="2:11" ht="105">
      <c r="B18" s="35" t="s">
        <v>150</v>
      </c>
      <c r="C18" s="40" t="s">
        <v>151</v>
      </c>
      <c r="D18" s="22" t="s">
        <v>68</v>
      </c>
      <c r="E18" s="19"/>
      <c r="F18" s="36"/>
      <c r="G18" s="36"/>
      <c r="H18" s="23"/>
      <c r="I18" s="23"/>
      <c r="J18" s="178"/>
      <c r="K18" s="19">
        <f>COUNTA(Tabel5[[#This Row],[Kolom4]:[Kolom6]])</f>
        <v>0</v>
      </c>
    </row>
    <row r="19" spans="2:11">
      <c r="B19" s="35" t="s">
        <v>152</v>
      </c>
      <c r="C19" s="40" t="s">
        <v>773</v>
      </c>
      <c r="D19" s="22" t="s">
        <v>68</v>
      </c>
      <c r="E19" s="19"/>
      <c r="F19" s="36"/>
      <c r="G19" s="36"/>
      <c r="H19" s="23"/>
      <c r="I19" s="23"/>
      <c r="J19" s="178"/>
      <c r="K19" s="19">
        <f>COUNTA(Tabel5[[#This Row],[Kolom4]:[Kolom6]])</f>
        <v>0</v>
      </c>
    </row>
    <row r="20" spans="2:11" ht="45">
      <c r="B20" s="35" t="s">
        <v>153</v>
      </c>
      <c r="C20" s="40" t="s">
        <v>154</v>
      </c>
      <c r="D20" s="22" t="s">
        <v>68</v>
      </c>
      <c r="E20" s="19"/>
      <c r="F20" s="36"/>
      <c r="G20" s="36"/>
      <c r="H20" s="28"/>
      <c r="I20" s="28"/>
      <c r="J20" s="178"/>
      <c r="K20" s="19">
        <f>COUNTA(Tabel5[[#This Row],[Kolom4]:[Kolom6]])</f>
        <v>0</v>
      </c>
    </row>
    <row r="21" spans="2:11" ht="30">
      <c r="B21" s="35" t="s">
        <v>155</v>
      </c>
      <c r="C21" s="40" t="s">
        <v>156</v>
      </c>
      <c r="D21" s="23" t="s">
        <v>88</v>
      </c>
      <c r="E21" s="19"/>
      <c r="F21" s="19"/>
      <c r="G21" s="19"/>
      <c r="H21" s="23">
        <v>20</v>
      </c>
      <c r="I21" s="23">
        <f>IF(Tabel5[[#This Row],[Kolom4]]="Ja",Tabel5[[#This Row],[Kolom7]],0)</f>
        <v>0</v>
      </c>
      <c r="J21" s="139">
        <f>IF(Tabel5[[#This Row],[Kolom5]]="ja",Tabel5[[#This Row],[Kolom7]]/2,0)</f>
        <v>0</v>
      </c>
      <c r="K21" s="19">
        <f>COUNTA(Tabel5[[#This Row],[Kolom4]:[Kolom6]])</f>
        <v>0</v>
      </c>
    </row>
    <row r="22" spans="2:11" ht="60">
      <c r="B22" s="35" t="s">
        <v>157</v>
      </c>
      <c r="C22" s="40" t="s">
        <v>158</v>
      </c>
      <c r="D22" s="23" t="s">
        <v>88</v>
      </c>
      <c r="E22" s="19"/>
      <c r="F22" s="19"/>
      <c r="G22" s="19"/>
      <c r="H22" s="23">
        <v>20</v>
      </c>
      <c r="I22" s="23">
        <f>IF(Tabel5[[#This Row],[Kolom4]]="Ja",Tabel5[[#This Row],[Kolom7]],0)</f>
        <v>0</v>
      </c>
      <c r="J22" s="139">
        <f>IF(Tabel5[[#This Row],[Kolom5]]="ja",Tabel5[[#This Row],[Kolom7]]/2,0)</f>
        <v>0</v>
      </c>
      <c r="K22" s="19">
        <f>COUNTA(Tabel5[[#This Row],[Kolom4]:[Kolom6]])</f>
        <v>0</v>
      </c>
    </row>
    <row r="23" spans="2:11" ht="30">
      <c r="B23" s="35" t="s">
        <v>159</v>
      </c>
      <c r="C23" s="40" t="s">
        <v>160</v>
      </c>
      <c r="D23" s="23" t="s">
        <v>88</v>
      </c>
      <c r="E23" s="19"/>
      <c r="F23" s="19"/>
      <c r="G23" s="19"/>
      <c r="H23" s="23">
        <v>20</v>
      </c>
      <c r="I23" s="23">
        <f>IF(Tabel5[[#This Row],[Kolom4]]="Ja",Tabel5[[#This Row],[Kolom7]],0)</f>
        <v>0</v>
      </c>
      <c r="J23" s="139">
        <f>IF(Tabel5[[#This Row],[Kolom5]]="ja",Tabel5[[#This Row],[Kolom7]]/2,0)</f>
        <v>0</v>
      </c>
      <c r="K23" s="19">
        <f>COUNTA(Tabel5[[#This Row],[Kolom4]:[Kolom6]])</f>
        <v>0</v>
      </c>
    </row>
    <row r="24" spans="2:11" s="30" customFormat="1" ht="30">
      <c r="B24" s="35" t="s">
        <v>161</v>
      </c>
      <c r="C24" s="40" t="s">
        <v>162</v>
      </c>
      <c r="D24" s="23" t="s">
        <v>88</v>
      </c>
      <c r="E24" s="19"/>
      <c r="F24" s="19"/>
      <c r="G24" s="19"/>
      <c r="H24" s="23">
        <v>20</v>
      </c>
      <c r="I24" s="23">
        <f>IF(Tabel5[[#This Row],[Kolom4]]="Ja",Tabel5[[#This Row],[Kolom7]],0)</f>
        <v>0</v>
      </c>
      <c r="J24" s="139">
        <f>IF(Tabel5[[#This Row],[Kolom5]]="ja",Tabel5[[#This Row],[Kolom7]]/2,0)</f>
        <v>0</v>
      </c>
      <c r="K24" s="19">
        <f>COUNTA(Tabel5[[#This Row],[Kolom4]:[Kolom6]])</f>
        <v>0</v>
      </c>
    </row>
    <row r="25" spans="2:11" ht="45">
      <c r="B25" s="35" t="s">
        <v>163</v>
      </c>
      <c r="C25" s="40" t="s">
        <v>164</v>
      </c>
      <c r="D25" s="23" t="s">
        <v>88</v>
      </c>
      <c r="E25" s="19"/>
      <c r="F25" s="19"/>
      <c r="G25" s="19"/>
      <c r="H25" s="23">
        <v>20</v>
      </c>
      <c r="I25" s="23">
        <f>IF(Tabel5[[#This Row],[Kolom4]]="Ja",Tabel5[[#This Row],[Kolom7]],0)</f>
        <v>0</v>
      </c>
      <c r="J25" s="139">
        <f>IF(Tabel5[[#This Row],[Kolom5]]="ja",Tabel5[[#This Row],[Kolom7]]/2,0)</f>
        <v>0</v>
      </c>
      <c r="K25" s="19">
        <f>COUNTA(Tabel5[[#This Row],[Kolom4]:[Kolom6]])</f>
        <v>0</v>
      </c>
    </row>
    <row r="26" spans="2:11" ht="60">
      <c r="B26" s="35" t="s">
        <v>165</v>
      </c>
      <c r="C26" s="40" t="s">
        <v>166</v>
      </c>
      <c r="D26" s="23" t="s">
        <v>88</v>
      </c>
      <c r="E26" s="19"/>
      <c r="F26" s="19"/>
      <c r="G26" s="19"/>
      <c r="H26" s="23">
        <v>10</v>
      </c>
      <c r="I26" s="23">
        <f>IF(Tabel5[[#This Row],[Kolom4]]="Ja",Tabel5[[#This Row],[Kolom7]],0)</f>
        <v>0</v>
      </c>
      <c r="J26" s="139">
        <f>IF(Tabel5[[#This Row],[Kolom5]]="ja",Tabel5[[#This Row],[Kolom7]]/2,0)</f>
        <v>0</v>
      </c>
      <c r="K26" s="19">
        <f>COUNTA(Tabel5[[#This Row],[Kolom4]:[Kolom6]])</f>
        <v>0</v>
      </c>
    </row>
    <row r="27" spans="2:11" ht="30">
      <c r="B27" s="35" t="s">
        <v>167</v>
      </c>
      <c r="C27" s="40" t="s">
        <v>168</v>
      </c>
      <c r="D27" s="23" t="s">
        <v>88</v>
      </c>
      <c r="E27" s="19"/>
      <c r="F27" s="19"/>
      <c r="G27" s="19"/>
      <c r="H27" s="23">
        <v>10</v>
      </c>
      <c r="I27" s="23">
        <f>IF(Tabel5[[#This Row],[Kolom4]]="Ja",Tabel5[[#This Row],[Kolom7]],0)</f>
        <v>0</v>
      </c>
      <c r="J27" s="139">
        <f>IF(Tabel5[[#This Row],[Kolom5]]="ja",Tabel5[[#This Row],[Kolom7]]/2,0)</f>
        <v>0</v>
      </c>
      <c r="K27" s="19">
        <f>COUNTA(Tabel5[[#This Row],[Kolom4]:[Kolom6]])</f>
        <v>0</v>
      </c>
    </row>
    <row r="28" spans="2:11" ht="30">
      <c r="B28" s="35" t="s">
        <v>169</v>
      </c>
      <c r="C28" s="40" t="s">
        <v>170</v>
      </c>
      <c r="D28" s="23" t="s">
        <v>88</v>
      </c>
      <c r="E28" s="19"/>
      <c r="F28" s="19"/>
      <c r="G28" s="19"/>
      <c r="H28" s="23">
        <v>10</v>
      </c>
      <c r="I28" s="23">
        <f>IF(Tabel5[[#This Row],[Kolom4]]="Ja",Tabel5[[#This Row],[Kolom7]],0)</f>
        <v>0</v>
      </c>
      <c r="J28" s="139">
        <f>IF(Tabel5[[#This Row],[Kolom5]]="ja",Tabel5[[#This Row],[Kolom7]]/2,0)</f>
        <v>0</v>
      </c>
      <c r="K28" s="19">
        <f>COUNTA(Tabel5[[#This Row],[Kolom4]:[Kolom6]])</f>
        <v>0</v>
      </c>
    </row>
    <row r="29" spans="2:11" ht="90">
      <c r="B29" s="35" t="s">
        <v>171</v>
      </c>
      <c r="C29" s="40" t="s">
        <v>172</v>
      </c>
      <c r="D29" s="18" t="s">
        <v>88</v>
      </c>
      <c r="E29" s="19"/>
      <c r="F29" s="19"/>
      <c r="G29" s="19"/>
      <c r="H29" s="23">
        <v>20</v>
      </c>
      <c r="I29" s="23">
        <f>IF(Tabel5[[#This Row],[Kolom4]]="Ja",Tabel5[[#This Row],[Kolom7]],0)</f>
        <v>0</v>
      </c>
      <c r="J29" s="139">
        <f>IF(Tabel5[[#This Row],[Kolom5]]="ja",Tabel5[[#This Row],[Kolom7]]/2,0)</f>
        <v>0</v>
      </c>
      <c r="K29" s="19">
        <f>COUNTA(Tabel5[[#This Row],[Kolom4]:[Kolom6]])</f>
        <v>0</v>
      </c>
    </row>
    <row r="30" spans="2:11" ht="45">
      <c r="B30" s="35" t="s">
        <v>173</v>
      </c>
      <c r="C30" s="40" t="s">
        <v>174</v>
      </c>
      <c r="D30" s="18" t="s">
        <v>88</v>
      </c>
      <c r="E30" s="19"/>
      <c r="F30" s="19"/>
      <c r="G30" s="19"/>
      <c r="H30" s="23">
        <v>20</v>
      </c>
      <c r="I30" s="23">
        <f>IF(Tabel5[[#This Row],[Kolom4]]="Ja",Tabel5[[#This Row],[Kolom7]],0)</f>
        <v>0</v>
      </c>
      <c r="J30" s="139">
        <f>IF(Tabel5[[#This Row],[Kolom5]]="ja",Tabel5[[#This Row],[Kolom7]]/2,0)</f>
        <v>0</v>
      </c>
      <c r="K30" s="19">
        <f>COUNTA(Tabel5[[#This Row],[Kolom4]:[Kolom6]])</f>
        <v>0</v>
      </c>
    </row>
    <row r="31" spans="2:11" ht="30">
      <c r="B31" s="35" t="s">
        <v>175</v>
      </c>
      <c r="C31" s="38" t="s">
        <v>176</v>
      </c>
      <c r="D31" s="18" t="s">
        <v>88</v>
      </c>
      <c r="E31" s="19"/>
      <c r="F31" s="19"/>
      <c r="G31" s="19"/>
      <c r="H31" s="23">
        <v>20</v>
      </c>
      <c r="I31" s="23">
        <f>IF(Tabel5[[#This Row],[Kolom4]]="Ja",Tabel5[[#This Row],[Kolom7]],0)</f>
        <v>0</v>
      </c>
      <c r="J31" s="139">
        <f>IF(Tabel5[[#This Row],[Kolom5]]="ja",Tabel5[[#This Row],[Kolom7]]/2,0)</f>
        <v>0</v>
      </c>
      <c r="K31" s="19">
        <f>COUNTA(Tabel5[[#This Row],[Kolom4]:[Kolom6]])</f>
        <v>0</v>
      </c>
    </row>
    <row r="32" spans="2:11" ht="30">
      <c r="B32" s="35" t="s">
        <v>177</v>
      </c>
      <c r="C32" s="38" t="s">
        <v>178</v>
      </c>
      <c r="D32" s="18" t="s">
        <v>88</v>
      </c>
      <c r="E32" s="19"/>
      <c r="F32" s="19"/>
      <c r="G32" s="19"/>
      <c r="H32" s="23">
        <v>10</v>
      </c>
      <c r="I32" s="23">
        <f>IF(Tabel5[[#This Row],[Kolom4]]="Ja",Tabel5[[#This Row],[Kolom7]],0)</f>
        <v>0</v>
      </c>
      <c r="J32" s="139">
        <f>IF(Tabel5[[#This Row],[Kolom5]]="ja",Tabel5[[#This Row],[Kolom7]]/2,0)</f>
        <v>0</v>
      </c>
      <c r="K32" s="19">
        <f>COUNTA(Tabel5[[#This Row],[Kolom4]:[Kolom6]])</f>
        <v>0</v>
      </c>
    </row>
    <row r="33" spans="2:11">
      <c r="B33" s="35"/>
      <c r="C33" s="104"/>
      <c r="D33" s="18"/>
      <c r="E33" s="18"/>
      <c r="F33" s="18"/>
      <c r="G33" s="18"/>
      <c r="H33" s="18"/>
      <c r="I33" s="18"/>
      <c r="J33" s="139"/>
      <c r="K33" s="19"/>
    </row>
    <row r="34" spans="2:11">
      <c r="B34" s="35"/>
      <c r="C34" s="64" t="s">
        <v>179</v>
      </c>
      <c r="D34" s="22">
        <f>COUNTIF(D4:D32,"Wens")</f>
        <v>12</v>
      </c>
      <c r="E34" s="22"/>
      <c r="F34" s="22"/>
      <c r="G34" s="22"/>
      <c r="H34" s="55"/>
      <c r="I34" s="23">
        <f>IF(Tabel5[[#This Row],[Kolom4]]="Ja",Tabel5[[#This Row],[Kolom7]],0)</f>
        <v>0</v>
      </c>
      <c r="J34" s="139"/>
      <c r="K34" s="19"/>
    </row>
    <row r="35" spans="2:11">
      <c r="B35" s="138"/>
      <c r="C35" s="181" t="s">
        <v>180</v>
      </c>
      <c r="D35" s="251">
        <f>COUNTIF(D4:D32,"Eis")</f>
        <v>17</v>
      </c>
      <c r="E35" s="278"/>
      <c r="F35" s="278"/>
      <c r="G35" s="251" t="s">
        <v>44</v>
      </c>
      <c r="H35" s="279">
        <f>SUM(H5:H32)</f>
        <v>200</v>
      </c>
      <c r="I35" s="279">
        <f t="shared" ref="I35:J35" si="0">SUM(I5:I32)</f>
        <v>0</v>
      </c>
      <c r="J35" s="280">
        <f t="shared" si="0"/>
        <v>0</v>
      </c>
      <c r="K35" s="19"/>
    </row>
  </sheetData>
  <sheetProtection algorithmName="SHA-512" hashValue="X+AiL6vrktuxKSqapOJdnogQWACIGmSz4Fj5ZMgISulhQSMsJ1cgY0V2IRCFv9Aa4jR0RiJM/nKeuHNaUO0F/Q==" saltValue="cl2Y0W1Ux/ciy2+Oy/C9mA==" spinCount="100000" sheet="1" objects="1" scenarios="1"/>
  <protectedRanges>
    <protectedRange sqref="E21:G32 E4:E20" name="Invoer ICT"/>
  </protectedRanges>
  <phoneticPr fontId="20" type="noConversion"/>
  <conditionalFormatting sqref="K2 K4:K35">
    <cfRule type="cellIs" dxfId="281" priority="1" operator="greaterThan">
      <formula>1</formula>
    </cfRule>
    <cfRule type="cellIs" dxfId="280" priority="2" operator="greaterThan">
      <formula>1</formula>
    </cfRule>
    <cfRule type="cellIs" dxfId="279" priority="3" operator="lessThanOrEqual">
      <formula>1</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71B50BA7-0F5E-40BA-9D2A-350095D3EE62}">
          <x14:formula1>
            <xm:f>Blad1!$B$2:$B$3</xm:f>
          </x14:formula1>
          <xm:sqref>E21:G32 E4:E20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38936-5F61-4D63-BCD0-72F5B20FF224}">
  <sheetPr>
    <tabColor theme="5"/>
  </sheetPr>
  <dimension ref="A1:K24"/>
  <sheetViews>
    <sheetView topLeftCell="B1" zoomScaleNormal="100" workbookViewId="0">
      <selection activeCell="H14" sqref="H14"/>
    </sheetView>
  </sheetViews>
  <sheetFormatPr defaultColWidth="9.140625" defaultRowHeight="19.5" customHeight="1"/>
  <cols>
    <col min="1" max="1" width="11.5703125" style="30" customWidth="1"/>
    <col min="2" max="2" width="9.42578125" style="30" customWidth="1"/>
    <col min="3" max="3" width="67" style="41" customWidth="1"/>
    <col min="4" max="4" width="9.42578125" style="49" bestFit="1" customWidth="1"/>
    <col min="5" max="5" width="23.7109375" style="57" customWidth="1"/>
    <col min="6" max="6" width="26.7109375" style="57" customWidth="1"/>
    <col min="7" max="7" width="25.42578125" style="57" customWidth="1"/>
    <col min="8" max="9" width="11.7109375" style="57" customWidth="1"/>
    <col min="10" max="10" width="17.42578125" style="49" bestFit="1" customWidth="1"/>
    <col min="11" max="11" width="3" style="41" customWidth="1"/>
    <col min="12" max="12" width="12" style="30" customWidth="1"/>
    <col min="13" max="16384" width="9.140625" style="30"/>
  </cols>
  <sheetData>
    <row r="1" spans="1:11" s="46" customFormat="1" ht="19.5" customHeight="1">
      <c r="B1" s="191" t="s">
        <v>46</v>
      </c>
      <c r="C1" s="192" t="s">
        <v>47</v>
      </c>
      <c r="D1" s="192" t="s">
        <v>48</v>
      </c>
      <c r="E1" s="192" t="s">
        <v>49</v>
      </c>
      <c r="F1" s="192" t="s">
        <v>50</v>
      </c>
      <c r="G1" s="192" t="s">
        <v>51</v>
      </c>
      <c r="H1" s="192" t="s">
        <v>52</v>
      </c>
      <c r="I1" s="192" t="s">
        <v>53</v>
      </c>
      <c r="J1" s="193" t="s">
        <v>54</v>
      </c>
      <c r="K1" s="386" t="s">
        <v>55</v>
      </c>
    </row>
    <row r="2" spans="1:11" ht="19.5" customHeight="1">
      <c r="B2" s="194"/>
      <c r="C2" s="67" t="s">
        <v>181</v>
      </c>
      <c r="D2" s="194"/>
      <c r="E2" s="194"/>
      <c r="F2" s="194"/>
      <c r="G2" s="194"/>
      <c r="H2" s="194"/>
      <c r="I2" s="194"/>
      <c r="J2" s="194"/>
    </row>
    <row r="3" spans="1:11" s="60" customFormat="1" ht="75">
      <c r="A3" s="76"/>
      <c r="B3" s="224" t="s">
        <v>57</v>
      </c>
      <c r="C3" s="97" t="s">
        <v>58</v>
      </c>
      <c r="D3" s="14" t="s">
        <v>121</v>
      </c>
      <c r="E3" s="14" t="s">
        <v>60</v>
      </c>
      <c r="F3" s="14" t="s">
        <v>61</v>
      </c>
      <c r="G3" s="52" t="s">
        <v>62</v>
      </c>
      <c r="H3" s="15" t="s">
        <v>63</v>
      </c>
      <c r="I3" s="14" t="s">
        <v>64</v>
      </c>
      <c r="J3" s="14" t="s">
        <v>65</v>
      </c>
    </row>
    <row r="4" spans="1:11" ht="19.5" customHeight="1">
      <c r="A4" s="50"/>
      <c r="B4" s="336"/>
      <c r="C4" s="337" t="s">
        <v>182</v>
      </c>
      <c r="D4" s="337"/>
      <c r="E4" s="338"/>
      <c r="F4" s="338"/>
      <c r="G4" s="338"/>
      <c r="H4" s="338"/>
      <c r="I4" s="338"/>
      <c r="J4" s="339"/>
      <c r="K4" s="19">
        <f t="shared" ref="K4" si="0">COUNTA(E4:G4)</f>
        <v>0</v>
      </c>
    </row>
    <row r="5" spans="1:11" s="73" customFormat="1" ht="36">
      <c r="A5" s="72"/>
      <c r="B5" s="196" t="s">
        <v>183</v>
      </c>
      <c r="C5" s="70" t="s">
        <v>184</v>
      </c>
      <c r="D5" s="101" t="s">
        <v>88</v>
      </c>
      <c r="E5" s="19"/>
      <c r="F5" s="19"/>
      <c r="G5" s="19"/>
      <c r="H5" s="80">
        <v>10</v>
      </c>
      <c r="I5" s="23">
        <f>IF(Tabel6[[#This Row],[Kolom4]]="Ja",Tabel6[[#This Row],[Kolom7]],0)</f>
        <v>0</v>
      </c>
      <c r="J5" s="23">
        <f>IF(Tabel6[[#This Row],[Kolom5]]="Ja",Tabel6[[#This Row],[Kolom8]]/2,0)</f>
        <v>0</v>
      </c>
      <c r="K5" s="19">
        <f>COUNTA(E5:G5)</f>
        <v>0</v>
      </c>
    </row>
    <row r="6" spans="1:11" s="73" customFormat="1" ht="24">
      <c r="A6" s="72"/>
      <c r="B6" s="196" t="s">
        <v>185</v>
      </c>
      <c r="C6" s="70" t="s">
        <v>186</v>
      </c>
      <c r="D6" s="101" t="s">
        <v>88</v>
      </c>
      <c r="E6" s="19"/>
      <c r="F6" s="19"/>
      <c r="G6" s="19"/>
      <c r="H6" s="80">
        <v>10</v>
      </c>
      <c r="I6" s="23">
        <f>IF(Tabel6[[#This Row],[Kolom4]]="Ja",Tabel6[[#This Row],[Kolom7]],0)</f>
        <v>0</v>
      </c>
      <c r="J6" s="23">
        <f>IF(Tabel6[[#This Row],[Kolom5]]="Ja",Tabel6[[#This Row],[Kolom8]]/2,0)</f>
        <v>0</v>
      </c>
      <c r="K6" s="19">
        <f t="shared" ref="K6:K22" si="1">COUNTA(E6:G6)</f>
        <v>0</v>
      </c>
    </row>
    <row r="7" spans="1:11" s="73" customFormat="1" ht="24">
      <c r="A7" s="72"/>
      <c r="B7" s="196" t="s">
        <v>187</v>
      </c>
      <c r="C7" s="70" t="s">
        <v>188</v>
      </c>
      <c r="D7" s="101" t="s">
        <v>88</v>
      </c>
      <c r="E7" s="19"/>
      <c r="F7" s="19"/>
      <c r="G7" s="19"/>
      <c r="H7" s="80">
        <v>10</v>
      </c>
      <c r="I7" s="23">
        <f>IF(Tabel6[[#This Row],[Kolom4]]="Ja",Tabel6[[#This Row],[Kolom7]],0)</f>
        <v>0</v>
      </c>
      <c r="J7" s="23">
        <f>IF(Tabel6[[#This Row],[Kolom5]]="Ja",Tabel6[[#This Row],[Kolom8]]/2,0)</f>
        <v>0</v>
      </c>
      <c r="K7" s="19">
        <f t="shared" si="1"/>
        <v>0</v>
      </c>
    </row>
    <row r="8" spans="1:11" s="73" customFormat="1" ht="15">
      <c r="A8" s="72"/>
      <c r="B8" s="196" t="s">
        <v>189</v>
      </c>
      <c r="C8" s="70" t="s">
        <v>190</v>
      </c>
      <c r="D8" s="101" t="s">
        <v>88</v>
      </c>
      <c r="E8" s="19"/>
      <c r="F8" s="19"/>
      <c r="G8" s="19"/>
      <c r="H8" s="80">
        <v>10</v>
      </c>
      <c r="I8" s="23">
        <f>IF(Tabel6[[#This Row],[Kolom4]]="Ja",Tabel6[[#This Row],[Kolom7]],0)</f>
        <v>0</v>
      </c>
      <c r="J8" s="23">
        <f>IF(Tabel6[[#This Row],[Kolom5]]="Ja",Tabel6[[#This Row],[Kolom8]]/2,0)</f>
        <v>0</v>
      </c>
      <c r="K8" s="19">
        <f t="shared" si="1"/>
        <v>0</v>
      </c>
    </row>
    <row r="9" spans="1:11" s="73" customFormat="1" ht="15.75">
      <c r="A9" s="72"/>
      <c r="B9" s="336"/>
      <c r="C9" s="337" t="s">
        <v>191</v>
      </c>
      <c r="D9" s="337"/>
      <c r="E9" s="340"/>
      <c r="F9" s="340"/>
      <c r="G9" s="340"/>
      <c r="H9" s="340"/>
      <c r="I9" s="340"/>
      <c r="J9" s="322"/>
      <c r="K9" s="19">
        <f t="shared" si="1"/>
        <v>0</v>
      </c>
    </row>
    <row r="10" spans="1:11" s="73" customFormat="1" ht="60">
      <c r="A10" s="72"/>
      <c r="B10" s="196" t="s">
        <v>192</v>
      </c>
      <c r="C10" s="74" t="s">
        <v>193</v>
      </c>
      <c r="D10" s="407" t="s">
        <v>68</v>
      </c>
      <c r="E10" s="19"/>
      <c r="F10" s="74"/>
      <c r="G10" s="74"/>
      <c r="H10" s="80"/>
      <c r="I10" s="80"/>
      <c r="J10" s="139"/>
      <c r="K10" s="19">
        <f t="shared" si="1"/>
        <v>0</v>
      </c>
    </row>
    <row r="11" spans="1:11" s="73" customFormat="1" ht="72">
      <c r="A11" s="72"/>
      <c r="B11" s="196" t="s">
        <v>194</v>
      </c>
      <c r="C11" s="74" t="s">
        <v>195</v>
      </c>
      <c r="D11" s="101" t="s">
        <v>88</v>
      </c>
      <c r="E11" s="19"/>
      <c r="F11" s="19"/>
      <c r="G11" s="19"/>
      <c r="H11" s="80">
        <v>20</v>
      </c>
      <c r="I11" s="23">
        <f>IF(Tabel6[[#This Row],[Kolom4]]="Ja",Tabel6[[#This Row],[Kolom7]],0)</f>
        <v>0</v>
      </c>
      <c r="J11" s="23">
        <f>IF(Tabel6[[#This Row],[Kolom5]]="Ja",Tabel6[[#This Row],[Kolom8]]/2,0)</f>
        <v>0</v>
      </c>
      <c r="K11" s="19">
        <f t="shared" si="1"/>
        <v>0</v>
      </c>
    </row>
    <row r="12" spans="1:11" s="73" customFormat="1" ht="24">
      <c r="A12" s="72"/>
      <c r="B12" s="196" t="s">
        <v>196</v>
      </c>
      <c r="C12" s="74" t="s">
        <v>197</v>
      </c>
      <c r="D12" s="101" t="s">
        <v>88</v>
      </c>
      <c r="E12" s="19"/>
      <c r="F12" s="19"/>
      <c r="G12" s="19"/>
      <c r="H12" s="80">
        <v>20</v>
      </c>
      <c r="I12" s="23">
        <f>IF(Tabel6[[#This Row],[Kolom4]]="Ja",Tabel6[[#This Row],[Kolom7]],0)</f>
        <v>0</v>
      </c>
      <c r="J12" s="23">
        <f>IF(Tabel6[[#This Row],[Kolom5]]="Ja",Tabel6[[#This Row],[Kolom8]]/2,0)</f>
        <v>0</v>
      </c>
      <c r="K12" s="19">
        <f t="shared" si="1"/>
        <v>0</v>
      </c>
    </row>
    <row r="13" spans="1:11" s="73" customFormat="1" ht="24">
      <c r="A13" s="72"/>
      <c r="B13" s="196" t="s">
        <v>198</v>
      </c>
      <c r="C13" s="74" t="s">
        <v>199</v>
      </c>
      <c r="D13" s="101" t="s">
        <v>88</v>
      </c>
      <c r="E13" s="19"/>
      <c r="F13" s="19"/>
      <c r="G13" s="19"/>
      <c r="H13" s="80">
        <v>20</v>
      </c>
      <c r="I13" s="23">
        <f>IF(Tabel6[[#This Row],[Kolom4]]="Ja",Tabel6[[#This Row],[Kolom7]],0)</f>
        <v>0</v>
      </c>
      <c r="J13" s="23">
        <f>IF(Tabel6[[#This Row],[Kolom5]]="Ja",Tabel6[[#This Row],[Kolom8]]/2,0)</f>
        <v>0</v>
      </c>
      <c r="K13" s="19">
        <f t="shared" si="1"/>
        <v>0</v>
      </c>
    </row>
    <row r="14" spans="1:11" s="73" customFormat="1" ht="96">
      <c r="A14" s="72"/>
      <c r="B14" s="196" t="s">
        <v>200</v>
      </c>
      <c r="C14" s="74" t="s">
        <v>201</v>
      </c>
      <c r="D14" s="407" t="s">
        <v>68</v>
      </c>
      <c r="E14" s="19"/>
      <c r="F14" s="74"/>
      <c r="G14" s="74"/>
      <c r="H14" s="80"/>
      <c r="I14" s="80"/>
      <c r="J14" s="197"/>
      <c r="K14" s="19">
        <f t="shared" si="1"/>
        <v>0</v>
      </c>
    </row>
    <row r="15" spans="1:11" s="73" customFormat="1" ht="24">
      <c r="A15" s="72"/>
      <c r="B15" s="196" t="s">
        <v>202</v>
      </c>
      <c r="C15" s="74" t="s">
        <v>203</v>
      </c>
      <c r="D15" s="407" t="s">
        <v>68</v>
      </c>
      <c r="E15" s="19"/>
      <c r="F15" s="74"/>
      <c r="G15" s="74"/>
      <c r="H15" s="80"/>
      <c r="I15" s="80"/>
      <c r="J15" s="197"/>
      <c r="K15" s="19">
        <f t="shared" si="1"/>
        <v>0</v>
      </c>
    </row>
    <row r="16" spans="1:11" s="73" customFormat="1" ht="15.75">
      <c r="A16" s="72"/>
      <c r="B16" s="341"/>
      <c r="C16" s="342" t="s">
        <v>204</v>
      </c>
      <c r="D16" s="337"/>
      <c r="E16" s="340"/>
      <c r="F16" s="340"/>
      <c r="G16" s="340"/>
      <c r="H16" s="340"/>
      <c r="I16" s="340"/>
      <c r="J16" s="343"/>
      <c r="K16" s="19">
        <f t="shared" si="1"/>
        <v>0</v>
      </c>
    </row>
    <row r="17" spans="1:11" s="73" customFormat="1" ht="108">
      <c r="A17" s="72"/>
      <c r="B17" s="196" t="s">
        <v>205</v>
      </c>
      <c r="C17" s="74" t="s">
        <v>206</v>
      </c>
      <c r="D17" s="407" t="s">
        <v>68</v>
      </c>
      <c r="E17" s="19"/>
      <c r="F17" s="74"/>
      <c r="G17" s="74"/>
      <c r="H17" s="80"/>
      <c r="I17" s="80"/>
      <c r="J17" s="197"/>
      <c r="K17" s="19">
        <f t="shared" si="1"/>
        <v>0</v>
      </c>
    </row>
    <row r="18" spans="1:11" s="73" customFormat="1" ht="96">
      <c r="A18" s="72"/>
      <c r="B18" s="196" t="s">
        <v>207</v>
      </c>
      <c r="C18" s="74" t="s">
        <v>208</v>
      </c>
      <c r="D18" s="407" t="s">
        <v>68</v>
      </c>
      <c r="E18" s="19"/>
      <c r="F18" s="74"/>
      <c r="G18" s="74"/>
      <c r="H18" s="80"/>
      <c r="I18" s="80"/>
      <c r="J18" s="197"/>
      <c r="K18" s="19">
        <f t="shared" si="1"/>
        <v>0</v>
      </c>
    </row>
    <row r="19" spans="1:11" s="73" customFormat="1" ht="96">
      <c r="A19" s="72"/>
      <c r="B19" s="196" t="s">
        <v>209</v>
      </c>
      <c r="C19" s="74" t="s">
        <v>210</v>
      </c>
      <c r="D19" s="407" t="s">
        <v>68</v>
      </c>
      <c r="E19" s="19"/>
      <c r="F19" s="74"/>
      <c r="G19" s="74"/>
      <c r="H19" s="80"/>
      <c r="I19" s="80"/>
      <c r="J19" s="197"/>
      <c r="K19" s="19">
        <f t="shared" si="1"/>
        <v>0</v>
      </c>
    </row>
    <row r="20" spans="1:11" s="73" customFormat="1" ht="24">
      <c r="A20" s="72"/>
      <c r="B20" s="196" t="s">
        <v>211</v>
      </c>
      <c r="C20" s="70" t="s">
        <v>212</v>
      </c>
      <c r="D20" s="80" t="s">
        <v>88</v>
      </c>
      <c r="E20" s="19"/>
      <c r="F20" s="19"/>
      <c r="G20" s="19"/>
      <c r="H20" s="80">
        <v>20</v>
      </c>
      <c r="I20" s="23">
        <f>IF(Tabel6[[#This Row],[Kolom4]]="Ja",Tabel6[[#This Row],[Kolom7]],0)</f>
        <v>0</v>
      </c>
      <c r="J20" s="23">
        <f>IF(Tabel6[[#This Row],[Kolom5]]="Ja",Tabel6[[#This Row],[Kolom8]]/2,0)</f>
        <v>0</v>
      </c>
      <c r="K20" s="19">
        <f t="shared" si="1"/>
        <v>0</v>
      </c>
    </row>
    <row r="21" spans="1:11" s="73" customFormat="1" ht="72">
      <c r="A21" s="72"/>
      <c r="B21" s="196" t="s">
        <v>213</v>
      </c>
      <c r="C21" s="70" t="s">
        <v>214</v>
      </c>
      <c r="D21" s="80" t="s">
        <v>88</v>
      </c>
      <c r="E21" s="19"/>
      <c r="F21" s="19"/>
      <c r="G21" s="19"/>
      <c r="H21" s="80">
        <v>20</v>
      </c>
      <c r="I21" s="23">
        <f>IF(Tabel6[[#This Row],[Kolom4]]="Ja",Tabel6[[#This Row],[Kolom7]],0)</f>
        <v>0</v>
      </c>
      <c r="J21" s="23">
        <f>IF(Tabel6[[#This Row],[Kolom5]]="Ja",Tabel6[[#This Row],[Kolom8]]/2,0)</f>
        <v>0</v>
      </c>
      <c r="K21" s="19">
        <f t="shared" si="1"/>
        <v>0</v>
      </c>
    </row>
    <row r="22" spans="1:11" s="73" customFormat="1" ht="57.75" customHeight="1">
      <c r="A22" s="72"/>
      <c r="B22" s="196" t="s">
        <v>215</v>
      </c>
      <c r="C22" s="70" t="s">
        <v>216</v>
      </c>
      <c r="D22" s="80" t="s">
        <v>88</v>
      </c>
      <c r="E22" s="19"/>
      <c r="F22" s="19"/>
      <c r="G22" s="19"/>
      <c r="H22" s="80">
        <v>10</v>
      </c>
      <c r="I22" s="23">
        <f>IF(Tabel6[[#This Row],[Kolom4]]="Ja",Tabel6[[#This Row],[Kolom7]],0)</f>
        <v>0</v>
      </c>
      <c r="J22" s="23">
        <f>IF(Tabel6[[#This Row],[Kolom5]]="Ja",Tabel6[[#This Row],[Kolom8]]/2,0)</f>
        <v>0</v>
      </c>
      <c r="K22" s="19">
        <f t="shared" si="1"/>
        <v>0</v>
      </c>
    </row>
    <row r="23" spans="1:11" ht="19.5" customHeight="1">
      <c r="B23" s="194"/>
      <c r="C23" s="64" t="s">
        <v>179</v>
      </c>
      <c r="D23" s="53">
        <f>COUNTIF(D4:D22,"Wens")</f>
        <v>10</v>
      </c>
      <c r="E23" s="79"/>
      <c r="F23" s="79"/>
      <c r="G23" s="79"/>
      <c r="H23" s="79"/>
      <c r="I23" s="79"/>
      <c r="J23" s="195"/>
      <c r="K23" s="112"/>
    </row>
    <row r="24" spans="1:11" ht="19.5" customHeight="1">
      <c r="B24" s="198"/>
      <c r="C24" s="181" t="s">
        <v>180</v>
      </c>
      <c r="D24" s="53">
        <f>COUNTIF(D4:D22,"Eis")</f>
        <v>6</v>
      </c>
      <c r="E24" s="200"/>
      <c r="F24" s="200"/>
      <c r="G24" s="201" t="s">
        <v>119</v>
      </c>
      <c r="H24" s="200">
        <f>SUM(H5:H22)</f>
        <v>150</v>
      </c>
      <c r="I24" s="200">
        <f t="shared" ref="I24:J24" si="2">SUM(I5:I22)</f>
        <v>0</v>
      </c>
      <c r="J24" s="400">
        <f t="shared" si="2"/>
        <v>0</v>
      </c>
      <c r="K24" s="401"/>
    </row>
  </sheetData>
  <sheetProtection algorithmName="SHA-512" hashValue="Hx7Jz6opmSZ7m2x8EelFnJ+CXESqB59lnaZnbKPDGeTedkN+e1BK+ibY47NenYvV1xwGyjMo5+MP0dfbbM9X2Q==" saltValue="2lkXiOuZY22LmxMe2n0HTQ==" spinCount="100000" sheet="1"/>
  <protectedRanges>
    <protectedRange sqref="E5:G8 E11:G12 E10 E13:G13 E14 E15 E17 E18 E19 E20 F20 G20 G21 F21 E21 E22 F22 G22" name="Invier IenC"/>
  </protectedRanges>
  <phoneticPr fontId="20" type="noConversion"/>
  <conditionalFormatting sqref="K4:K22">
    <cfRule type="cellIs" dxfId="264" priority="1" operator="greaterThan">
      <formula>1</formula>
    </cfRule>
    <cfRule type="cellIs" dxfId="263" priority="2" operator="greaterThan">
      <formula>1</formula>
    </cfRule>
    <cfRule type="cellIs" dxfId="262" priority="3" operator="lessThanOrEqual">
      <formula>1</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1B9AAE4-9511-4040-A485-E9F099B9FA9F}">
          <x14:formula1>
            <xm:f>Blad1!$B$2:$B$3</xm:f>
          </x14:formula1>
          <xm:sqref>E5:G8 E11:G13 E20:G22 E14:E15 E17:E19 E10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A3FA4-0DDB-4522-A014-61F624C6C79D}">
  <sheetPr>
    <tabColor theme="9" tint="-0.249977111117893"/>
  </sheetPr>
  <dimension ref="A1:K32"/>
  <sheetViews>
    <sheetView topLeftCell="B1" workbookViewId="0">
      <selection activeCell="E27" sqref="E27"/>
    </sheetView>
  </sheetViews>
  <sheetFormatPr defaultColWidth="9.140625" defaultRowHeight="15"/>
  <cols>
    <col min="1" max="1" width="9.7109375" style="30" customWidth="1"/>
    <col min="2" max="2" width="9.42578125" style="30" customWidth="1"/>
    <col min="3" max="3" width="67" style="30" customWidth="1"/>
    <col min="4" max="4" width="9.42578125" style="49" bestFit="1" customWidth="1"/>
    <col min="5" max="5" width="25.42578125" style="49" bestFit="1" customWidth="1"/>
    <col min="6" max="7" width="25.42578125" style="49" customWidth="1"/>
    <col min="8" max="8" width="9.7109375" style="49" bestFit="1" customWidth="1"/>
    <col min="9" max="9" width="15.28515625" style="49" customWidth="1"/>
    <col min="10" max="10" width="17.42578125" style="49" bestFit="1" customWidth="1"/>
    <col min="11" max="11" width="4.140625" style="30" customWidth="1"/>
    <col min="12" max="16384" width="9.140625" style="30"/>
  </cols>
  <sheetData>
    <row r="1" spans="1:11" s="46" customFormat="1">
      <c r="B1" s="81" t="s">
        <v>46</v>
      </c>
      <c r="C1" s="81" t="s">
        <v>47</v>
      </c>
      <c r="D1" s="81" t="s">
        <v>48</v>
      </c>
      <c r="E1" s="81" t="s">
        <v>49</v>
      </c>
      <c r="F1" s="81" t="s">
        <v>50</v>
      </c>
      <c r="G1" s="81" t="s">
        <v>51</v>
      </c>
      <c r="H1" s="81" t="s">
        <v>52</v>
      </c>
      <c r="I1" s="81" t="s">
        <v>53</v>
      </c>
      <c r="J1" s="81" t="s">
        <v>54</v>
      </c>
      <c r="K1" s="383" t="s">
        <v>55</v>
      </c>
    </row>
    <row r="2" spans="1:11">
      <c r="B2" s="47"/>
      <c r="C2" s="202" t="s">
        <v>217</v>
      </c>
      <c r="D2" s="48"/>
      <c r="E2" s="48"/>
      <c r="F2" s="48"/>
      <c r="G2" s="48"/>
      <c r="H2" s="48"/>
    </row>
    <row r="3" spans="1:11" s="49" customFormat="1" ht="60.75" thickBot="1">
      <c r="A3" s="76"/>
      <c r="B3" s="205" t="s">
        <v>57</v>
      </c>
      <c r="C3" s="206" t="s">
        <v>58</v>
      </c>
      <c r="D3" s="207" t="s">
        <v>121</v>
      </c>
      <c r="E3" s="207" t="s">
        <v>60</v>
      </c>
      <c r="F3" s="207" t="s">
        <v>61</v>
      </c>
      <c r="G3" s="208" t="s">
        <v>62</v>
      </c>
      <c r="H3" s="209" t="s">
        <v>63</v>
      </c>
      <c r="I3" s="207" t="s">
        <v>64</v>
      </c>
      <c r="J3" s="207" t="s">
        <v>65</v>
      </c>
      <c r="K3" s="19"/>
    </row>
    <row r="4" spans="1:11" s="60" customFormat="1" ht="30">
      <c r="A4" s="59"/>
      <c r="B4" s="326"/>
      <c r="C4" s="327" t="s">
        <v>218</v>
      </c>
      <c r="D4" s="328"/>
      <c r="E4" s="328"/>
      <c r="F4" s="328"/>
      <c r="G4" s="328"/>
      <c r="H4" s="328"/>
      <c r="I4" s="328"/>
      <c r="J4" s="329"/>
      <c r="K4" s="19">
        <f>COUNTA(Tabel7[[#This Row],[Kolom4]:[Kolom6]])</f>
        <v>0</v>
      </c>
    </row>
    <row r="5" spans="1:11" s="60" customFormat="1">
      <c r="A5" s="30"/>
      <c r="B5" s="210" t="s">
        <v>219</v>
      </c>
      <c r="C5" s="45" t="s">
        <v>220</v>
      </c>
      <c r="D5" s="53" t="s">
        <v>68</v>
      </c>
      <c r="E5" s="19"/>
      <c r="F5" s="19"/>
      <c r="G5" s="53"/>
      <c r="H5" s="53"/>
      <c r="I5" s="53"/>
      <c r="J5" s="96"/>
      <c r="K5" s="19">
        <f>COUNTA(Tabel7[[#This Row],[Kolom4]:[Kolom6]])</f>
        <v>0</v>
      </c>
    </row>
    <row r="6" spans="1:11" s="61" customFormat="1">
      <c r="A6" s="30"/>
      <c r="B6" s="210" t="s">
        <v>221</v>
      </c>
      <c r="C6" s="45" t="s">
        <v>222</v>
      </c>
      <c r="D6" s="29" t="s">
        <v>88</v>
      </c>
      <c r="E6" s="19"/>
      <c r="F6" s="19"/>
      <c r="G6" s="19"/>
      <c r="H6" s="53">
        <v>10</v>
      </c>
      <c r="I6" s="96">
        <f>IF(Tabel7[[#This Row],[Kolom4]]="Ja",Tabel7[[#This Row],[Kolom7]],0)</f>
        <v>0</v>
      </c>
      <c r="J6" s="96">
        <f>IF(F6="Ja",H6/2,0)</f>
        <v>0</v>
      </c>
      <c r="K6" s="19">
        <f>COUNTA(Tabel7[[#This Row],[Kolom4]:[Kolom6]])</f>
        <v>0</v>
      </c>
    </row>
    <row r="7" spans="1:11" s="60" customFormat="1">
      <c r="A7" s="30"/>
      <c r="B7" s="210" t="s">
        <v>223</v>
      </c>
      <c r="C7" s="45" t="s">
        <v>224</v>
      </c>
      <c r="D7" s="53" t="s">
        <v>68</v>
      </c>
      <c r="E7" s="19"/>
      <c r="F7" s="19"/>
      <c r="G7" s="19"/>
      <c r="H7" s="53"/>
      <c r="I7" s="53"/>
      <c r="J7" s="96"/>
      <c r="K7" s="19">
        <f>COUNTA(Tabel7[[#This Row],[Kolom4]:[Kolom6]])</f>
        <v>0</v>
      </c>
    </row>
    <row r="8" spans="1:11" s="60" customFormat="1" ht="45">
      <c r="A8" s="30"/>
      <c r="B8" s="210" t="s">
        <v>225</v>
      </c>
      <c r="C8" s="45" t="s">
        <v>226</v>
      </c>
      <c r="D8" s="53" t="s">
        <v>68</v>
      </c>
      <c r="E8" s="19"/>
      <c r="F8" s="19"/>
      <c r="G8" s="19"/>
      <c r="H8" s="53"/>
      <c r="I8" s="53"/>
      <c r="J8" s="96"/>
      <c r="K8" s="19">
        <f>COUNTA(Tabel7[[#This Row],[Kolom4]:[Kolom6]])</f>
        <v>0</v>
      </c>
    </row>
    <row r="9" spans="1:11" ht="30">
      <c r="B9" s="210" t="s">
        <v>227</v>
      </c>
      <c r="C9" s="45" t="s">
        <v>228</v>
      </c>
      <c r="D9" s="407" t="s">
        <v>68</v>
      </c>
      <c r="E9" s="19"/>
      <c r="F9" s="19"/>
      <c r="G9" s="19"/>
      <c r="H9" s="53"/>
      <c r="I9" s="53"/>
      <c r="J9" s="96"/>
      <c r="K9" s="19">
        <f>COUNTA(Tabel7[[#This Row],[Kolom4]:[Kolom6]])</f>
        <v>0</v>
      </c>
    </row>
    <row r="10" spans="1:11" ht="30">
      <c r="B10" s="210" t="s">
        <v>225</v>
      </c>
      <c r="C10" s="45" t="s">
        <v>229</v>
      </c>
      <c r="D10" s="101" t="s">
        <v>88</v>
      </c>
      <c r="E10" s="19"/>
      <c r="F10" s="19"/>
      <c r="G10" s="19"/>
      <c r="H10" s="53">
        <v>10</v>
      </c>
      <c r="I10" s="96">
        <f>IF(Tabel7[[#This Row],[Kolom4]]="Ja",Tabel7[[#This Row],[Kolom7]],0)</f>
        <v>0</v>
      </c>
      <c r="J10" s="96">
        <f>IF(F10="Ja",H10/2,0)</f>
        <v>0</v>
      </c>
      <c r="K10" s="19">
        <f>COUNTA(Tabel7[[#This Row],[Kolom4]:[Kolom6]])</f>
        <v>0</v>
      </c>
    </row>
    <row r="11" spans="1:11" ht="30">
      <c r="B11" s="210" t="s">
        <v>230</v>
      </c>
      <c r="C11" s="45" t="s">
        <v>231</v>
      </c>
      <c r="D11" s="407" t="s">
        <v>68</v>
      </c>
      <c r="E11" s="19"/>
      <c r="F11" s="19"/>
      <c r="G11" s="19"/>
      <c r="H11" s="53"/>
      <c r="I11" s="53"/>
      <c r="J11" s="96"/>
      <c r="K11" s="19">
        <f>COUNTA(Tabel7[[#This Row],[Kolom4]:[Kolom6]])</f>
        <v>0</v>
      </c>
    </row>
    <row r="12" spans="1:11" ht="30">
      <c r="B12" s="210" t="s">
        <v>232</v>
      </c>
      <c r="C12" s="45" t="s">
        <v>233</v>
      </c>
      <c r="D12" s="101" t="s">
        <v>88</v>
      </c>
      <c r="E12" s="19"/>
      <c r="F12" s="19"/>
      <c r="G12" s="19"/>
      <c r="H12" s="53">
        <v>10</v>
      </c>
      <c r="I12" s="96">
        <f>IF(Tabel7[[#This Row],[Kolom4]]="Ja",Tabel7[[#This Row],[Kolom7]],0)</f>
        <v>0</v>
      </c>
      <c r="J12" s="96">
        <f>IF(F12="Ja",H12/2,0)</f>
        <v>0</v>
      </c>
      <c r="K12" s="19">
        <f>COUNTA(Tabel7[[#This Row],[Kolom4]:[Kolom6]])</f>
        <v>0</v>
      </c>
    </row>
    <row r="13" spans="1:11" s="59" customFormat="1" ht="30">
      <c r="B13" s="330"/>
      <c r="C13" s="313" t="s">
        <v>234</v>
      </c>
      <c r="D13" s="331"/>
      <c r="E13" s="310"/>
      <c r="F13" s="310"/>
      <c r="G13" s="310"/>
      <c r="H13" s="310"/>
      <c r="I13" s="310"/>
      <c r="J13" s="332"/>
      <c r="K13" s="19">
        <f>COUNTA(Tabel7[[#This Row],[Kolom4]:[Kolom6]])</f>
        <v>0</v>
      </c>
    </row>
    <row r="14" spans="1:11" s="60" customFormat="1">
      <c r="A14" s="59"/>
      <c r="B14" s="210" t="s">
        <v>235</v>
      </c>
      <c r="C14" s="45" t="s">
        <v>236</v>
      </c>
      <c r="D14" s="101" t="s">
        <v>88</v>
      </c>
      <c r="E14" s="19"/>
      <c r="F14" s="19"/>
      <c r="G14" s="19"/>
      <c r="H14" s="53">
        <v>10</v>
      </c>
      <c r="I14" s="96">
        <f>IF(Tabel7[[#This Row],[Kolom4]]="Ja",Tabel7[[#This Row],[Kolom7]],0)</f>
        <v>0</v>
      </c>
      <c r="J14" s="96">
        <f t="shared" ref="J14:J18" si="0">IF(F14="Ja",H14/2,0)</f>
        <v>0</v>
      </c>
      <c r="K14" s="19">
        <f>COUNTA(Tabel7[[#This Row],[Kolom4]:[Kolom6]])</f>
        <v>0</v>
      </c>
    </row>
    <row r="15" spans="1:11" s="60" customFormat="1">
      <c r="A15" s="59"/>
      <c r="B15" s="210" t="s">
        <v>237</v>
      </c>
      <c r="C15" s="45" t="s">
        <v>238</v>
      </c>
      <c r="D15" s="101" t="s">
        <v>88</v>
      </c>
      <c r="E15" s="19"/>
      <c r="F15" s="19"/>
      <c r="G15" s="19"/>
      <c r="H15" s="53">
        <v>10</v>
      </c>
      <c r="I15" s="96">
        <f>IF(Tabel7[[#This Row],[Kolom4]]="Ja",Tabel7[[#This Row],[Kolom7]],0)</f>
        <v>0</v>
      </c>
      <c r="J15" s="96">
        <f t="shared" si="0"/>
        <v>0</v>
      </c>
      <c r="K15" s="19">
        <f>COUNTA(Tabel7[[#This Row],[Kolom4]:[Kolom6]])</f>
        <v>0</v>
      </c>
    </row>
    <row r="16" spans="1:11" s="60" customFormat="1" ht="45">
      <c r="A16" s="59"/>
      <c r="B16" s="210" t="s">
        <v>239</v>
      </c>
      <c r="C16" s="45" t="s">
        <v>240</v>
      </c>
      <c r="D16" s="101" t="s">
        <v>88</v>
      </c>
      <c r="E16" s="19"/>
      <c r="F16" s="19"/>
      <c r="G16" s="19"/>
      <c r="H16" s="53">
        <v>10</v>
      </c>
      <c r="I16" s="96">
        <f>IF(Tabel7[[#This Row],[Kolom4]]="Ja",Tabel7[[#This Row],[Kolom7]],0)</f>
        <v>0</v>
      </c>
      <c r="J16" s="96">
        <f t="shared" si="0"/>
        <v>0</v>
      </c>
      <c r="K16" s="19">
        <f>COUNTA(Tabel7[[#This Row],[Kolom4]:[Kolom6]])</f>
        <v>0</v>
      </c>
    </row>
    <row r="17" spans="1:11" s="60" customFormat="1" ht="30">
      <c r="A17" s="59"/>
      <c r="B17" s="210" t="s">
        <v>241</v>
      </c>
      <c r="C17" s="45" t="s">
        <v>242</v>
      </c>
      <c r="D17" s="101" t="s">
        <v>88</v>
      </c>
      <c r="E17" s="19"/>
      <c r="F17" s="19"/>
      <c r="G17" s="19"/>
      <c r="H17" s="53">
        <v>10</v>
      </c>
      <c r="I17" s="96">
        <f>IF(Tabel7[[#This Row],[Kolom4]]="Ja",Tabel7[[#This Row],[Kolom7]],0)</f>
        <v>0</v>
      </c>
      <c r="J17" s="96">
        <f t="shared" si="0"/>
        <v>0</v>
      </c>
      <c r="K17" s="19">
        <f>COUNTA(Tabel7[[#This Row],[Kolom4]:[Kolom6]])</f>
        <v>0</v>
      </c>
    </row>
    <row r="18" spans="1:11" s="60" customFormat="1" ht="16.5" customHeight="1">
      <c r="A18" s="59"/>
      <c r="B18" s="210" t="s">
        <v>243</v>
      </c>
      <c r="C18" s="45" t="s">
        <v>244</v>
      </c>
      <c r="D18" s="101" t="s">
        <v>88</v>
      </c>
      <c r="E18" s="19"/>
      <c r="F18" s="19"/>
      <c r="G18" s="19"/>
      <c r="H18" s="53">
        <v>10</v>
      </c>
      <c r="I18" s="96">
        <f>IF(Tabel7[[#This Row],[Kolom4]]="Ja",Tabel7[[#This Row],[Kolom7]],0)</f>
        <v>0</v>
      </c>
      <c r="J18" s="96">
        <f t="shared" si="0"/>
        <v>0</v>
      </c>
      <c r="K18" s="19">
        <f>COUNTA(Tabel7[[#This Row],[Kolom4]:[Kolom6]])</f>
        <v>0</v>
      </c>
    </row>
    <row r="19" spans="1:11" s="59" customFormat="1" ht="30">
      <c r="B19" s="348"/>
      <c r="C19" s="313" t="s">
        <v>245</v>
      </c>
      <c r="D19" s="331"/>
      <c r="E19" s="310"/>
      <c r="F19" s="310"/>
      <c r="G19" s="310"/>
      <c r="H19" s="310"/>
      <c r="I19" s="310"/>
      <c r="J19" s="332"/>
      <c r="K19" s="19">
        <f>COUNTA(Tabel7[[#This Row],[Kolom4]:[Kolom6]])</f>
        <v>0</v>
      </c>
    </row>
    <row r="20" spans="1:11" s="60" customFormat="1">
      <c r="A20" s="59"/>
      <c r="B20" s="210" t="s">
        <v>246</v>
      </c>
      <c r="C20" s="45" t="s">
        <v>247</v>
      </c>
      <c r="D20" s="101" t="s">
        <v>88</v>
      </c>
      <c r="E20" s="19"/>
      <c r="F20" s="19"/>
      <c r="G20" s="19"/>
      <c r="H20" s="53">
        <v>10</v>
      </c>
      <c r="I20" s="96">
        <f>IF(Tabel7[[#This Row],[Kolom4]]="Ja",Tabel7[[#This Row],[Kolom7]],0)</f>
        <v>0</v>
      </c>
      <c r="J20" s="96">
        <f t="shared" ref="J20:J22" si="1">IF(F20="Ja",H20/2,0)</f>
        <v>0</v>
      </c>
      <c r="K20" s="19">
        <f>COUNTA(Tabel7[[#This Row],[Kolom4]:[Kolom6]])</f>
        <v>0</v>
      </c>
    </row>
    <row r="21" spans="1:11" s="60" customFormat="1">
      <c r="A21" s="59"/>
      <c r="B21" s="210" t="s">
        <v>248</v>
      </c>
      <c r="C21" s="45" t="s">
        <v>249</v>
      </c>
      <c r="D21" s="101" t="s">
        <v>88</v>
      </c>
      <c r="E21" s="19"/>
      <c r="F21" s="19"/>
      <c r="G21" s="19"/>
      <c r="H21" s="53">
        <v>10</v>
      </c>
      <c r="I21" s="96">
        <f>IF(Tabel7[[#This Row],[Kolom4]]="Ja",Tabel7[[#This Row],[Kolom7]],0)</f>
        <v>0</v>
      </c>
      <c r="J21" s="96">
        <f t="shared" si="1"/>
        <v>0</v>
      </c>
      <c r="K21" s="19">
        <f>COUNTA(Tabel7[[#This Row],[Kolom4]:[Kolom6]])</f>
        <v>0</v>
      </c>
    </row>
    <row r="22" spans="1:11" s="60" customFormat="1">
      <c r="A22" s="59"/>
      <c r="B22" s="210" t="s">
        <v>250</v>
      </c>
      <c r="C22" s="45" t="s">
        <v>251</v>
      </c>
      <c r="D22" s="101" t="s">
        <v>88</v>
      </c>
      <c r="E22" s="19"/>
      <c r="F22" s="19"/>
      <c r="G22" s="19"/>
      <c r="H22" s="53">
        <v>10</v>
      </c>
      <c r="I22" s="96">
        <f>IF(Tabel7[[#This Row],[Kolom4]]="Ja",Tabel7[[#This Row],[Kolom7]],0)</f>
        <v>0</v>
      </c>
      <c r="J22" s="96">
        <f t="shared" si="1"/>
        <v>0</v>
      </c>
      <c r="K22" s="19">
        <f>COUNTA(Tabel7[[#This Row],[Kolom4]:[Kolom6]])</f>
        <v>0</v>
      </c>
    </row>
    <row r="23" spans="1:11" s="59" customFormat="1" ht="30">
      <c r="B23" s="330"/>
      <c r="C23" s="313" t="s">
        <v>252</v>
      </c>
      <c r="D23" s="331"/>
      <c r="E23" s="310"/>
      <c r="F23" s="310"/>
      <c r="G23" s="310"/>
      <c r="H23" s="310"/>
      <c r="I23" s="310"/>
      <c r="J23" s="332"/>
      <c r="K23" s="19">
        <f>COUNTA(Tabel7[[#This Row],[Kolom4]:[Kolom6]])</f>
        <v>0</v>
      </c>
    </row>
    <row r="24" spans="1:11" s="60" customFormat="1" ht="30">
      <c r="A24" s="59"/>
      <c r="B24" s="210" t="s">
        <v>253</v>
      </c>
      <c r="C24" s="45" t="s">
        <v>254</v>
      </c>
      <c r="D24" s="233" t="s">
        <v>68</v>
      </c>
      <c r="E24" s="19"/>
      <c r="F24" s="53"/>
      <c r="G24" s="53"/>
      <c r="H24" s="53"/>
      <c r="I24" s="96"/>
      <c r="J24" s="96"/>
      <c r="K24" s="19">
        <f>COUNTA(Tabel7[[#This Row],[Kolom4]:[Kolom6]])</f>
        <v>0</v>
      </c>
    </row>
    <row r="25" spans="1:11" s="60" customFormat="1">
      <c r="A25" s="59"/>
      <c r="B25" s="210" t="s">
        <v>255</v>
      </c>
      <c r="C25" s="31" t="s">
        <v>256</v>
      </c>
      <c r="D25" s="101" t="s">
        <v>88</v>
      </c>
      <c r="E25" s="19"/>
      <c r="F25" s="19"/>
      <c r="G25" s="19"/>
      <c r="H25" s="53">
        <v>10</v>
      </c>
      <c r="I25" s="96">
        <f>IF(Tabel7[[#This Row],[Kolom4]]="Ja",Tabel7[[#This Row],[Kolom7]],0)</f>
        <v>0</v>
      </c>
      <c r="J25" s="96">
        <f>IF(F25="Ja",H25/2,0)</f>
        <v>0</v>
      </c>
      <c r="K25" s="19">
        <f>COUNTA(Tabel7[[#This Row],[Kolom4]:[Kolom6]])</f>
        <v>0</v>
      </c>
    </row>
    <row r="26" spans="1:11" s="59" customFormat="1" ht="30">
      <c r="B26" s="333"/>
      <c r="C26" s="313" t="s">
        <v>257</v>
      </c>
      <c r="D26" s="334"/>
      <c r="E26" s="310"/>
      <c r="F26" s="310"/>
      <c r="G26" s="310"/>
      <c r="H26" s="310"/>
      <c r="I26" s="310"/>
      <c r="J26" s="335"/>
      <c r="K26" s="19">
        <f>COUNTA(Tabel7[[#This Row],[Kolom4]:[Kolom6]])</f>
        <v>0</v>
      </c>
    </row>
    <row r="27" spans="1:11" s="60" customFormat="1">
      <c r="A27" s="59"/>
      <c r="B27" s="210" t="s">
        <v>258</v>
      </c>
      <c r="C27" s="45" t="s">
        <v>776</v>
      </c>
      <c r="D27" s="101" t="s">
        <v>88</v>
      </c>
      <c r="E27" s="19"/>
      <c r="F27" s="19"/>
      <c r="G27" s="19"/>
      <c r="H27" s="53">
        <v>10</v>
      </c>
      <c r="I27" s="96">
        <f>IF(Tabel7[[#This Row],[Kolom4]]="Ja",Tabel7[[#This Row],[Kolom7]],0)</f>
        <v>0</v>
      </c>
      <c r="J27" s="96">
        <f>IF(F27="Ja",H27/2,0)</f>
        <v>0</v>
      </c>
      <c r="K27" s="19">
        <f>COUNTA(Tabel7[[#This Row],[Kolom4]:[Kolom6]])</f>
        <v>0</v>
      </c>
    </row>
    <row r="28" spans="1:11" s="60" customFormat="1">
      <c r="A28" s="59"/>
      <c r="B28" s="210"/>
      <c r="C28" s="62"/>
      <c r="D28" s="74"/>
      <c r="E28" s="55"/>
      <c r="F28" s="55"/>
      <c r="G28" s="55"/>
      <c r="H28" s="53"/>
      <c r="I28" s="53"/>
      <c r="J28" s="96"/>
      <c r="K28" s="19">
        <f>COUNTA(Tabel7[[#This Row],[Kolom4]:[Kolom6]])</f>
        <v>0</v>
      </c>
    </row>
    <row r="29" spans="1:11" s="60" customFormat="1">
      <c r="A29" s="58"/>
      <c r="B29" s="211"/>
      <c r="C29" s="130"/>
      <c r="D29" s="130"/>
      <c r="E29" s="130"/>
      <c r="F29" s="130"/>
      <c r="G29" s="130"/>
      <c r="H29" s="204"/>
      <c r="I29" s="204"/>
      <c r="J29" s="212"/>
      <c r="K29" s="19">
        <f>COUNTA(Tabel7[[#This Row],[Kolom4]:[Kolom6]])</f>
        <v>0</v>
      </c>
    </row>
    <row r="30" spans="1:11">
      <c r="B30" s="213"/>
      <c r="C30" s="131"/>
      <c r="D30" s="132"/>
      <c r="E30" s="132"/>
      <c r="F30" s="132"/>
      <c r="G30" s="132"/>
      <c r="H30" s="132"/>
      <c r="I30" s="132"/>
      <c r="J30" s="214"/>
      <c r="K30" s="19">
        <f>COUNTA(Tabel7[[#This Row],[Kolom4]:[Kolom6]])</f>
        <v>0</v>
      </c>
    </row>
    <row r="31" spans="1:11">
      <c r="B31" s="215"/>
      <c r="C31" s="64" t="s">
        <v>179</v>
      </c>
      <c r="D31" s="29">
        <f>COUNTIF(D4:D30,"Wens")</f>
        <v>13</v>
      </c>
      <c r="E31" s="29"/>
      <c r="F31" s="53"/>
      <c r="G31" s="53"/>
      <c r="H31" s="29"/>
      <c r="I31" s="29"/>
      <c r="J31" s="216"/>
      <c r="K31" s="19">
        <f>COUNTA(Tabel7[[#This Row],[Kolom4]:[Kolom6]])</f>
        <v>0</v>
      </c>
    </row>
    <row r="32" spans="1:11" ht="15.75" thickBot="1">
      <c r="B32" s="217"/>
      <c r="C32" s="218" t="s">
        <v>180</v>
      </c>
      <c r="D32" s="219">
        <f>COUNTIF(D4:D31,"Eis")</f>
        <v>6</v>
      </c>
      <c r="E32" s="219"/>
      <c r="F32" s="219"/>
      <c r="G32" s="220" t="s">
        <v>119</v>
      </c>
      <c r="H32" s="219">
        <f>SUM(H5:H28)</f>
        <v>130</v>
      </c>
      <c r="I32" s="219">
        <f t="shared" ref="I32:J32" si="2">SUM(I5:I28)</f>
        <v>0</v>
      </c>
      <c r="J32" s="219">
        <f t="shared" si="2"/>
        <v>0</v>
      </c>
      <c r="K32" s="19">
        <f>COUNTA(Tabel7[[#This Row],[Kolom4]:[Kolom6]])</f>
        <v>1</v>
      </c>
    </row>
  </sheetData>
  <sheetProtection algorithmName="SHA-512" hashValue="ffuPctljaUs4lFFFCTMi3ZHHJXaHddOT/pV3tL3WNAHTzCbziDZ+A94VYDhI/oxGmeVVMaUufSR1xiGLTdXvqQ==" saltValue="UVt+oo75og/NZlLKlelaag==" spinCount="100000" sheet="1" objects="1" scenarios="1"/>
  <protectedRanges>
    <protectedRange sqref="F6:G6 F10:G10 E5:E11 E12:G12 E14:G18 E20:G22 E24 E25:G25 E27:G27" name="Invoer Crediteuren"/>
  </protectedRanges>
  <phoneticPr fontId="20" type="noConversion"/>
  <conditionalFormatting sqref="K3:K32">
    <cfRule type="cellIs" dxfId="237" priority="1" operator="greaterThan">
      <formula>1</formula>
    </cfRule>
    <cfRule type="cellIs" dxfId="236" priority="2" operator="greaterThan">
      <formula>1</formula>
    </cfRule>
    <cfRule type="cellIs" dxfId="235" priority="3" operator="lessThanOrEqual">
      <formula>1</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E2DD12F-76F3-4840-9B8B-C8177E782931}">
          <x14:formula1>
            <xm:f>Blad1!$B$2:$B$3</xm:f>
          </x14:formula1>
          <xm:sqref>E20:G22 G6:G12 E25:G25 E27:G27 E14:G18 E5:F12 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BC48F-4083-4F00-A674-6024EA3ECE48}">
  <sheetPr>
    <tabColor theme="9" tint="-0.249977111117893"/>
  </sheetPr>
  <dimension ref="A1:L28"/>
  <sheetViews>
    <sheetView topLeftCell="B1" zoomScale="99" zoomScaleNormal="99" workbookViewId="0">
      <selection activeCell="B3" sqref="B3"/>
    </sheetView>
  </sheetViews>
  <sheetFormatPr defaultColWidth="9.140625" defaultRowHeight="15"/>
  <cols>
    <col min="1" max="1" width="9.7109375" style="30" customWidth="1"/>
    <col min="2" max="2" width="13.5703125" style="30" customWidth="1"/>
    <col min="3" max="3" width="67" style="30" customWidth="1"/>
    <col min="4" max="4" width="9.42578125" style="57" bestFit="1" customWidth="1"/>
    <col min="5" max="5" width="25.42578125" style="57" bestFit="1" customWidth="1"/>
    <col min="6" max="7" width="25.42578125" style="57" customWidth="1"/>
    <col min="8" max="8" width="9.7109375" style="57" bestFit="1" customWidth="1"/>
    <col min="9" max="9" width="15.42578125" style="57" customWidth="1"/>
    <col min="10" max="10" width="17.42578125" style="49" bestFit="1" customWidth="1"/>
    <col min="11" max="11" width="3.42578125" style="30" customWidth="1"/>
    <col min="12" max="12" width="11.7109375" style="30" customWidth="1"/>
    <col min="13" max="16384" width="9.140625" style="30"/>
  </cols>
  <sheetData>
    <row r="1" spans="1:12" s="46" customFormat="1">
      <c r="B1" s="221" t="s">
        <v>46</v>
      </c>
      <c r="C1" s="222" t="s">
        <v>47</v>
      </c>
      <c r="D1" s="222" t="s">
        <v>48</v>
      </c>
      <c r="E1" s="222" t="s">
        <v>49</v>
      </c>
      <c r="F1" s="222" t="s">
        <v>50</v>
      </c>
      <c r="G1" s="222" t="s">
        <v>51</v>
      </c>
      <c r="H1" s="222" t="s">
        <v>52</v>
      </c>
      <c r="I1" s="222" t="s">
        <v>53</v>
      </c>
      <c r="J1" s="223" t="s">
        <v>54</v>
      </c>
      <c r="K1" s="385" t="s">
        <v>55</v>
      </c>
    </row>
    <row r="2" spans="1:12">
      <c r="B2" s="194"/>
      <c r="C2" s="272" t="s">
        <v>259</v>
      </c>
      <c r="D2" s="79"/>
      <c r="E2" s="79"/>
      <c r="F2" s="79"/>
      <c r="G2" s="79"/>
      <c r="H2" s="79"/>
      <c r="I2" s="79"/>
      <c r="J2" s="195"/>
      <c r="K2" s="19">
        <f>COUNTA(Tabel8[[#This Row],[Kolom4]:[Kolom6]])</f>
        <v>0</v>
      </c>
    </row>
    <row r="3" spans="1:12" s="49" customFormat="1" ht="60">
      <c r="A3" s="76"/>
      <c r="B3" s="224" t="s">
        <v>57</v>
      </c>
      <c r="C3" s="97" t="s">
        <v>58</v>
      </c>
      <c r="D3" s="14" t="s">
        <v>121</v>
      </c>
      <c r="E3" s="14" t="s">
        <v>60</v>
      </c>
      <c r="F3" s="14" t="s">
        <v>61</v>
      </c>
      <c r="G3" s="52" t="s">
        <v>62</v>
      </c>
      <c r="H3" s="15" t="s">
        <v>63</v>
      </c>
      <c r="I3" s="14" t="s">
        <v>64</v>
      </c>
      <c r="J3" s="177" t="s">
        <v>65</v>
      </c>
    </row>
    <row r="4" spans="1:12" s="59" customFormat="1">
      <c r="B4" s="320"/>
      <c r="C4" s="321" t="s">
        <v>260</v>
      </c>
      <c r="D4" s="310"/>
      <c r="E4" s="310"/>
      <c r="F4" s="310"/>
      <c r="G4" s="310"/>
      <c r="H4" s="310"/>
      <c r="I4" s="310"/>
      <c r="J4" s="322"/>
      <c r="K4" s="19">
        <f>COUNTA(Tabel8[[#This Row],[Kolom4]:[Kolom6]])</f>
        <v>0</v>
      </c>
      <c r="L4" s="30"/>
    </row>
    <row r="5" spans="1:12" s="60" customFormat="1">
      <c r="A5" s="59"/>
      <c r="B5" s="26" t="s">
        <v>25</v>
      </c>
      <c r="C5" s="45" t="s">
        <v>261</v>
      </c>
      <c r="D5" s="23" t="s">
        <v>88</v>
      </c>
      <c r="E5" s="19"/>
      <c r="F5" s="19"/>
      <c r="G5" s="19"/>
      <c r="H5" s="78">
        <v>10</v>
      </c>
      <c r="I5" s="78">
        <f>IF(Tabel8[[#This Row],[Kolom4]]="Ja",Tabel8[[#This Row],[Kolom7]],0)</f>
        <v>0</v>
      </c>
      <c r="J5" s="139">
        <f>IF(F5="Ja",H5/2,0)</f>
        <v>0</v>
      </c>
      <c r="K5" s="19">
        <f>COUNTA(Tabel8[[#This Row],[Kolom4]:[Kolom6]])</f>
        <v>0</v>
      </c>
    </row>
    <row r="6" spans="1:12" s="60" customFormat="1" ht="30">
      <c r="A6" s="59"/>
      <c r="B6" s="26" t="s">
        <v>262</v>
      </c>
      <c r="C6" s="45" t="s">
        <v>263</v>
      </c>
      <c r="D6" s="23" t="s">
        <v>88</v>
      </c>
      <c r="E6" s="19"/>
      <c r="F6" s="19"/>
      <c r="G6" s="19"/>
      <c r="H6" s="78">
        <v>10</v>
      </c>
      <c r="I6" s="78">
        <f>IF(Tabel8[[#This Row],[Kolom4]]="Ja",Tabel8[[#This Row],[Kolom7]],0)</f>
        <v>0</v>
      </c>
      <c r="J6" s="139">
        <f t="shared" ref="J6:J8" si="0">IF(F6="Ja",H6/2,0)</f>
        <v>0</v>
      </c>
      <c r="K6" s="19">
        <f>COUNTA(Tabel8[[#This Row],[Kolom4]:[Kolom6]])</f>
        <v>0</v>
      </c>
    </row>
    <row r="7" spans="1:12" s="60" customFormat="1">
      <c r="A7" s="59"/>
      <c r="B7" s="26" t="s">
        <v>264</v>
      </c>
      <c r="C7" s="45" t="s">
        <v>265</v>
      </c>
      <c r="D7" s="55" t="s">
        <v>68</v>
      </c>
      <c r="E7" s="19"/>
      <c r="F7" s="23"/>
      <c r="G7" s="23"/>
      <c r="H7" s="78"/>
      <c r="I7" s="78"/>
      <c r="J7" s="139"/>
      <c r="K7" s="19">
        <f>COUNTA(Tabel8[[#This Row],[Kolom4]:[Kolom6]])</f>
        <v>0</v>
      </c>
    </row>
    <row r="8" spans="1:12" s="60" customFormat="1">
      <c r="A8" s="59"/>
      <c r="B8" s="26" t="s">
        <v>266</v>
      </c>
      <c r="C8" s="45" t="s">
        <v>267</v>
      </c>
      <c r="D8" s="23" t="s">
        <v>88</v>
      </c>
      <c r="E8" s="19"/>
      <c r="F8" s="19"/>
      <c r="G8" s="19"/>
      <c r="H8" s="78">
        <v>10</v>
      </c>
      <c r="I8" s="78">
        <f>IF(Tabel8[[#This Row],[Kolom4]]="Ja",Tabel8[[#This Row],[Kolom7]],0)</f>
        <v>0</v>
      </c>
      <c r="J8" s="139">
        <f t="shared" si="0"/>
        <v>0</v>
      </c>
      <c r="K8" s="19">
        <f>COUNTA(Tabel8[[#This Row],[Kolom4]:[Kolom6]])</f>
        <v>0</v>
      </c>
    </row>
    <row r="9" spans="1:12" s="60" customFormat="1" ht="30">
      <c r="A9" s="59"/>
      <c r="B9" s="26" t="s">
        <v>268</v>
      </c>
      <c r="C9" s="45" t="s">
        <v>269</v>
      </c>
      <c r="D9" s="55" t="s">
        <v>68</v>
      </c>
      <c r="E9" s="19"/>
      <c r="F9" s="23"/>
      <c r="G9" s="23"/>
      <c r="H9" s="78"/>
      <c r="I9" s="78"/>
      <c r="J9" s="139"/>
      <c r="K9" s="19">
        <f>COUNTA(Tabel8[[#This Row],[Kolom4]:[Kolom6]])</f>
        <v>0</v>
      </c>
    </row>
    <row r="10" spans="1:12" s="60" customFormat="1">
      <c r="A10" s="59"/>
      <c r="B10" s="26" t="s">
        <v>270</v>
      </c>
      <c r="C10" s="45" t="s">
        <v>271</v>
      </c>
      <c r="D10" s="55" t="s">
        <v>68</v>
      </c>
      <c r="E10" s="19"/>
      <c r="F10" s="23"/>
      <c r="G10" s="23"/>
      <c r="H10" s="78"/>
      <c r="I10" s="78"/>
      <c r="J10" s="139"/>
      <c r="K10" s="19">
        <f>COUNTA(Tabel8[[#This Row],[Kolom4]:[Kolom6]])</f>
        <v>0</v>
      </c>
    </row>
    <row r="11" spans="1:12" s="60" customFormat="1" ht="30">
      <c r="A11" s="59"/>
      <c r="B11" s="26" t="s">
        <v>272</v>
      </c>
      <c r="C11" s="45" t="s">
        <v>273</v>
      </c>
      <c r="D11" s="55" t="s">
        <v>68</v>
      </c>
      <c r="E11" s="19"/>
      <c r="F11" s="23"/>
      <c r="G11" s="23"/>
      <c r="H11" s="78"/>
      <c r="I11" s="78"/>
      <c r="J11" s="139"/>
      <c r="K11" s="19">
        <f>COUNTA(Tabel8[[#This Row],[Kolom4]:[Kolom6]])</f>
        <v>0</v>
      </c>
    </row>
    <row r="12" spans="1:12" s="60" customFormat="1">
      <c r="A12" s="59"/>
      <c r="B12" s="26" t="s">
        <v>274</v>
      </c>
      <c r="C12" s="45" t="s">
        <v>275</v>
      </c>
      <c r="D12" s="55" t="s">
        <v>68</v>
      </c>
      <c r="E12" s="19"/>
      <c r="F12" s="23"/>
      <c r="G12" s="23"/>
      <c r="H12" s="78"/>
      <c r="I12" s="78"/>
      <c r="J12" s="139"/>
      <c r="K12" s="19">
        <f>COUNTA(Tabel8[[#This Row],[Kolom4]:[Kolom6]])</f>
        <v>0</v>
      </c>
    </row>
    <row r="13" spans="1:12" s="60" customFormat="1" ht="45">
      <c r="A13" s="59"/>
      <c r="B13" s="26" t="s">
        <v>276</v>
      </c>
      <c r="C13" s="45" t="s">
        <v>277</v>
      </c>
      <c r="D13" s="55" t="s">
        <v>68</v>
      </c>
      <c r="E13" s="19"/>
      <c r="F13" s="29"/>
      <c r="G13" s="29"/>
      <c r="H13" s="78"/>
      <c r="I13" s="78"/>
      <c r="J13" s="139"/>
      <c r="K13" s="19">
        <f>COUNTA(Tabel8[[#This Row],[Kolom4]:[Kolom6]])</f>
        <v>0</v>
      </c>
    </row>
    <row r="14" spans="1:12" s="59" customFormat="1">
      <c r="B14" s="324"/>
      <c r="C14" s="313" t="s">
        <v>278</v>
      </c>
      <c r="D14" s="323"/>
      <c r="E14" s="323"/>
      <c r="F14" s="323"/>
      <c r="G14" s="323"/>
      <c r="H14" s="325"/>
      <c r="I14" s="325"/>
      <c r="J14" s="322"/>
      <c r="K14" s="19">
        <f>COUNTA(Tabel8[[#This Row],[Kolom4]:[Kolom6]])</f>
        <v>0</v>
      </c>
    </row>
    <row r="15" spans="1:12" s="60" customFormat="1" ht="30">
      <c r="A15" s="59"/>
      <c r="B15" s="26" t="s">
        <v>279</v>
      </c>
      <c r="C15" s="45" t="s">
        <v>280</v>
      </c>
      <c r="D15" s="23" t="s">
        <v>88</v>
      </c>
      <c r="E15" s="19"/>
      <c r="F15" s="19"/>
      <c r="G15" s="19"/>
      <c r="H15" s="78">
        <v>10</v>
      </c>
      <c r="I15" s="78">
        <f>IF(Tabel8[[#This Row],[Kolom4]]="Ja",Tabel8[[#This Row],[Kolom7]],0)</f>
        <v>0</v>
      </c>
      <c r="J15" s="139">
        <f t="shared" ref="J15:J23" si="1">IF(F15="Ja",H15/2,0)</f>
        <v>0</v>
      </c>
      <c r="K15" s="19">
        <f>COUNTA(Tabel8[[#This Row],[Kolom4]:[Kolom6]])</f>
        <v>0</v>
      </c>
    </row>
    <row r="16" spans="1:12" s="60" customFormat="1">
      <c r="A16" s="59"/>
      <c r="B16" s="26" t="s">
        <v>281</v>
      </c>
      <c r="C16" s="45" t="s">
        <v>282</v>
      </c>
      <c r="D16" s="23" t="s">
        <v>88</v>
      </c>
      <c r="E16" s="19"/>
      <c r="F16" s="19"/>
      <c r="G16" s="19"/>
      <c r="H16" s="78">
        <v>10</v>
      </c>
      <c r="I16" s="78">
        <f>IF(Tabel8[[#This Row],[Kolom4]]="Ja",Tabel8[[#This Row],[Kolom7]],0)</f>
        <v>0</v>
      </c>
      <c r="J16" s="139">
        <f t="shared" si="1"/>
        <v>0</v>
      </c>
      <c r="K16" s="19">
        <f>COUNTA(Tabel8[[#This Row],[Kolom4]:[Kolom6]])</f>
        <v>0</v>
      </c>
    </row>
    <row r="17" spans="1:11" s="60" customFormat="1">
      <c r="A17" s="59"/>
      <c r="B17" s="26" t="s">
        <v>283</v>
      </c>
      <c r="C17" s="45" t="s">
        <v>284</v>
      </c>
      <c r="D17" s="23" t="s">
        <v>88</v>
      </c>
      <c r="E17" s="19"/>
      <c r="F17" s="19"/>
      <c r="G17" s="19"/>
      <c r="H17" s="78">
        <v>10</v>
      </c>
      <c r="I17" s="78">
        <f>IF(Tabel8[[#This Row],[Kolom4]]="Ja",Tabel8[[#This Row],[Kolom7]],0)</f>
        <v>0</v>
      </c>
      <c r="J17" s="139">
        <f t="shared" si="1"/>
        <v>0</v>
      </c>
      <c r="K17" s="19">
        <f>COUNTA(Tabel8[[#This Row],[Kolom4]:[Kolom6]])</f>
        <v>0</v>
      </c>
    </row>
    <row r="18" spans="1:11" s="60" customFormat="1" ht="30">
      <c r="A18" s="59"/>
      <c r="B18" s="26" t="s">
        <v>285</v>
      </c>
      <c r="C18" s="45" t="s">
        <v>286</v>
      </c>
      <c r="D18" s="23" t="s">
        <v>88</v>
      </c>
      <c r="E18" s="19"/>
      <c r="F18" s="19"/>
      <c r="G18" s="19"/>
      <c r="H18" s="78">
        <v>10</v>
      </c>
      <c r="I18" s="78">
        <f>IF(Tabel8[[#This Row],[Kolom4]]="Ja",Tabel8[[#This Row],[Kolom7]],0)</f>
        <v>0</v>
      </c>
      <c r="J18" s="139">
        <f t="shared" si="1"/>
        <v>0</v>
      </c>
      <c r="K18" s="19">
        <f>COUNTA(Tabel8[[#This Row],[Kolom4]:[Kolom6]])</f>
        <v>0</v>
      </c>
    </row>
    <row r="19" spans="1:11" s="60" customFormat="1" ht="30">
      <c r="A19" s="59"/>
      <c r="B19" s="26" t="s">
        <v>287</v>
      </c>
      <c r="C19" s="45" t="s">
        <v>288</v>
      </c>
      <c r="D19" s="23" t="s">
        <v>88</v>
      </c>
      <c r="E19" s="19"/>
      <c r="F19" s="19"/>
      <c r="G19" s="19"/>
      <c r="H19" s="78">
        <v>10</v>
      </c>
      <c r="I19" s="78">
        <f>IF(Tabel8[[#This Row],[Kolom4]]="Ja",Tabel8[[#This Row],[Kolom7]],0)</f>
        <v>0</v>
      </c>
      <c r="J19" s="139">
        <f t="shared" si="1"/>
        <v>0</v>
      </c>
      <c r="K19" s="19">
        <f>COUNTA(Tabel8[[#This Row],[Kolom4]:[Kolom6]])</f>
        <v>0</v>
      </c>
    </row>
    <row r="20" spans="1:11" s="60" customFormat="1" ht="30">
      <c r="A20" s="59"/>
      <c r="B20" s="26" t="s">
        <v>289</v>
      </c>
      <c r="C20" s="45" t="s">
        <v>290</v>
      </c>
      <c r="D20" s="23" t="s">
        <v>88</v>
      </c>
      <c r="E20" s="19"/>
      <c r="F20" s="19"/>
      <c r="G20" s="19"/>
      <c r="H20" s="78">
        <v>10</v>
      </c>
      <c r="I20" s="78">
        <f>IF(Tabel8[[#This Row],[Kolom4]]="Ja",Tabel8[[#This Row],[Kolom7]],0)</f>
        <v>0</v>
      </c>
      <c r="J20" s="139">
        <f t="shared" si="1"/>
        <v>0</v>
      </c>
      <c r="K20" s="19">
        <f>COUNTA(Tabel8[[#This Row],[Kolom4]:[Kolom6]])</f>
        <v>0</v>
      </c>
    </row>
    <row r="21" spans="1:11" s="60" customFormat="1">
      <c r="A21" s="59"/>
      <c r="B21" s="26" t="s">
        <v>291</v>
      </c>
      <c r="C21" s="45" t="s">
        <v>292</v>
      </c>
      <c r="D21" s="23" t="s">
        <v>88</v>
      </c>
      <c r="E21" s="19"/>
      <c r="F21" s="19"/>
      <c r="G21" s="19"/>
      <c r="H21" s="78">
        <v>10</v>
      </c>
      <c r="I21" s="78">
        <f>IF(Tabel8[[#This Row],[Kolom4]]="Ja",Tabel8[[#This Row],[Kolom7]],0)</f>
        <v>0</v>
      </c>
      <c r="J21" s="139">
        <f t="shared" si="1"/>
        <v>0</v>
      </c>
      <c r="K21" s="19">
        <f>COUNTA(Tabel8[[#This Row],[Kolom4]:[Kolom6]])</f>
        <v>0</v>
      </c>
    </row>
    <row r="22" spans="1:11" s="60" customFormat="1">
      <c r="A22" s="59"/>
      <c r="B22" s="26" t="s">
        <v>293</v>
      </c>
      <c r="C22" s="45" t="s">
        <v>294</v>
      </c>
      <c r="D22" s="55" t="s">
        <v>68</v>
      </c>
      <c r="E22" s="19"/>
      <c r="F22" s="23"/>
      <c r="G22" s="23"/>
      <c r="H22" s="78"/>
      <c r="I22" s="78"/>
      <c r="J22" s="139"/>
      <c r="K22" s="19">
        <f>COUNTA(Tabel8[[#This Row],[Kolom4]:[Kolom6]])</f>
        <v>0</v>
      </c>
    </row>
    <row r="23" spans="1:11" ht="30">
      <c r="A23" s="59"/>
      <c r="B23" s="26" t="s">
        <v>295</v>
      </c>
      <c r="C23" s="56" t="s">
        <v>296</v>
      </c>
      <c r="D23" s="29" t="s">
        <v>88</v>
      </c>
      <c r="E23" s="19"/>
      <c r="F23" s="19"/>
      <c r="G23" s="19"/>
      <c r="H23" s="78">
        <v>10</v>
      </c>
      <c r="I23" s="78">
        <f>IF(Tabel8[[#This Row],[Kolom4]]="Ja",Tabel8[[#This Row],[Kolom7]],0)</f>
        <v>0</v>
      </c>
      <c r="J23" s="139">
        <f t="shared" si="1"/>
        <v>0</v>
      </c>
      <c r="K23" s="19">
        <f>COUNTA(Tabel8[[#This Row],[Kolom4]:[Kolom6]])</f>
        <v>0</v>
      </c>
    </row>
    <row r="24" spans="1:11">
      <c r="B24" s="194"/>
      <c r="C24" s="112"/>
      <c r="D24" s="79"/>
      <c r="E24" s="79"/>
      <c r="F24" s="79"/>
      <c r="G24" s="79"/>
      <c r="H24" s="79"/>
      <c r="I24" s="79"/>
      <c r="J24" s="195"/>
      <c r="K24" s="19">
        <f>COUNTA(Tabel8[[#This Row],[Kolom4]:[Kolom6]])</f>
        <v>0</v>
      </c>
    </row>
    <row r="25" spans="1:11">
      <c r="B25" s="194"/>
      <c r="C25" s="64" t="s">
        <v>179</v>
      </c>
      <c r="D25" s="225">
        <f>COUNTIF(D4:D23,"wens")</f>
        <v>11</v>
      </c>
      <c r="E25" s="79"/>
      <c r="F25" s="225"/>
      <c r="G25" s="225"/>
      <c r="H25" s="79"/>
      <c r="I25" s="79"/>
      <c r="J25" s="139"/>
      <c r="K25" s="19">
        <f>COUNTA(Tabel8[[#This Row],[Kolom4]:[Kolom6]])</f>
        <v>0</v>
      </c>
    </row>
    <row r="26" spans="1:11">
      <c r="B26" s="226"/>
      <c r="C26" s="181" t="s">
        <v>180</v>
      </c>
      <c r="D26" s="201">
        <f>COUNTIF(D4:D24,"Eis")</f>
        <v>7</v>
      </c>
      <c r="E26" s="200"/>
      <c r="F26" s="200"/>
      <c r="G26" s="201" t="s">
        <v>119</v>
      </c>
      <c r="H26" s="227">
        <f>SUM(H5:H23)</f>
        <v>110</v>
      </c>
      <c r="I26" s="227">
        <f t="shared" ref="I26:J26" si="2">SUM(I5:I23)</f>
        <v>0</v>
      </c>
      <c r="J26" s="228">
        <f t="shared" si="2"/>
        <v>0</v>
      </c>
    </row>
    <row r="28" spans="1:11">
      <c r="D28" s="30"/>
      <c r="E28" s="30"/>
    </row>
  </sheetData>
  <sheetProtection algorithmName="SHA-512" hashValue="GpDMNc/VIEN85Wk3eEIywLkKDWFh4SBzVbs8AXO6ecBmxBDDsrgmveSV4AuHtKpTEbE9y0s2jK7epYYSCS/xrA==" saltValue="aUoN2FHAsO4Yf1bCasdStg==" spinCount="100000" sheet="1" objects="1" scenarios="1"/>
  <protectedRanges>
    <protectedRange sqref="E5:G6 E7 E8:G8 E9:E13 E15:G21 E22 E23:G23" name="Invoer Debiteuren"/>
  </protectedRanges>
  <phoneticPr fontId="20" type="noConversion"/>
  <conditionalFormatting sqref="K2 K4:K25">
    <cfRule type="cellIs" dxfId="230" priority="1" operator="greaterThan">
      <formula>1</formula>
    </cfRule>
    <cfRule type="cellIs" dxfId="229" priority="2" operator="greaterThan">
      <formula>1</formula>
    </cfRule>
    <cfRule type="cellIs" dxfId="228" priority="3" operator="lessThanOrEqual">
      <formula>1</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9E9D659F-638B-4F92-81D3-2701B0802AA2}">
          <x14:formula1>
            <xm:f>Blad1!$B$2:$B$3</xm:f>
          </x14:formula1>
          <xm:sqref>E5:G6 E15:E22 E23:G23 F15:G21 E8:G8 E7 E9:E13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A2682-0302-49A7-BFAC-43004CC28AAB}">
  <sheetPr>
    <tabColor theme="9" tint="-0.249977111117893"/>
  </sheetPr>
  <dimension ref="B1:K11"/>
  <sheetViews>
    <sheetView workbookViewId="0">
      <selection activeCell="C2" sqref="C2"/>
    </sheetView>
  </sheetViews>
  <sheetFormatPr defaultRowHeight="15"/>
  <cols>
    <col min="2" max="2" width="9.85546875" customWidth="1"/>
    <col min="3" max="3" width="59.140625" customWidth="1"/>
    <col min="4" max="4" width="14.140625" customWidth="1"/>
    <col min="5" max="5" width="33.140625" customWidth="1"/>
    <col min="6" max="6" width="18.85546875" customWidth="1"/>
    <col min="7" max="7" width="20.7109375" customWidth="1"/>
    <col min="8" max="8" width="28" customWidth="1"/>
    <col min="9" max="9" width="27.5703125" customWidth="1"/>
    <col min="10" max="10" width="19.28515625" customWidth="1"/>
    <col min="11" max="11" width="3.28515625" customWidth="1"/>
  </cols>
  <sheetData>
    <row r="1" spans="2:11">
      <c r="B1" s="355" t="s">
        <v>46</v>
      </c>
      <c r="C1" s="356" t="s">
        <v>47</v>
      </c>
      <c r="D1" s="356" t="s">
        <v>48</v>
      </c>
      <c r="E1" s="356" t="s">
        <v>49</v>
      </c>
      <c r="F1" s="356" t="s">
        <v>50</v>
      </c>
      <c r="G1" s="356" t="s">
        <v>51</v>
      </c>
      <c r="H1" s="356" t="s">
        <v>52</v>
      </c>
      <c r="I1" s="356" t="s">
        <v>53</v>
      </c>
      <c r="J1" s="357" t="s">
        <v>54</v>
      </c>
      <c r="K1" s="384" t="s">
        <v>55</v>
      </c>
    </row>
    <row r="2" spans="2:11">
      <c r="B2" s="349"/>
      <c r="C2" s="281" t="s">
        <v>297</v>
      </c>
      <c r="D2" s="150"/>
      <c r="E2" s="150"/>
      <c r="F2" s="150"/>
      <c r="G2" s="150"/>
      <c r="H2" s="150"/>
      <c r="I2" s="150"/>
      <c r="J2" s="353"/>
      <c r="K2" s="381"/>
    </row>
    <row r="3" spans="2:11" ht="75">
      <c r="B3" s="224" t="s">
        <v>57</v>
      </c>
      <c r="C3" s="97" t="s">
        <v>58</v>
      </c>
      <c r="D3" s="14" t="s">
        <v>121</v>
      </c>
      <c r="E3" s="14" t="s">
        <v>60</v>
      </c>
      <c r="F3" s="14" t="s">
        <v>61</v>
      </c>
      <c r="G3" s="52" t="s">
        <v>62</v>
      </c>
      <c r="H3" s="15" t="s">
        <v>63</v>
      </c>
      <c r="I3" s="14" t="s">
        <v>64</v>
      </c>
      <c r="J3" s="177" t="s">
        <v>65</v>
      </c>
    </row>
    <row r="4" spans="2:11">
      <c r="B4" s="350"/>
      <c r="C4" s="315" t="s">
        <v>298</v>
      </c>
      <c r="D4" s="316"/>
      <c r="E4" s="317"/>
      <c r="F4" s="317"/>
      <c r="G4" s="317"/>
      <c r="H4" s="318"/>
      <c r="I4" s="319"/>
      <c r="J4" s="354"/>
      <c r="K4" s="19">
        <f t="shared" ref="K4:K9" si="0">COUNTA(E4:G4)</f>
        <v>0</v>
      </c>
    </row>
    <row r="5" spans="2:11" ht="150">
      <c r="B5" s="351" t="s">
        <v>299</v>
      </c>
      <c r="C5" s="45" t="s">
        <v>300</v>
      </c>
      <c r="D5" s="101" t="s">
        <v>88</v>
      </c>
      <c r="E5" s="19"/>
      <c r="F5" s="19"/>
      <c r="G5" s="19"/>
      <c r="H5" s="53">
        <v>10</v>
      </c>
      <c r="I5" s="23">
        <f>IF(Table2[[#This Row],[Kolom4]]="Ja",Table2[[#This Row],[Kolom7]],0)</f>
        <v>0</v>
      </c>
      <c r="J5" s="195">
        <f>IF(Table2[[#This Row],[Kolom5]]="Ja",Table2[[#This Row],[Kolom7]]/2,0)</f>
        <v>0</v>
      </c>
      <c r="K5" s="19">
        <f t="shared" si="0"/>
        <v>0</v>
      </c>
    </row>
    <row r="6" spans="2:11" ht="135">
      <c r="B6" s="352" t="s">
        <v>301</v>
      </c>
      <c r="C6" s="128" t="s">
        <v>302</v>
      </c>
      <c r="D6" s="270" t="s">
        <v>88</v>
      </c>
      <c r="E6" s="19"/>
      <c r="F6" s="19"/>
      <c r="G6" s="19"/>
      <c r="H6" s="154">
        <v>10</v>
      </c>
      <c r="I6" s="23">
        <f>IF(Table2[[#This Row],[Kolom4]]="Ja",Table2[[#This Row],[Kolom7]],0)</f>
        <v>0</v>
      </c>
      <c r="J6" s="195">
        <f>IF(Table2[[#This Row],[Kolom5]]="Ja",Table2[[#This Row],[Kolom7]]/2,0)</f>
        <v>0</v>
      </c>
      <c r="K6" s="19">
        <f t="shared" si="0"/>
        <v>0</v>
      </c>
    </row>
    <row r="7" spans="2:11" ht="135">
      <c r="B7" s="351" t="s">
        <v>303</v>
      </c>
      <c r="C7" s="45" t="s">
        <v>304</v>
      </c>
      <c r="D7" s="101" t="s">
        <v>88</v>
      </c>
      <c r="E7" s="19"/>
      <c r="F7" s="19"/>
      <c r="G7" s="19"/>
      <c r="H7" s="53">
        <v>10</v>
      </c>
      <c r="I7" s="23">
        <f>IF(Table2[[#This Row],[Kolom4]]="Ja",Table2[[#This Row],[Kolom7]],0)</f>
        <v>0</v>
      </c>
      <c r="J7" s="195">
        <f>IF(Table2[[#This Row],[Kolom5]]="Ja",Table2[[#This Row],[Kolom7]]/2,0)</f>
        <v>0</v>
      </c>
      <c r="K7" s="19">
        <f t="shared" si="0"/>
        <v>0</v>
      </c>
    </row>
    <row r="8" spans="2:11" ht="105">
      <c r="B8" s="352" t="s">
        <v>305</v>
      </c>
      <c r="C8" s="128" t="s">
        <v>306</v>
      </c>
      <c r="D8" s="271" t="s">
        <v>88</v>
      </c>
      <c r="E8" s="19"/>
      <c r="F8" s="19"/>
      <c r="G8" s="19"/>
      <c r="H8" s="154">
        <v>10</v>
      </c>
      <c r="I8" s="23">
        <f>IF(Table2[[#This Row],[Kolom4]]="Ja",Table2[[#This Row],[Kolom7]],0)</f>
        <v>0</v>
      </c>
      <c r="J8" s="195">
        <f>IF(Table2[[#This Row],[Kolom5]]="Ja",Table2[[#This Row],[Kolom7]]/2,0)</f>
        <v>0</v>
      </c>
      <c r="K8" s="19">
        <f t="shared" si="0"/>
        <v>0</v>
      </c>
    </row>
    <row r="9" spans="2:11" ht="75">
      <c r="B9" s="351" t="s">
        <v>307</v>
      </c>
      <c r="C9" s="45" t="s">
        <v>308</v>
      </c>
      <c r="D9" s="80" t="s">
        <v>88</v>
      </c>
      <c r="E9" s="19"/>
      <c r="F9" s="19"/>
      <c r="G9" s="19"/>
      <c r="H9" s="53">
        <v>10</v>
      </c>
      <c r="I9" s="23">
        <f>IF(Table2[[#This Row],[Kolom4]]="Ja",Table2[[#This Row],[Kolom7]],0)</f>
        <v>0</v>
      </c>
      <c r="J9" s="195">
        <f>IF(Table2[[#This Row],[Kolom5]]="Ja",Table2[[#This Row],[Kolom7]]/2,0)</f>
        <v>0</v>
      </c>
      <c r="K9" s="19">
        <f t="shared" si="0"/>
        <v>0</v>
      </c>
    </row>
    <row r="10" spans="2:11">
      <c r="B10" s="352"/>
      <c r="C10" s="129" t="s">
        <v>179</v>
      </c>
      <c r="D10" s="229">
        <f>COUNTIF(D4:D9,"wens")</f>
        <v>5</v>
      </c>
      <c r="E10" s="129"/>
      <c r="F10" s="129"/>
      <c r="G10" s="129"/>
      <c r="H10" s="154"/>
      <c r="I10" s="23"/>
      <c r="J10" s="195"/>
      <c r="K10" s="19"/>
    </row>
    <row r="11" spans="2:11">
      <c r="B11" s="358"/>
      <c r="C11" s="279" t="s">
        <v>180</v>
      </c>
      <c r="D11" s="359">
        <f>COUNTIF(D4:D9,"Eis")</f>
        <v>0</v>
      </c>
      <c r="E11" s="279"/>
      <c r="F11" s="279"/>
      <c r="G11" s="279" t="s">
        <v>309</v>
      </c>
      <c r="H11" s="199">
        <f>SUM(H5:H10)</f>
        <v>50</v>
      </c>
      <c r="I11" s="360">
        <f t="shared" ref="I11:J11" si="1">SUM(I5:I10)</f>
        <v>0</v>
      </c>
      <c r="J11" s="361">
        <f t="shared" si="1"/>
        <v>0</v>
      </c>
      <c r="K11" s="19"/>
    </row>
  </sheetData>
  <sheetProtection algorithmName="SHA-512" hashValue="XvqiYARYXPfSwQ57qSJ55tdFh81KG+oN8SxjdQtQvdcdQ8LqPJvqCZDWIOLGuHXyx87qayX5Hg/i1aTn0V/sYQ==" saltValue="a6VeHroGPINP1ImzfBRDWg==" spinCount="100000" sheet="1" objects="1" scenarios="1"/>
  <protectedRanges>
    <protectedRange sqref="E5:G9" name="Invoer Debiteuren 1"/>
  </protectedRanges>
  <phoneticPr fontId="20" type="noConversion"/>
  <conditionalFormatting sqref="K4:K11">
    <cfRule type="cellIs" dxfId="213" priority="1" operator="greaterThan">
      <formula>1</formula>
    </cfRule>
    <cfRule type="cellIs" dxfId="212" priority="2" operator="greaterThan">
      <formula>1</formula>
    </cfRule>
    <cfRule type="cellIs" dxfId="211" priority="3" operator="lessThanOrEqual">
      <formula>1</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35D2787-58BC-4DA0-9BC9-57373A4E4F5B}">
          <x14:formula1>
            <xm:f>Blad1!$B$2:$B$3</xm:f>
          </x14:formula1>
          <xm:sqref>E5:G9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94712-09EB-44A3-A834-B44866567482}">
  <sheetPr>
    <tabColor theme="9" tint="-0.249977111117893"/>
  </sheetPr>
  <dimension ref="A1:L19"/>
  <sheetViews>
    <sheetView workbookViewId="0">
      <selection activeCell="E9" sqref="E5:E9"/>
    </sheetView>
  </sheetViews>
  <sheetFormatPr defaultColWidth="9.140625" defaultRowHeight="15"/>
  <cols>
    <col min="1" max="1" width="9.7109375" customWidth="1"/>
    <col min="2" max="2" width="9.42578125" customWidth="1"/>
    <col min="3" max="3" width="67" customWidth="1"/>
    <col min="4" max="4" width="9.42578125" style="32" bestFit="1" customWidth="1"/>
    <col min="5" max="5" width="25.42578125" style="32" bestFit="1" customWidth="1"/>
    <col min="6" max="7" width="25.42578125" style="32" customWidth="1"/>
    <col min="8" max="8" width="10.7109375" style="32" customWidth="1"/>
    <col min="9" max="9" width="12" style="32" customWidth="1"/>
    <col min="10" max="10" width="17.42578125" style="32" bestFit="1" customWidth="1"/>
    <col min="11" max="11" width="3.28515625" customWidth="1"/>
    <col min="12" max="12" width="49.42578125" customWidth="1"/>
  </cols>
  <sheetData>
    <row r="1" spans="1:12" s="46" customFormat="1">
      <c r="B1" s="81" t="s">
        <v>46</v>
      </c>
      <c r="C1" s="81" t="s">
        <v>47</v>
      </c>
      <c r="D1" s="81" t="s">
        <v>48</v>
      </c>
      <c r="E1" s="81" t="s">
        <v>49</v>
      </c>
      <c r="F1" s="81" t="s">
        <v>50</v>
      </c>
      <c r="G1" s="81" t="s">
        <v>51</v>
      </c>
      <c r="H1" s="81" t="s">
        <v>52</v>
      </c>
      <c r="I1" s="81" t="s">
        <v>53</v>
      </c>
      <c r="J1" s="81" t="s">
        <v>54</v>
      </c>
      <c r="K1" s="383" t="s">
        <v>55</v>
      </c>
    </row>
    <row r="2" spans="1:12">
      <c r="C2" s="282" t="s">
        <v>310</v>
      </c>
      <c r="K2">
        <f t="shared" ref="K2:K18" si="0">COUNTA(E2:G2)</f>
        <v>0</v>
      </c>
    </row>
    <row r="3" spans="1:12" s="32" customFormat="1" ht="75">
      <c r="A3" s="98"/>
      <c r="B3" s="15" t="s">
        <v>57</v>
      </c>
      <c r="C3" s="14" t="s">
        <v>58</v>
      </c>
      <c r="D3" s="14" t="s">
        <v>121</v>
      </c>
      <c r="E3" s="14" t="s">
        <v>60</v>
      </c>
      <c r="F3" s="14" t="s">
        <v>61</v>
      </c>
      <c r="G3" s="51" t="s">
        <v>62</v>
      </c>
      <c r="H3" s="15" t="s">
        <v>63</v>
      </c>
      <c r="I3" s="14" t="s">
        <v>64</v>
      </c>
      <c r="J3" s="14" t="s">
        <v>65</v>
      </c>
    </row>
    <row r="4" spans="1:12" ht="45">
      <c r="A4" s="12"/>
      <c r="B4" s="307"/>
      <c r="C4" s="308" t="s">
        <v>311</v>
      </c>
      <c r="D4" s="310"/>
      <c r="E4" s="310"/>
      <c r="F4" s="310"/>
      <c r="G4" s="310"/>
      <c r="H4" s="310"/>
      <c r="I4" s="310"/>
      <c r="J4" s="314"/>
      <c r="K4" s="381"/>
    </row>
    <row r="5" spans="1:12">
      <c r="A5" s="12"/>
      <c r="B5" s="16" t="s">
        <v>312</v>
      </c>
      <c r="C5" s="17" t="s">
        <v>313</v>
      </c>
      <c r="D5" s="22" t="s">
        <v>68</v>
      </c>
      <c r="E5" s="19"/>
      <c r="F5" s="18"/>
      <c r="G5" s="18"/>
      <c r="H5" s="65"/>
      <c r="I5" s="65"/>
      <c r="J5" s="23"/>
      <c r="K5" s="19">
        <f t="shared" si="0"/>
        <v>0</v>
      </c>
      <c r="L5" s="75"/>
    </row>
    <row r="6" spans="1:12">
      <c r="A6" s="12"/>
      <c r="B6" s="16" t="s">
        <v>314</v>
      </c>
      <c r="C6" s="17" t="s">
        <v>315</v>
      </c>
      <c r="D6" s="18" t="s">
        <v>88</v>
      </c>
      <c r="E6" s="19"/>
      <c r="F6" s="19"/>
      <c r="G6" s="19"/>
      <c r="H6" s="65">
        <v>10</v>
      </c>
      <c r="I6" s="65">
        <f>IF(Tabel9[[#This Row],[Kolom4]]="Ja",Tabel9[[#This Row],[Kolom7]],0)</f>
        <v>0</v>
      </c>
      <c r="J6" s="23">
        <f>IF(Tabel9[[#This Row],[Kolom5]]="Ja",Tabel9[[#This Row],[Kolom7]]/2,0)</f>
        <v>0</v>
      </c>
      <c r="K6" s="19">
        <f t="shared" si="0"/>
        <v>0</v>
      </c>
    </row>
    <row r="7" spans="1:12">
      <c r="A7" s="12"/>
      <c r="B7" s="16" t="s">
        <v>316</v>
      </c>
      <c r="C7" s="17" t="s">
        <v>317</v>
      </c>
      <c r="D7" s="22" t="s">
        <v>68</v>
      </c>
      <c r="E7" s="19"/>
      <c r="F7" s="18"/>
      <c r="G7" s="18"/>
      <c r="H7" s="65"/>
      <c r="I7" s="65"/>
      <c r="J7" s="23"/>
      <c r="K7" s="19">
        <f t="shared" si="0"/>
        <v>0</v>
      </c>
    </row>
    <row r="8" spans="1:12">
      <c r="A8" s="12"/>
      <c r="B8" s="16" t="s">
        <v>318</v>
      </c>
      <c r="C8" s="17" t="s">
        <v>319</v>
      </c>
      <c r="D8" s="18" t="s">
        <v>88</v>
      </c>
      <c r="E8" s="19"/>
      <c r="F8" s="19"/>
      <c r="G8" s="19"/>
      <c r="H8" s="65">
        <v>10</v>
      </c>
      <c r="I8" s="65">
        <f>IF(Tabel9[[#This Row],[Kolom4]]="Ja",Tabel9[[#This Row],[Kolom7]],0)</f>
        <v>0</v>
      </c>
      <c r="J8" s="23">
        <f>IF(Tabel9[[#This Row],[Kolom5]]="Ja",Tabel9[[#This Row],[Kolom7]]/2,0)</f>
        <v>0</v>
      </c>
      <c r="K8" s="19">
        <f t="shared" si="0"/>
        <v>0</v>
      </c>
    </row>
    <row r="9" spans="1:12">
      <c r="A9" s="12"/>
      <c r="B9" s="16" t="s">
        <v>320</v>
      </c>
      <c r="C9" s="17" t="s">
        <v>321</v>
      </c>
      <c r="D9" s="18" t="s">
        <v>88</v>
      </c>
      <c r="E9" s="19"/>
      <c r="F9" s="19"/>
      <c r="G9" s="19"/>
      <c r="H9" s="65">
        <v>10</v>
      </c>
      <c r="I9" s="65">
        <f>IF(Tabel9[[#This Row],[Kolom4]]="Ja",Tabel9[[#This Row],[Kolom7]],0)</f>
        <v>0</v>
      </c>
      <c r="J9" s="23">
        <f>IF(Tabel9[[#This Row],[Kolom5]]="Ja",Tabel9[[#This Row],[Kolom7]]/2,0)</f>
        <v>0</v>
      </c>
      <c r="K9" s="19">
        <f t="shared" si="0"/>
        <v>0</v>
      </c>
    </row>
    <row r="10" spans="1:12" s="12" customFormat="1">
      <c r="B10" s="362"/>
      <c r="C10" s="308" t="s">
        <v>322</v>
      </c>
      <c r="D10" s="363"/>
      <c r="E10" s="364"/>
      <c r="F10" s="364"/>
      <c r="G10" s="364"/>
      <c r="H10" s="365"/>
      <c r="I10" s="365"/>
      <c r="J10" s="366"/>
      <c r="K10" s="19">
        <f t="shared" si="0"/>
        <v>0</v>
      </c>
    </row>
    <row r="11" spans="1:12" ht="30">
      <c r="A11" s="12"/>
      <c r="B11" s="16" t="s">
        <v>323</v>
      </c>
      <c r="C11" s="17" t="s">
        <v>324</v>
      </c>
      <c r="D11" s="18" t="s">
        <v>88</v>
      </c>
      <c r="E11" s="19"/>
      <c r="F11" s="19"/>
      <c r="G11" s="19"/>
      <c r="H11" s="65">
        <v>10</v>
      </c>
      <c r="I11" s="65">
        <f>IF(Tabel9[[#This Row],[Kolom4]]="Ja",Tabel9[[#This Row],[Kolom7]],0)</f>
        <v>0</v>
      </c>
      <c r="J11" s="23">
        <f>IF(Tabel9[[#This Row],[Kolom5]]="Ja",Tabel9[[#This Row],[Kolom7]]/2,0)</f>
        <v>0</v>
      </c>
      <c r="K11" s="19">
        <f t="shared" si="0"/>
        <v>0</v>
      </c>
    </row>
    <row r="12" spans="1:12" ht="30">
      <c r="A12" s="12"/>
      <c r="B12" s="16" t="s">
        <v>325</v>
      </c>
      <c r="C12" s="17" t="s">
        <v>326</v>
      </c>
      <c r="D12" s="18" t="s">
        <v>88</v>
      </c>
      <c r="E12" s="19"/>
      <c r="F12" s="19"/>
      <c r="G12" s="19"/>
      <c r="H12" s="65">
        <v>10</v>
      </c>
      <c r="I12" s="65">
        <f>IF(Tabel9[[#This Row],[Kolom4]]="Ja",Tabel9[[#This Row],[Kolom7]],0)</f>
        <v>0</v>
      </c>
      <c r="J12" s="23">
        <f>IF(Tabel9[[#This Row],[Kolom5]]="Ja",Tabel9[[#This Row],[Kolom7]]/2,0)</f>
        <v>0</v>
      </c>
      <c r="K12" s="19">
        <f t="shared" si="0"/>
        <v>0</v>
      </c>
    </row>
    <row r="13" spans="1:12">
      <c r="A13" s="12"/>
      <c r="B13" s="16" t="s">
        <v>327</v>
      </c>
      <c r="C13" s="17" t="s">
        <v>328</v>
      </c>
      <c r="D13" s="18" t="s">
        <v>88</v>
      </c>
      <c r="E13" s="19"/>
      <c r="F13" s="19"/>
      <c r="G13" s="19"/>
      <c r="H13" s="65">
        <v>10</v>
      </c>
      <c r="I13" s="65">
        <f>IF(Tabel9[[#This Row],[Kolom4]]="Ja",Tabel9[[#This Row],[Kolom7]],0)</f>
        <v>0</v>
      </c>
      <c r="J13" s="23">
        <f>IF(Tabel9[[#This Row],[Kolom5]]="Ja",Tabel9[[#This Row],[Kolom7]]/2,0)</f>
        <v>0</v>
      </c>
      <c r="K13" s="19">
        <f t="shared" si="0"/>
        <v>0</v>
      </c>
    </row>
    <row r="14" spans="1:12">
      <c r="A14" s="12"/>
      <c r="B14" s="16" t="s">
        <v>329</v>
      </c>
      <c r="C14" s="43" t="s">
        <v>330</v>
      </c>
      <c r="D14" s="18" t="s">
        <v>88</v>
      </c>
      <c r="E14" s="19"/>
      <c r="F14" s="19"/>
      <c r="G14" s="19"/>
      <c r="H14" s="65">
        <v>10</v>
      </c>
      <c r="I14" s="65">
        <f>IF(Tabel9[[#This Row],[Kolom4]]="Ja",Tabel9[[#This Row],[Kolom7]],0)</f>
        <v>0</v>
      </c>
      <c r="J14" s="23">
        <f>IF(Tabel9[[#This Row],[Kolom5]]="Ja",Tabel9[[#This Row],[Kolom7]]/2,0)</f>
        <v>0</v>
      </c>
      <c r="K14" s="19">
        <f t="shared" si="0"/>
        <v>0</v>
      </c>
    </row>
    <row r="15" spans="1:12">
      <c r="A15" s="12"/>
      <c r="B15" s="16" t="s">
        <v>331</v>
      </c>
      <c r="C15" s="17" t="s">
        <v>332</v>
      </c>
      <c r="D15" s="18" t="s">
        <v>88</v>
      </c>
      <c r="E15" s="19"/>
      <c r="F15" s="19"/>
      <c r="G15" s="19"/>
      <c r="H15" s="65">
        <v>10</v>
      </c>
      <c r="I15" s="65">
        <f>IF(Tabel9[[#This Row],[Kolom4]]="Ja",Tabel9[[#This Row],[Kolom7]],0)</f>
        <v>0</v>
      </c>
      <c r="J15" s="23">
        <f>IF(Tabel9[[#This Row],[Kolom5]]="Ja",Tabel9[[#This Row],[Kolom7]]/2,0)</f>
        <v>0</v>
      </c>
      <c r="K15" s="19">
        <f t="shared" si="0"/>
        <v>0</v>
      </c>
    </row>
    <row r="16" spans="1:12">
      <c r="A16" s="12"/>
      <c r="B16" s="16" t="s">
        <v>333</v>
      </c>
      <c r="C16" s="38" t="s">
        <v>334</v>
      </c>
      <c r="D16" s="18" t="s">
        <v>88</v>
      </c>
      <c r="E16" s="19"/>
      <c r="F16" s="19"/>
      <c r="G16" s="19"/>
      <c r="H16" s="65">
        <v>10</v>
      </c>
      <c r="I16" s="65">
        <f>IF(Tabel9[[#This Row],[Kolom4]]="Ja",Tabel9[[#This Row],[Kolom7]],0)</f>
        <v>0</v>
      </c>
      <c r="J16" s="23">
        <f>IF(Tabel9[[#This Row],[Kolom5]]="Ja",Tabel9[[#This Row],[Kolom7]]/2,0)</f>
        <v>0</v>
      </c>
      <c r="K16" s="19">
        <f t="shared" si="0"/>
        <v>0</v>
      </c>
    </row>
    <row r="17" spans="1:11">
      <c r="A17" s="12"/>
      <c r="B17" s="16" t="s">
        <v>335</v>
      </c>
      <c r="C17" s="43" t="s">
        <v>336</v>
      </c>
      <c r="D17" s="18" t="s">
        <v>88</v>
      </c>
      <c r="E17" s="19"/>
      <c r="F17" s="19"/>
      <c r="G17" s="19"/>
      <c r="H17" s="65">
        <v>10</v>
      </c>
      <c r="I17" s="65">
        <f>IF(Tabel9[[#This Row],[Kolom4]]="Ja",Tabel9[[#This Row],[Kolom7]],0)</f>
        <v>0</v>
      </c>
      <c r="J17" s="23">
        <f>IF(Tabel9[[#This Row],[Kolom5]]="Ja",Tabel9[[#This Row],[Kolom7]]/2,0)</f>
        <v>0</v>
      </c>
      <c r="K17" s="19">
        <f t="shared" si="0"/>
        <v>0</v>
      </c>
    </row>
    <row r="18" spans="1:11">
      <c r="B18" s="104"/>
      <c r="C18" s="64" t="s">
        <v>179</v>
      </c>
      <c r="D18" s="22">
        <f>COUNTIF(D5:D17,"Wens")</f>
        <v>10</v>
      </c>
      <c r="E18" s="18"/>
      <c r="F18" s="18"/>
      <c r="G18" s="18"/>
      <c r="H18" s="18"/>
      <c r="I18" s="18"/>
      <c r="J18" s="19"/>
      <c r="K18" s="19">
        <f t="shared" si="0"/>
        <v>0</v>
      </c>
    </row>
    <row r="19" spans="1:11">
      <c r="B19" s="104"/>
      <c r="C19" s="230" t="s">
        <v>180</v>
      </c>
      <c r="D19" s="22">
        <f>COUNTIF(D5:D17,"Eis")</f>
        <v>2</v>
      </c>
      <c r="E19" s="18"/>
      <c r="F19" s="22"/>
      <c r="G19" s="22" t="s">
        <v>119</v>
      </c>
      <c r="H19" s="66">
        <f>SUM(H4:H17)</f>
        <v>100</v>
      </c>
      <c r="I19" s="66">
        <f t="shared" ref="I19:J19" si="1">SUM(I4:I17)</f>
        <v>0</v>
      </c>
      <c r="J19" s="66">
        <f t="shared" si="1"/>
        <v>0</v>
      </c>
      <c r="K19" s="19">
        <f>COUNTA(F19:G19)</f>
        <v>1</v>
      </c>
    </row>
  </sheetData>
  <sheetProtection algorithmName="SHA-512" hashValue="j0gP57rMj7q9ifL9lbDZP23nMRq6BrITz5tP9xkuKJSswUq3Sk3BO46MH93qkBCJlxkDtg6cEw+cUWBfzFZTnA==" saltValue="BQVUuF9Qll0Os/OkoCOULQ==" spinCount="100000" sheet="1" objects="1" scenarios="1"/>
  <protectedRanges>
    <protectedRange sqref="E5 E6 F6 G6 E7 E8:G9 E11:G17" name="Invoer Fin Beheer"/>
  </protectedRanges>
  <phoneticPr fontId="20" type="noConversion"/>
  <conditionalFormatting sqref="K5:K19">
    <cfRule type="cellIs" dxfId="198" priority="1" operator="greaterThan">
      <formula>1</formula>
    </cfRule>
    <cfRule type="cellIs" dxfId="197" priority="2" operator="greaterThan">
      <formula>1</formula>
    </cfRule>
    <cfRule type="cellIs" dxfId="196" priority="3" operator="lessThanOrEqual">
      <formula>1</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DE0BFEAA-5EBB-4569-BEB4-E74754651301}">
          <x14:formula1>
            <xm:f>Blad1!$B$2:$B$3</xm:f>
          </x14:formula1>
          <xm:sqref>E6:G6 E8:G9 E11:G17 E7 E5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A731B-7E61-40E7-8EE5-70D4863387FB}">
  <sheetPr>
    <tabColor theme="9" tint="-0.249977111117893"/>
  </sheetPr>
  <dimension ref="A1:K15"/>
  <sheetViews>
    <sheetView workbookViewId="0">
      <selection activeCell="E8" sqref="E5:E8"/>
    </sheetView>
  </sheetViews>
  <sheetFormatPr defaultColWidth="9.140625" defaultRowHeight="15"/>
  <cols>
    <col min="1" max="1" width="9.7109375" style="30" customWidth="1"/>
    <col min="2" max="2" width="9.42578125" style="30" customWidth="1"/>
    <col min="3" max="3" width="74.140625" style="41" customWidth="1"/>
    <col min="4" max="4" width="9.42578125" style="49" bestFit="1" customWidth="1"/>
    <col min="5" max="7" width="23.42578125" style="49" customWidth="1"/>
    <col min="8" max="8" width="12" style="49" customWidth="1"/>
    <col min="9" max="9" width="13.85546875" style="49" customWidth="1"/>
    <col min="10" max="10" width="17.42578125" style="49" bestFit="1" customWidth="1"/>
    <col min="11" max="11" width="3" style="30" customWidth="1"/>
    <col min="12" max="12" width="9.140625" style="30"/>
    <col min="13" max="13" width="10.7109375" style="30" customWidth="1"/>
    <col min="14" max="16384" width="9.140625" style="30"/>
  </cols>
  <sheetData>
    <row r="1" spans="1:11" s="46" customFormat="1">
      <c r="B1" s="81" t="s">
        <v>46</v>
      </c>
      <c r="C1" s="81" t="s">
        <v>47</v>
      </c>
      <c r="D1" s="81" t="s">
        <v>48</v>
      </c>
      <c r="E1" s="81" t="s">
        <v>49</v>
      </c>
      <c r="F1" s="81" t="s">
        <v>50</v>
      </c>
      <c r="G1" s="81" t="s">
        <v>51</v>
      </c>
      <c r="H1" s="81" t="s">
        <v>52</v>
      </c>
      <c r="I1" s="81" t="s">
        <v>53</v>
      </c>
      <c r="J1" s="81" t="s">
        <v>54</v>
      </c>
      <c r="K1" s="383" t="s">
        <v>55</v>
      </c>
    </row>
    <row r="2" spans="1:11">
      <c r="B2" s="112"/>
      <c r="C2" s="283" t="s">
        <v>337</v>
      </c>
      <c r="D2" s="29"/>
      <c r="E2" s="29"/>
      <c r="F2" s="29"/>
      <c r="G2" s="29"/>
      <c r="H2" s="29"/>
      <c r="I2" s="29"/>
      <c r="J2" s="29"/>
      <c r="K2" s="19">
        <f t="shared" ref="K2:K15" si="0">COUNTA(E2:G2)</f>
        <v>0</v>
      </c>
    </row>
    <row r="3" spans="1:11" s="49" customFormat="1" ht="60">
      <c r="A3" s="76"/>
      <c r="B3" s="52" t="s">
        <v>57</v>
      </c>
      <c r="C3" s="97" t="s">
        <v>58</v>
      </c>
      <c r="D3" s="14" t="s">
        <v>121</v>
      </c>
      <c r="E3" s="14" t="s">
        <v>60</v>
      </c>
      <c r="F3" s="14" t="s">
        <v>61</v>
      </c>
      <c r="G3" s="52" t="s">
        <v>62</v>
      </c>
      <c r="H3" s="15" t="s">
        <v>63</v>
      </c>
      <c r="I3" s="14" t="s">
        <v>64</v>
      </c>
      <c r="J3" s="14" t="s">
        <v>65</v>
      </c>
    </row>
    <row r="4" spans="1:11" ht="30">
      <c r="A4" s="50"/>
      <c r="B4" s="307"/>
      <c r="C4" s="308" t="s">
        <v>338</v>
      </c>
      <c r="D4" s="309"/>
      <c r="E4" s="310"/>
      <c r="F4" s="310"/>
      <c r="G4" s="310"/>
      <c r="H4" s="310"/>
      <c r="I4" s="310"/>
      <c r="J4" s="311"/>
      <c r="K4" s="19">
        <f t="shared" si="0"/>
        <v>0</v>
      </c>
    </row>
    <row r="5" spans="1:11" ht="30">
      <c r="A5" s="50"/>
      <c r="B5" s="54" t="s">
        <v>339</v>
      </c>
      <c r="C5" s="56" t="s">
        <v>340</v>
      </c>
      <c r="D5" s="53" t="s">
        <v>68</v>
      </c>
      <c r="E5" s="19"/>
      <c r="F5" s="53"/>
      <c r="G5" s="53"/>
      <c r="H5" s="53"/>
      <c r="I5" s="53"/>
      <c r="J5" s="23"/>
      <c r="K5" s="19">
        <f t="shared" si="0"/>
        <v>0</v>
      </c>
    </row>
    <row r="6" spans="1:11" ht="45">
      <c r="A6" s="50"/>
      <c r="B6" s="54" t="s">
        <v>341</v>
      </c>
      <c r="C6" s="56" t="s">
        <v>342</v>
      </c>
      <c r="D6" s="53" t="s">
        <v>68</v>
      </c>
      <c r="E6" s="19"/>
      <c r="F6" s="53"/>
      <c r="G6" s="53"/>
      <c r="H6" s="53"/>
      <c r="I6" s="53"/>
      <c r="J6" s="23"/>
      <c r="K6" s="19">
        <f t="shared" si="0"/>
        <v>0</v>
      </c>
    </row>
    <row r="7" spans="1:11" ht="45">
      <c r="A7" s="50"/>
      <c r="B7" s="54" t="s">
        <v>343</v>
      </c>
      <c r="C7" s="56" t="s">
        <v>344</v>
      </c>
      <c r="D7" s="29" t="s">
        <v>88</v>
      </c>
      <c r="E7" s="19"/>
      <c r="F7" s="19"/>
      <c r="G7" s="19"/>
      <c r="H7" s="53">
        <v>10</v>
      </c>
      <c r="I7" s="53">
        <f>IF(Tabel10[[#This Row],[Kolom4]]="Ja",Tabel10[[#This Row],[Kolom7]],0)</f>
        <v>0</v>
      </c>
      <c r="J7" s="23">
        <f>IF(F7="Ja",H7/2,0)</f>
        <v>0</v>
      </c>
      <c r="K7" s="19">
        <f t="shared" si="0"/>
        <v>0</v>
      </c>
    </row>
    <row r="8" spans="1:11">
      <c r="A8" s="50"/>
      <c r="B8" s="54" t="s">
        <v>345</v>
      </c>
      <c r="C8" s="56" t="s">
        <v>346</v>
      </c>
      <c r="D8" s="29" t="s">
        <v>88</v>
      </c>
      <c r="E8" s="19"/>
      <c r="F8" s="19"/>
      <c r="G8" s="19"/>
      <c r="H8" s="53">
        <v>10</v>
      </c>
      <c r="I8" s="53">
        <f>IF(Tabel10[[#This Row],[Kolom4]]="Ja",Tabel10[[#This Row],[Kolom7]],0)</f>
        <v>0</v>
      </c>
      <c r="J8" s="23">
        <f>IF(F8="Ja",H8/2,0)</f>
        <v>0</v>
      </c>
      <c r="K8" s="19">
        <f t="shared" si="0"/>
        <v>0</v>
      </c>
    </row>
    <row r="9" spans="1:11" ht="30">
      <c r="A9" s="50"/>
      <c r="B9" s="312"/>
      <c r="C9" s="313" t="s">
        <v>347</v>
      </c>
      <c r="D9" s="309"/>
      <c r="E9" s="310"/>
      <c r="F9" s="310"/>
      <c r="G9" s="310"/>
      <c r="H9" s="310"/>
      <c r="I9" s="310"/>
      <c r="J9" s="314"/>
      <c r="K9" s="19">
        <f t="shared" si="0"/>
        <v>0</v>
      </c>
    </row>
    <row r="10" spans="1:11">
      <c r="A10" s="50"/>
      <c r="B10" s="54" t="s">
        <v>348</v>
      </c>
      <c r="C10" s="45" t="s">
        <v>349</v>
      </c>
      <c r="D10" s="29" t="s">
        <v>88</v>
      </c>
      <c r="E10" s="19"/>
      <c r="F10" s="19"/>
      <c r="G10" s="19"/>
      <c r="H10" s="53">
        <v>10</v>
      </c>
      <c r="I10" s="53">
        <f>IF(Tabel10[[#This Row],[Kolom4]]="Ja",Tabel10[[#This Row],[Kolom7]],0)</f>
        <v>0</v>
      </c>
      <c r="J10" s="23">
        <f t="shared" ref="J10:J12" si="1">IF(F10="Ja",H10/2,0)</f>
        <v>0</v>
      </c>
      <c r="K10" s="19">
        <f t="shared" si="0"/>
        <v>0</v>
      </c>
    </row>
    <row r="11" spans="1:11">
      <c r="A11" s="50"/>
      <c r="B11" s="54" t="s">
        <v>350</v>
      </c>
      <c r="C11" s="45" t="s">
        <v>351</v>
      </c>
      <c r="D11" s="29" t="s">
        <v>88</v>
      </c>
      <c r="E11" s="19"/>
      <c r="F11" s="19"/>
      <c r="G11" s="19"/>
      <c r="H11" s="53">
        <v>10</v>
      </c>
      <c r="I11" s="53">
        <f>IF(Tabel10[[#This Row],[Kolom4]]="Ja",Tabel10[[#This Row],[Kolom7]],0)</f>
        <v>0</v>
      </c>
      <c r="J11" s="23">
        <f t="shared" si="1"/>
        <v>0</v>
      </c>
      <c r="K11" s="19">
        <f t="shared" si="0"/>
        <v>0</v>
      </c>
    </row>
    <row r="12" spans="1:11">
      <c r="A12" s="50"/>
      <c r="B12" s="54" t="s">
        <v>352</v>
      </c>
      <c r="C12" s="39" t="s">
        <v>353</v>
      </c>
      <c r="D12" s="29" t="s">
        <v>88</v>
      </c>
      <c r="E12" s="19"/>
      <c r="F12" s="19"/>
      <c r="G12" s="19"/>
      <c r="H12" s="53">
        <v>10</v>
      </c>
      <c r="I12" s="53">
        <f>IF(Tabel10[[#This Row],[Kolom4]]="Ja",Tabel10[[#This Row],[Kolom7]],0)</f>
        <v>0</v>
      </c>
      <c r="J12" s="23">
        <f t="shared" si="1"/>
        <v>0</v>
      </c>
      <c r="K12" s="19">
        <f t="shared" si="0"/>
        <v>0</v>
      </c>
    </row>
    <row r="13" spans="1:11">
      <c r="B13" s="112"/>
      <c r="C13" s="56"/>
      <c r="D13" s="29"/>
      <c r="E13" s="29"/>
      <c r="F13" s="29"/>
      <c r="G13" s="29"/>
      <c r="H13" s="29"/>
      <c r="I13" s="29"/>
      <c r="J13" s="29"/>
      <c r="K13" s="19">
        <f t="shared" si="0"/>
        <v>0</v>
      </c>
    </row>
    <row r="14" spans="1:11">
      <c r="B14" s="112"/>
      <c r="C14" s="64" t="s">
        <v>179</v>
      </c>
      <c r="D14" s="55">
        <f>COUNTIF(D4:D13,"Wens")</f>
        <v>5</v>
      </c>
      <c r="E14" s="23"/>
      <c r="F14" s="55"/>
      <c r="G14" s="55"/>
      <c r="H14" s="55"/>
      <c r="I14" s="55"/>
      <c r="J14" s="55"/>
      <c r="K14" s="19">
        <f t="shared" si="0"/>
        <v>0</v>
      </c>
    </row>
    <row r="15" spans="1:11">
      <c r="B15" s="54"/>
      <c r="C15" s="230" t="s">
        <v>180</v>
      </c>
      <c r="D15" s="55">
        <f>COUNTIF(D5:D14,"Eis")</f>
        <v>2</v>
      </c>
      <c r="E15" s="53"/>
      <c r="F15" s="53"/>
      <c r="G15" s="55" t="s">
        <v>119</v>
      </c>
      <c r="H15" s="55">
        <f>SUM(H5:H13)</f>
        <v>50</v>
      </c>
      <c r="I15" s="55">
        <f t="shared" ref="I15:J15" si="2">SUM(I5:I13)</f>
        <v>0</v>
      </c>
      <c r="J15" s="55">
        <f t="shared" si="2"/>
        <v>0</v>
      </c>
      <c r="K15" s="19">
        <f t="shared" si="0"/>
        <v>1</v>
      </c>
    </row>
  </sheetData>
  <protectedRanges>
    <protectedRange sqref="E5:E6 E7:G8 E10:G12" name="Invoer Control"/>
  </protectedRanges>
  <phoneticPr fontId="20" type="noConversion"/>
  <conditionalFormatting sqref="K2 K4:K15">
    <cfRule type="cellIs" dxfId="184" priority="1" operator="greaterThan">
      <formula>1</formula>
    </cfRule>
    <cfRule type="cellIs" dxfId="183" priority="2" operator="greaterThan">
      <formula>1</formula>
    </cfRule>
    <cfRule type="cellIs" dxfId="182" priority="3" operator="lessThanOrEqual">
      <formula>1</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AE95A495-32C2-4801-877F-087000513C05}">
          <x14:formula1>
            <xm:f>Blad1!$B$2:$B$3</xm:f>
          </x14:formula1>
          <xm:sqref>E7:G8 E10:G12 E5:E6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H a E v V U d J k 8 W k A A A A 9 g A A A B I A H A B D b 2 5 m a W c v U G F j a 2 F n Z S 5 4 b W w g o h g A K K A U A A A A A A A A A A A A A A A A A A A A A A A A A A A A h Y 9 B D o I w F E S v Q r q n L Z g Y J J + y c A v G x M S 4 J a V C I 3 w M L Z a 7 u f B I X k G M o u 5 c z p u 3 m L l f b 5 C O b e N d V G 9 0 h w k J K C e e Q t m V G q u E D P b o R y Q V s C 3 k q a i U N 8 l o 4 t G U C a m t P c e M O e e o W 9 C u r 1 j I e c A O e b a T t W o L 8 p H 1 f 9 n X a G y B U h E B + 9 c Y E d K A R 3 Q V L S k H N k P I N X 6 F c N r 7 b H 8 g r I f G D r 0 S 2 P i b D N g c g b 0 / i A d Q S w M E F A A C A A g A H a E v 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2 h L 1 U o i k e 4 D g A A A B E A A A A T A B w A R m 9 y b X V s Y X M v U 2 V j d G l v b j E u b S C i G A A o o B Q A A A A A A A A A A A A A A A A A A A A A A A A A A A A r T k 0 u y c z P U w i G 0 I b W A F B L A Q I t A B Q A A g A I A B 2 h L 1 V H S Z P F p A A A A P Y A A A A S A A A A A A A A A A A A A A A A A A A A A A B D b 2 5 m a W c v U G F j a 2 F n Z S 5 4 b W x Q S w E C L Q A U A A I A C A A d o S 9 V D 8 r p q 6 Q A A A D p A A A A E w A A A A A A A A A A A A A A A A D w A A A A W 0 N v b n R l b n R f V H l w Z X N d L n h t b F B L A Q I t A B Q A A g A I A B 2 h L 1 U 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u p j + 0 w H N / T p t J s s q G C t t V A A A A A A I A A A A A A B B m A A A A A Q A A I A A A A N E C S D + 3 3 w c 4 X c M S r 5 r b m I E 8 s X z x N + t n 1 e p w c L H w D B 2 r A A A A A A 6 A A A A A A g A A I A A A A I F o 9 P m K f G O S R c 6 M / o W s G f y / 1 3 Q + F M E 2 a 7 H c J 2 O R A o P L U A A A A M Y L h c h R W b 6 + h c S 3 G G w j q T F 8 7 7 H E K 1 q 7 r + W U v Y b 8 n w b S r l Y G Y I m S B v K Q E f B 6 / i u V v W y J h 7 H W k I v y P p N k i u p f K j C O f v / B l O r G L 4 / i 7 K C 3 0 L E f Q A A A A K o m U P U 2 n J g p Q z e t m H x f v S 0 b F O 6 0 t r / 6 b 3 + I V g G s Q N A 5 k p a L f / w D U X I R 4 Q j h 7 1 6 h g v K b m V B l C n v W U S W q L e p R 9 + M = < / 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b69cb0aa-e10e-41d0-99b7-5cfd8ddc09b6">
      <UserInfo>
        <DisplayName>Erwin Blom</DisplayName>
        <AccountId>30</AccountId>
        <AccountType/>
      </UserInfo>
      <UserInfo>
        <DisplayName>Heleen van Mullem</DisplayName>
        <AccountId>34</AccountId>
        <AccountType/>
      </UserInfo>
      <UserInfo>
        <DisplayName>Dianne Kuurman</DisplayName>
        <AccountId>35</AccountId>
        <AccountType/>
      </UserInfo>
      <UserInfo>
        <DisplayName>Harry Krüger</DisplayName>
        <AccountId>23</AccountId>
        <AccountType/>
      </UserInfo>
      <UserInfo>
        <DisplayName>Nathalie Pol</DisplayName>
        <AccountId>17</AccountId>
        <AccountType/>
      </UserInfo>
      <UserInfo>
        <DisplayName>Inge van der Kolk</DisplayName>
        <AccountId>22</AccountId>
        <AccountType/>
      </UserInfo>
      <UserInfo>
        <DisplayName>Kevin Schouten</DisplayName>
        <AccountId>37</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6FD792DAFA0794686841B9F7DF20FD9" ma:contentTypeVersion="7" ma:contentTypeDescription="Een nieuw document maken." ma:contentTypeScope="" ma:versionID="ff5dcd6e5a2244293409890408adeae6">
  <xsd:schema xmlns:xsd="http://www.w3.org/2001/XMLSchema" xmlns:xs="http://www.w3.org/2001/XMLSchema" xmlns:p="http://schemas.microsoft.com/office/2006/metadata/properties" xmlns:ns2="29d6885b-004b-4926-b4bb-66bc647e70bd" xmlns:ns3="b69cb0aa-e10e-41d0-99b7-5cfd8ddc09b6" targetNamespace="http://schemas.microsoft.com/office/2006/metadata/properties" ma:root="true" ma:fieldsID="ac2b51e330de16986bd0745bba135f62" ns2:_="" ns3:_="">
    <xsd:import namespace="29d6885b-004b-4926-b4bb-66bc647e70bd"/>
    <xsd:import namespace="b69cb0aa-e10e-41d0-99b7-5cfd8ddc09b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d6885b-004b-4926-b4bb-66bc647e70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cb0aa-e10e-41d0-99b7-5cfd8ddc09b6"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ED0075-24C8-42B8-88BE-A11B505FC830}">
  <ds:schemaRefs>
    <ds:schemaRef ds:uri="http://schemas.microsoft.com/sharepoint/v3/contenttype/forms"/>
  </ds:schemaRefs>
</ds:datastoreItem>
</file>

<file path=customXml/itemProps2.xml><?xml version="1.0" encoding="utf-8"?>
<ds:datastoreItem xmlns:ds="http://schemas.openxmlformats.org/officeDocument/2006/customXml" ds:itemID="{9C38494A-7418-4673-8D79-8810F820F871}">
  <ds:schemaRefs>
    <ds:schemaRef ds:uri="http://schemas.microsoft.com/DataMashup"/>
  </ds:schemaRefs>
</ds:datastoreItem>
</file>

<file path=customXml/itemProps3.xml><?xml version="1.0" encoding="utf-8"?>
<ds:datastoreItem xmlns:ds="http://schemas.openxmlformats.org/officeDocument/2006/customXml" ds:itemID="{D49AB50D-3083-4A9D-A2CA-F2D096DDEE07}">
  <ds:schemaRefs>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dcmitype/"/>
    <ds:schemaRef ds:uri="http://schemas.microsoft.com/office/infopath/2007/PartnerControls"/>
    <ds:schemaRef ds:uri="http://purl.org/dc/elements/1.1/"/>
    <ds:schemaRef ds:uri="b69cb0aa-e10e-41d0-99b7-5cfd8ddc09b6"/>
    <ds:schemaRef ds:uri="29d6885b-004b-4926-b4bb-66bc647e70bd"/>
    <ds:schemaRef ds:uri="http://purl.org/dc/terms/"/>
  </ds:schemaRefs>
</ds:datastoreItem>
</file>

<file path=customXml/itemProps4.xml><?xml version="1.0" encoding="utf-8"?>
<ds:datastoreItem xmlns:ds="http://schemas.openxmlformats.org/officeDocument/2006/customXml" ds:itemID="{25828034-67E0-42F5-AF6A-222AE1121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d6885b-004b-4926-b4bb-66bc647e70bd"/>
    <ds:schemaRef ds:uri="b69cb0aa-e10e-41d0-99b7-5cfd8ddc0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19</vt:i4>
      </vt:variant>
    </vt:vector>
  </HeadingPairs>
  <TitlesOfParts>
    <vt:vector size="19" baseType="lpstr">
      <vt:lpstr>Voorblad</vt:lpstr>
      <vt:lpstr>1 Algemeen</vt:lpstr>
      <vt:lpstr>2 ICT</vt:lpstr>
      <vt:lpstr>3 Inkoop&amp;Contracten</vt:lpstr>
      <vt:lpstr>4 Crediteuren</vt:lpstr>
      <vt:lpstr>5 Debiteuren</vt:lpstr>
      <vt:lpstr>5 Debiteuren 1 </vt:lpstr>
      <vt:lpstr>6 Financieel Beheer</vt:lpstr>
      <vt:lpstr>7 Control</vt:lpstr>
      <vt:lpstr>8 HR</vt:lpstr>
      <vt:lpstr>8 HR 1</vt:lpstr>
      <vt:lpstr>8 HR 2</vt:lpstr>
      <vt:lpstr>8 HR 3</vt:lpstr>
      <vt:lpstr>8 HR 4</vt:lpstr>
      <vt:lpstr>9 Tijdschrijven</vt:lpstr>
      <vt:lpstr>10 Beheer</vt:lpstr>
      <vt:lpstr>11  IB en Privacy</vt:lpstr>
      <vt:lpstr>Gebruiksviendelijkheid</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Tolhuisen</dc:creator>
  <cp:keywords/>
  <dc:description/>
  <cp:lastModifiedBy>Harry Krüger</cp:lastModifiedBy>
  <cp:revision/>
  <dcterms:created xsi:type="dcterms:W3CDTF">2022-07-13T17:39:59Z</dcterms:created>
  <dcterms:modified xsi:type="dcterms:W3CDTF">2022-09-26T07:36:43Z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0x010100E6FD792DAFA0794686841B9F7DF20FD9</vt:lpwstr>
  </property>
</Properties>
</file>