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Q:\Europese Aanbesteding\Aanbestedingen 2022\Gemeente Geertruidenberg\Brand\concept stukken\"/>
    </mc:Choice>
  </mc:AlternateContent>
  <bookViews>
    <workbookView xWindow="-120" yWindow="-120" windowWidth="29040" windowHeight="15840" activeTab="1"/>
  </bookViews>
  <sheets>
    <sheet name="premieberekening" sheetId="2" r:id="rId1"/>
    <sheet name="specificatie" sheetId="1" r:id="rId2"/>
  </sheets>
  <definedNames>
    <definedName name="_xlnm._FilterDatabase" localSheetId="1" hidden="1">specificatie!$A$1:$S$45</definedName>
    <definedName name="_xlnm.Print_Area" localSheetId="0">premieberekening!$A$1:$H$30</definedName>
    <definedName name="_xlnm.Print_Area" localSheetId="1">specificatie!$A$1:$S$69</definedName>
    <definedName name="_xlnm.Print_Titles" localSheetId="1">specificatie!$1:$3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3" i="2" l="1"/>
  <c r="E19" i="2"/>
  <c r="E20" i="2"/>
  <c r="E21" i="2" s="1"/>
  <c r="E22" i="2" s="1"/>
  <c r="E23" i="2" s="1"/>
  <c r="E24" i="2" s="1"/>
  <c r="M73" i="1"/>
  <c r="N73" i="1" s="1"/>
  <c r="O73" i="1" s="1"/>
  <c r="P73" i="1" s="1"/>
  <c r="R73" i="1" s="1"/>
  <c r="K72" i="1"/>
  <c r="L72" i="1" s="1"/>
  <c r="M72" i="1" s="1"/>
  <c r="N72" i="1" s="1"/>
  <c r="O72" i="1" s="1"/>
  <c r="P72" i="1" s="1"/>
  <c r="R72" i="1" s="1"/>
  <c r="F72" i="1"/>
  <c r="E5" i="2" l="1"/>
  <c r="E6" i="2" s="1"/>
  <c r="E7" i="2" s="1"/>
  <c r="E8" i="2" s="1"/>
  <c r="E9" i="2" s="1"/>
  <c r="P61" i="1"/>
  <c r="R61" i="1" s="1"/>
  <c r="P60" i="1"/>
  <c r="R60" i="1" s="1"/>
  <c r="P59" i="1"/>
  <c r="R59" i="1" s="1"/>
  <c r="P37" i="1"/>
  <c r="R37" i="1" s="1"/>
  <c r="P38" i="1"/>
  <c r="R38" i="1" s="1"/>
  <c r="K56" i="1" l="1"/>
  <c r="L56" i="1" s="1"/>
  <c r="M56" i="1" s="1"/>
  <c r="N56" i="1" s="1"/>
  <c r="O56" i="1" s="1"/>
  <c r="F56" i="1"/>
  <c r="G56" i="1" s="1"/>
  <c r="H56" i="1" s="1"/>
  <c r="P56" i="1" l="1"/>
  <c r="R56" i="1" s="1"/>
  <c r="Q58" i="1"/>
  <c r="N22" i="1" l="1"/>
  <c r="O22" i="1" s="1"/>
  <c r="P22" i="1" l="1"/>
  <c r="R22" i="1" s="1"/>
  <c r="M39" i="1"/>
  <c r="N39" i="1" s="1"/>
  <c r="O39" i="1" s="1"/>
  <c r="P39" i="1" l="1"/>
  <c r="R39" i="1" s="1"/>
  <c r="L6" i="1"/>
  <c r="M6" i="1" s="1"/>
  <c r="N6" i="1" s="1"/>
  <c r="O6" i="1" s="1"/>
  <c r="L18" i="1"/>
  <c r="M18" i="1" s="1"/>
  <c r="N18" i="1" s="1"/>
  <c r="O18" i="1" s="1"/>
  <c r="L19" i="1"/>
  <c r="M19" i="1" s="1"/>
  <c r="N19" i="1" s="1"/>
  <c r="O19" i="1" s="1"/>
  <c r="L20" i="1"/>
  <c r="M20" i="1" s="1"/>
  <c r="N20" i="1" s="1"/>
  <c r="O20" i="1" s="1"/>
  <c r="L21" i="1"/>
  <c r="M21" i="1" s="1"/>
  <c r="N21" i="1" s="1"/>
  <c r="O21" i="1" s="1"/>
  <c r="L25" i="1"/>
  <c r="M25" i="1" s="1"/>
  <c r="N25" i="1" s="1"/>
  <c r="O25" i="1" s="1"/>
  <c r="F25" i="1"/>
  <c r="G25" i="1" s="1"/>
  <c r="H25" i="1" s="1"/>
  <c r="Q45" i="1"/>
  <c r="K49" i="1"/>
  <c r="L49" i="1" s="1"/>
  <c r="M49" i="1" s="1"/>
  <c r="N49" i="1" s="1"/>
  <c r="O49" i="1" s="1"/>
  <c r="K50" i="1"/>
  <c r="L50" i="1" s="1"/>
  <c r="M50" i="1" s="1"/>
  <c r="N50" i="1" s="1"/>
  <c r="O50" i="1" s="1"/>
  <c r="K51" i="1"/>
  <c r="L51" i="1" s="1"/>
  <c r="M51" i="1" s="1"/>
  <c r="N51" i="1" s="1"/>
  <c r="O51" i="1" s="1"/>
  <c r="K52" i="1"/>
  <c r="L52" i="1" s="1"/>
  <c r="M52" i="1" s="1"/>
  <c r="N52" i="1" s="1"/>
  <c r="O52" i="1" s="1"/>
  <c r="K53" i="1"/>
  <c r="L53" i="1" s="1"/>
  <c r="M53" i="1" s="1"/>
  <c r="N53" i="1" s="1"/>
  <c r="O53" i="1" s="1"/>
  <c r="K54" i="1"/>
  <c r="L54" i="1" s="1"/>
  <c r="M54" i="1" s="1"/>
  <c r="N54" i="1" s="1"/>
  <c r="O54" i="1" s="1"/>
  <c r="K55" i="1"/>
  <c r="L55" i="1" s="1"/>
  <c r="M55" i="1" s="1"/>
  <c r="N55" i="1" s="1"/>
  <c r="O55" i="1" s="1"/>
  <c r="K57" i="1"/>
  <c r="L57" i="1" s="1"/>
  <c r="M57" i="1" s="1"/>
  <c r="N57" i="1" s="1"/>
  <c r="O57" i="1" s="1"/>
  <c r="K58" i="1"/>
  <c r="L58" i="1" s="1"/>
  <c r="M58" i="1" s="1"/>
  <c r="N58" i="1" s="1"/>
  <c r="O58" i="1" s="1"/>
  <c r="K62" i="1"/>
  <c r="L62" i="1" s="1"/>
  <c r="M62" i="1" s="1"/>
  <c r="N62" i="1" s="1"/>
  <c r="O62" i="1" s="1"/>
  <c r="K63" i="1"/>
  <c r="L63" i="1" s="1"/>
  <c r="M63" i="1" s="1"/>
  <c r="N63" i="1" s="1"/>
  <c r="O63" i="1" s="1"/>
  <c r="K64" i="1"/>
  <c r="L64" i="1" s="1"/>
  <c r="M64" i="1" s="1"/>
  <c r="N64" i="1" s="1"/>
  <c r="O64" i="1" s="1"/>
  <c r="K48" i="1"/>
  <c r="L48" i="1" s="1"/>
  <c r="M48" i="1" s="1"/>
  <c r="N48" i="1" s="1"/>
  <c r="O48" i="1" s="1"/>
  <c r="P48" i="1" s="1"/>
  <c r="R48" i="1" s="1"/>
  <c r="K5" i="1"/>
  <c r="L5" i="1" s="1"/>
  <c r="M5" i="1" s="1"/>
  <c r="N5" i="1" s="1"/>
  <c r="O5" i="1" s="1"/>
  <c r="P5" i="1" s="1"/>
  <c r="R5" i="1" s="1"/>
  <c r="K7" i="1"/>
  <c r="L7" i="1" s="1"/>
  <c r="M7" i="1" s="1"/>
  <c r="N7" i="1" s="1"/>
  <c r="O7" i="1" s="1"/>
  <c r="K11" i="1"/>
  <c r="L11" i="1" s="1"/>
  <c r="M11" i="1" s="1"/>
  <c r="N11" i="1" s="1"/>
  <c r="O11" i="1" s="1"/>
  <c r="K12" i="1"/>
  <c r="L12" i="1" s="1"/>
  <c r="M12" i="1" s="1"/>
  <c r="N12" i="1" s="1"/>
  <c r="O12" i="1" s="1"/>
  <c r="K13" i="1"/>
  <c r="L13" i="1" s="1"/>
  <c r="M13" i="1" s="1"/>
  <c r="N13" i="1" s="1"/>
  <c r="O13" i="1" s="1"/>
  <c r="K14" i="1"/>
  <c r="L14" i="1" s="1"/>
  <c r="M14" i="1" s="1"/>
  <c r="N14" i="1" s="1"/>
  <c r="O14" i="1" s="1"/>
  <c r="K15" i="1"/>
  <c r="L15" i="1" s="1"/>
  <c r="M15" i="1" s="1"/>
  <c r="N15" i="1" s="1"/>
  <c r="O15" i="1" s="1"/>
  <c r="K16" i="1"/>
  <c r="L16" i="1" s="1"/>
  <c r="M16" i="1" s="1"/>
  <c r="N16" i="1" s="1"/>
  <c r="O16" i="1" s="1"/>
  <c r="K17" i="1"/>
  <c r="L17" i="1" s="1"/>
  <c r="M17" i="1" s="1"/>
  <c r="N17" i="1" s="1"/>
  <c r="O17" i="1" s="1"/>
  <c r="K23" i="1"/>
  <c r="L23" i="1" s="1"/>
  <c r="M23" i="1" s="1"/>
  <c r="N23" i="1" s="1"/>
  <c r="O23" i="1" s="1"/>
  <c r="K24" i="1"/>
  <c r="L24" i="1" s="1"/>
  <c r="M24" i="1" s="1"/>
  <c r="N24" i="1" s="1"/>
  <c r="O24" i="1" s="1"/>
  <c r="K26" i="1"/>
  <c r="L26" i="1" s="1"/>
  <c r="M26" i="1" s="1"/>
  <c r="N26" i="1" s="1"/>
  <c r="O26" i="1" s="1"/>
  <c r="K28" i="1"/>
  <c r="L28" i="1" s="1"/>
  <c r="M28" i="1" s="1"/>
  <c r="N28" i="1" s="1"/>
  <c r="O28" i="1" s="1"/>
  <c r="K29" i="1"/>
  <c r="L29" i="1" s="1"/>
  <c r="M29" i="1" s="1"/>
  <c r="N29" i="1" s="1"/>
  <c r="O29" i="1" s="1"/>
  <c r="K30" i="1"/>
  <c r="L30" i="1" s="1"/>
  <c r="M30" i="1" s="1"/>
  <c r="N30" i="1" s="1"/>
  <c r="O30" i="1" s="1"/>
  <c r="K31" i="1"/>
  <c r="L31" i="1" s="1"/>
  <c r="M31" i="1" s="1"/>
  <c r="N31" i="1" s="1"/>
  <c r="O31" i="1" s="1"/>
  <c r="K32" i="1"/>
  <c r="L32" i="1" s="1"/>
  <c r="M32" i="1" s="1"/>
  <c r="N32" i="1" s="1"/>
  <c r="O32" i="1" s="1"/>
  <c r="K33" i="1"/>
  <c r="L33" i="1" s="1"/>
  <c r="M33" i="1" s="1"/>
  <c r="N33" i="1" s="1"/>
  <c r="O33" i="1" s="1"/>
  <c r="K34" i="1"/>
  <c r="L34" i="1" s="1"/>
  <c r="M34" i="1" s="1"/>
  <c r="N34" i="1" s="1"/>
  <c r="O34" i="1" s="1"/>
  <c r="K35" i="1"/>
  <c r="L35" i="1" s="1"/>
  <c r="M35" i="1" s="1"/>
  <c r="N35" i="1" s="1"/>
  <c r="O35" i="1" s="1"/>
  <c r="K36" i="1"/>
  <c r="L36" i="1" s="1"/>
  <c r="M36" i="1" s="1"/>
  <c r="N36" i="1" s="1"/>
  <c r="O36" i="1" s="1"/>
  <c r="K40" i="1"/>
  <c r="L40" i="1" s="1"/>
  <c r="M40" i="1" s="1"/>
  <c r="N40" i="1" s="1"/>
  <c r="O40" i="1" s="1"/>
  <c r="K43" i="1"/>
  <c r="L43" i="1" s="1"/>
  <c r="M43" i="1" s="1"/>
  <c r="N43" i="1" s="1"/>
  <c r="O43" i="1" s="1"/>
  <c r="J9" i="1"/>
  <c r="K9" i="1" s="1"/>
  <c r="L9" i="1" s="1"/>
  <c r="M9" i="1" s="1"/>
  <c r="N9" i="1" s="1"/>
  <c r="O9" i="1" s="1"/>
  <c r="J10" i="1"/>
  <c r="K10" i="1" s="1"/>
  <c r="L10" i="1" s="1"/>
  <c r="M10" i="1" s="1"/>
  <c r="N10" i="1" s="1"/>
  <c r="O10" i="1" s="1"/>
  <c r="J41" i="1"/>
  <c r="K41" i="1" s="1"/>
  <c r="L41" i="1" s="1"/>
  <c r="M41" i="1" s="1"/>
  <c r="N41" i="1" s="1"/>
  <c r="O41" i="1" s="1"/>
  <c r="J42" i="1"/>
  <c r="K42" i="1" s="1"/>
  <c r="L42" i="1" s="1"/>
  <c r="M42" i="1" s="1"/>
  <c r="N42" i="1" s="1"/>
  <c r="O42" i="1" s="1"/>
  <c r="J44" i="1"/>
  <c r="K44" i="1" s="1"/>
  <c r="L44" i="1" s="1"/>
  <c r="M44" i="1" s="1"/>
  <c r="N44" i="1" s="1"/>
  <c r="O44" i="1" s="1"/>
  <c r="F15" i="1"/>
  <c r="Q65" i="1"/>
  <c r="E45" i="1"/>
  <c r="G28" i="1"/>
  <c r="F62" i="1"/>
  <c r="G62" i="1" s="1"/>
  <c r="H62" i="1" s="1"/>
  <c r="H33" i="1"/>
  <c r="H32" i="1"/>
  <c r="F40" i="1"/>
  <c r="G40" i="1" s="1"/>
  <c r="H40" i="1" s="1"/>
  <c r="F29" i="1"/>
  <c r="G29" i="1" s="1"/>
  <c r="H29" i="1" s="1"/>
  <c r="F13" i="1"/>
  <c r="G13" i="1" s="1"/>
  <c r="H13" i="1" s="1"/>
  <c r="F12" i="1"/>
  <c r="G12" i="1" s="1"/>
  <c r="H12" i="1" s="1"/>
  <c r="F31" i="1"/>
  <c r="G31" i="1" s="1"/>
  <c r="H31" i="1" s="1"/>
  <c r="F35" i="1"/>
  <c r="G35" i="1" s="1"/>
  <c r="H35" i="1" s="1"/>
  <c r="F30" i="1"/>
  <c r="G30" i="1" s="1"/>
  <c r="H30" i="1" s="1"/>
  <c r="F34" i="1"/>
  <c r="G34" i="1" s="1"/>
  <c r="H34" i="1" s="1"/>
  <c r="F16" i="1"/>
  <c r="G16" i="1" s="1"/>
  <c r="H16" i="1" s="1"/>
  <c r="F36" i="1"/>
  <c r="G36" i="1" s="1"/>
  <c r="H36" i="1" s="1"/>
  <c r="F42" i="1"/>
  <c r="G42" i="1" s="1"/>
  <c r="F10" i="1"/>
  <c r="G10" i="1" s="1"/>
  <c r="F17" i="1"/>
  <c r="G17" i="1" s="1"/>
  <c r="H17" i="1" s="1"/>
  <c r="F5" i="1"/>
  <c r="G5" i="1" s="1"/>
  <c r="H5" i="1" s="1"/>
  <c r="F27" i="1"/>
  <c r="G27" i="1" s="1"/>
  <c r="H27" i="1" s="1"/>
  <c r="J27" i="1" s="1"/>
  <c r="K27" i="1" s="1"/>
  <c r="L27" i="1" s="1"/>
  <c r="M27" i="1" s="1"/>
  <c r="N27" i="1" s="1"/>
  <c r="O27" i="1" s="1"/>
  <c r="F8" i="1"/>
  <c r="G8" i="1" s="1"/>
  <c r="H8" i="1" s="1"/>
  <c r="J8" i="1" s="1"/>
  <c r="F26" i="1"/>
  <c r="G26" i="1" s="1"/>
  <c r="H26" i="1" s="1"/>
  <c r="F23" i="1"/>
  <c r="G23" i="1" s="1"/>
  <c r="H23" i="1" s="1"/>
  <c r="F7" i="1"/>
  <c r="G7" i="1" s="1"/>
  <c r="H7" i="1" s="1"/>
  <c r="G14" i="1"/>
  <c r="H14" i="1" s="1"/>
  <c r="F24" i="1"/>
  <c r="G24" i="1" s="1"/>
  <c r="H24" i="1" s="1"/>
  <c r="F11" i="1"/>
  <c r="G11" i="1" s="1"/>
  <c r="H11" i="1" s="1"/>
  <c r="F43" i="1"/>
  <c r="G43" i="1" s="1"/>
  <c r="H43" i="1" s="1"/>
  <c r="F55" i="1"/>
  <c r="G55" i="1" s="1"/>
  <c r="H55" i="1" s="1"/>
  <c r="F63" i="1"/>
  <c r="G63" i="1" s="1"/>
  <c r="H63" i="1" s="1"/>
  <c r="F49" i="1"/>
  <c r="G49" i="1" s="1"/>
  <c r="H49" i="1" s="1"/>
  <c r="F50" i="1"/>
  <c r="G50" i="1" s="1"/>
  <c r="H50" i="1" s="1"/>
  <c r="F52" i="1"/>
  <c r="G52" i="1" s="1"/>
  <c r="H52" i="1" s="1"/>
  <c r="F51" i="1"/>
  <c r="G51" i="1" s="1"/>
  <c r="H51" i="1" s="1"/>
  <c r="F57" i="1"/>
  <c r="G57" i="1" s="1"/>
  <c r="H57" i="1" s="1"/>
  <c r="F48" i="1"/>
  <c r="G48" i="1" s="1"/>
  <c r="F53" i="1"/>
  <c r="G53" i="1" s="1"/>
  <c r="H53" i="1" s="1"/>
  <c r="F64" i="1"/>
  <c r="G64" i="1" s="1"/>
  <c r="H64" i="1" s="1"/>
  <c r="F58" i="1"/>
  <c r="G58" i="1" s="1"/>
  <c r="H58" i="1" s="1"/>
  <c r="F54" i="1"/>
  <c r="G54" i="1" s="1"/>
  <c r="H54" i="1" s="1"/>
  <c r="E65" i="1"/>
  <c r="J65" i="1"/>
  <c r="P43" i="1" l="1"/>
  <c r="R43" i="1" s="1"/>
  <c r="P15" i="1"/>
  <c r="R15" i="1" s="1"/>
  <c r="P52" i="1"/>
  <c r="R52" i="1" s="1"/>
  <c r="P13" i="1"/>
  <c r="R13" i="1" s="1"/>
  <c r="P34" i="1"/>
  <c r="R34" i="1" s="1"/>
  <c r="P50" i="1"/>
  <c r="R50" i="1" s="1"/>
  <c r="P14" i="1"/>
  <c r="R14" i="1" s="1"/>
  <c r="P35" i="1"/>
  <c r="R35" i="1" s="1"/>
  <c r="P7" i="1"/>
  <c r="R7" i="1" s="1"/>
  <c r="P31" i="1"/>
  <c r="R31" i="1" s="1"/>
  <c r="P36" i="1"/>
  <c r="R36" i="1" s="1"/>
  <c r="P11" i="1"/>
  <c r="R11" i="1" s="1"/>
  <c r="P63" i="1"/>
  <c r="R63" i="1" s="1"/>
  <c r="P21" i="1"/>
  <c r="R21" i="1" s="1"/>
  <c r="P53" i="1"/>
  <c r="R53" i="1" s="1"/>
  <c r="P30" i="1"/>
  <c r="R30" i="1" s="1"/>
  <c r="P28" i="1"/>
  <c r="R28" i="1" s="1"/>
  <c r="P62" i="1"/>
  <c r="R62" i="1" s="1"/>
  <c r="P20" i="1"/>
  <c r="R20" i="1" s="1"/>
  <c r="P9" i="1"/>
  <c r="R9" i="1" s="1"/>
  <c r="P64" i="1"/>
  <c r="R64" i="1" s="1"/>
  <c r="P44" i="1"/>
  <c r="R44" i="1" s="1"/>
  <c r="P26" i="1"/>
  <c r="R26" i="1" s="1"/>
  <c r="P58" i="1"/>
  <c r="R58" i="1" s="1"/>
  <c r="P19" i="1"/>
  <c r="R19" i="1" s="1"/>
  <c r="P16" i="1"/>
  <c r="R16" i="1" s="1"/>
  <c r="P33" i="1"/>
  <c r="R33" i="1" s="1"/>
  <c r="P29" i="1"/>
  <c r="R29" i="1" s="1"/>
  <c r="P42" i="1"/>
  <c r="R42" i="1" s="1"/>
  <c r="P57" i="1"/>
  <c r="R57" i="1" s="1"/>
  <c r="P18" i="1"/>
  <c r="R18" i="1" s="1"/>
  <c r="P40" i="1"/>
  <c r="R40" i="1" s="1"/>
  <c r="P12" i="1"/>
  <c r="R12" i="1" s="1"/>
  <c r="P27" i="1"/>
  <c r="R27" i="1" s="1"/>
  <c r="P25" i="1"/>
  <c r="R25" i="1" s="1"/>
  <c r="P24" i="1"/>
  <c r="R24" i="1" s="1"/>
  <c r="P41" i="1"/>
  <c r="R41" i="1" s="1"/>
  <c r="P23" i="1"/>
  <c r="R23" i="1" s="1"/>
  <c r="P55" i="1"/>
  <c r="R55" i="1" s="1"/>
  <c r="P6" i="1"/>
  <c r="R6" i="1" s="1"/>
  <c r="P51" i="1"/>
  <c r="R51" i="1" s="1"/>
  <c r="P49" i="1"/>
  <c r="P32" i="1"/>
  <c r="R32" i="1" s="1"/>
  <c r="P10" i="1"/>
  <c r="R10" i="1" s="1"/>
  <c r="P17" i="1"/>
  <c r="R17" i="1" s="1"/>
  <c r="P54" i="1"/>
  <c r="R54" i="1" s="1"/>
  <c r="O65" i="1"/>
  <c r="N65" i="1"/>
  <c r="M65" i="1"/>
  <c r="L65" i="1"/>
  <c r="Q67" i="1"/>
  <c r="F65" i="1"/>
  <c r="K65" i="1"/>
  <c r="G65" i="1"/>
  <c r="H48" i="1"/>
  <c r="H65" i="1" s="1"/>
  <c r="G45" i="1"/>
  <c r="H45" i="1"/>
  <c r="K8" i="1"/>
  <c r="L8" i="1" s="1"/>
  <c r="M8" i="1" s="1"/>
  <c r="N8" i="1" s="1"/>
  <c r="O8" i="1" s="1"/>
  <c r="J45" i="1"/>
  <c r="J67" i="1" s="1"/>
  <c r="F45" i="1"/>
  <c r="P65" i="1" l="1"/>
  <c r="R49" i="1"/>
  <c r="R65" i="1" s="1"/>
  <c r="P8" i="1"/>
  <c r="O45" i="1"/>
  <c r="O67" i="1" s="1"/>
  <c r="G67" i="1"/>
  <c r="H67" i="1"/>
  <c r="N45" i="1"/>
  <c r="N67" i="1" s="1"/>
  <c r="M45" i="1"/>
  <c r="M67" i="1" s="1"/>
  <c r="L45" i="1"/>
  <c r="L67" i="1" s="1"/>
  <c r="F67" i="1"/>
  <c r="K45" i="1"/>
  <c r="K67" i="1" s="1"/>
  <c r="P45" i="1" l="1"/>
  <c r="P67" i="1" s="1"/>
  <c r="R8" i="1"/>
  <c r="R45" i="1" s="1"/>
  <c r="R67" i="1" s="1"/>
  <c r="C19" i="2" l="1"/>
  <c r="H19" i="2" s="1"/>
  <c r="J4" i="2"/>
  <c r="C20" i="2" l="1"/>
  <c r="H20" i="2" s="1"/>
  <c r="J19" i="2"/>
  <c r="C5" i="2"/>
  <c r="H4" i="2"/>
  <c r="C34" i="2"/>
  <c r="H33" i="2"/>
  <c r="C21" i="2" l="1"/>
  <c r="H21" i="2" s="1"/>
  <c r="H34" i="2"/>
  <c r="C35" i="2"/>
  <c r="H5" i="2"/>
  <c r="C6" i="2"/>
  <c r="C22" i="2" l="1"/>
  <c r="H22" i="2" s="1"/>
  <c r="H6" i="2"/>
  <c r="C7" i="2"/>
  <c r="C36" i="2"/>
  <c r="H35" i="2"/>
  <c r="C23" i="2" l="1"/>
  <c r="H23" i="2" s="1"/>
  <c r="H36" i="2"/>
  <c r="C37" i="2"/>
  <c r="H7" i="2"/>
  <c r="C8" i="2"/>
  <c r="C24" i="2" l="1"/>
  <c r="H8" i="2"/>
  <c r="C9" i="2"/>
  <c r="H9" i="2" s="1"/>
  <c r="H37" i="2"/>
  <c r="C38" i="2"/>
  <c r="H38" i="2" s="1"/>
  <c r="H24" i="2" l="1"/>
  <c r="H25" i="2" s="1"/>
  <c r="H27" i="2" s="1"/>
  <c r="H28" i="2" s="1"/>
  <c r="H30" i="2" s="1"/>
  <c r="H10" i="2"/>
  <c r="H12" i="2" s="1"/>
  <c r="H13" i="2" s="1"/>
  <c r="H39" i="2"/>
  <c r="H41" i="2" s="1"/>
  <c r="H42" i="2" s="1"/>
  <c r="J39" i="2" l="1"/>
</calcChain>
</file>

<file path=xl/comments1.xml><?xml version="1.0" encoding="utf-8"?>
<comments xmlns="http://schemas.openxmlformats.org/spreadsheetml/2006/main">
  <authors>
    <author>Petra Cornelisse</author>
  </authors>
  <commentList>
    <comment ref="A14" authorId="0" shapeId="0">
      <text>
        <r>
          <rPr>
            <b/>
            <sz val="9"/>
            <color indexed="81"/>
            <rFont val="Tahoma"/>
            <family val="2"/>
          </rPr>
          <t>Petra Cornelisse:</t>
        </r>
        <r>
          <rPr>
            <sz val="9"/>
            <color indexed="81"/>
            <rFont val="Tahoma"/>
            <family val="2"/>
          </rPr>
          <t xml:space="preserve">
Getaxeerd 16-04-2013 door ATMP, Rapportnr. 2013.0779.002-O</t>
        </r>
      </text>
    </comment>
    <comment ref="A15" authorId="0" shapeId="0">
      <text>
        <r>
          <rPr>
            <b/>
            <sz val="9"/>
            <color indexed="81"/>
            <rFont val="Tahoma"/>
            <family val="2"/>
          </rPr>
          <t>Petra Cornelisse:</t>
        </r>
        <r>
          <rPr>
            <sz val="9"/>
            <color indexed="81"/>
            <rFont val="Tahoma"/>
            <family val="2"/>
          </rPr>
          <t xml:space="preserve">
Taxatie door ATMP, rapportnr. 2015.03.0779.001-O dd 26-3-2015</t>
        </r>
      </text>
    </comment>
    <comment ref="A72" authorId="0" shapeId="0">
      <text>
        <r>
          <rPr>
            <b/>
            <sz val="9"/>
            <color indexed="81"/>
            <rFont val="Tahoma"/>
            <family val="2"/>
          </rPr>
          <t>Petra Cornelisse:</t>
        </r>
        <r>
          <rPr>
            <sz val="9"/>
            <color indexed="81"/>
            <rFont val="Tahoma"/>
            <family val="2"/>
          </rPr>
          <t xml:space="preserve">
Taxatie door ATMP, rapportnr. 2015.03.0779.001-O dd 26-3-2015</t>
        </r>
      </text>
    </comment>
  </commentList>
</comments>
</file>

<file path=xl/sharedStrings.xml><?xml version="1.0" encoding="utf-8"?>
<sst xmlns="http://schemas.openxmlformats.org/spreadsheetml/2006/main" count="420" uniqueCount="230">
  <si>
    <t>fruithuis</t>
  </si>
  <si>
    <t>omschrijving</t>
  </si>
  <si>
    <t>adres</t>
  </si>
  <si>
    <t>raamsdonksveer</t>
  </si>
  <si>
    <t>gebouw</t>
  </si>
  <si>
    <t>inventaris</t>
  </si>
  <si>
    <t>kantoor</t>
  </si>
  <si>
    <t>heereplein 11</t>
  </si>
  <si>
    <t>gemeentewerf</t>
  </si>
  <si>
    <t>geertruidenberg</t>
  </si>
  <si>
    <t>HMC Handbalvereniging</t>
  </si>
  <si>
    <t>openluchtpodium</t>
  </si>
  <si>
    <t>voormalige vishal</t>
  </si>
  <si>
    <t>markt 32, 34 en 36</t>
  </si>
  <si>
    <t>kerktoren</t>
  </si>
  <si>
    <t>elfhuizen 3</t>
  </si>
  <si>
    <t>carillon</t>
  </si>
  <si>
    <t>kerkklokken</t>
  </si>
  <si>
    <t>statenlaan 5</t>
  </si>
  <si>
    <t>vismarktstraat 2-4</t>
  </si>
  <si>
    <t>buurthuis de schelf</t>
  </si>
  <si>
    <t>b krijgsmangeerde 46</t>
  </si>
  <si>
    <t>raamsdonk</t>
  </si>
  <si>
    <t xml:space="preserve">raamsdonk </t>
  </si>
  <si>
    <t>gymlokaal</t>
  </si>
  <si>
    <t>mozartlaan 1</t>
  </si>
  <si>
    <t>elisabethstraat 3</t>
  </si>
  <si>
    <t>biekorf</t>
  </si>
  <si>
    <t>hoge waai</t>
  </si>
  <si>
    <t>kerkstraat 33</t>
  </si>
  <si>
    <t>kerkplein 6</t>
  </si>
  <si>
    <t>schoof</t>
  </si>
  <si>
    <t>elisabethstraat 1</t>
  </si>
  <si>
    <t>vonder</t>
  </si>
  <si>
    <t>bachplein 9</t>
  </si>
  <si>
    <t>wilsdonck</t>
  </si>
  <si>
    <t>rembrandtlaan 7</t>
  </si>
  <si>
    <t>totaal</t>
  </si>
  <si>
    <t>postcode</t>
  </si>
  <si>
    <t>rembrandtlaan 2</t>
  </si>
  <si>
    <t>kerkplein ongen.</t>
  </si>
  <si>
    <t>antiquiteiten kunst + tegeltableau fam Heere</t>
  </si>
  <si>
    <t>elisabethstraat 5</t>
  </si>
  <si>
    <t>meidoornstraat 5</t>
  </si>
  <si>
    <t>rijksmonument</t>
  </si>
  <si>
    <t>Scholen</t>
  </si>
  <si>
    <t>eigendommen</t>
  </si>
  <si>
    <t>dierenverblijf bij molen d'onvermoeide</t>
  </si>
  <si>
    <t>Totale verzekerde waarde eigendommen en scholen</t>
  </si>
  <si>
    <t>statenlaan 3</t>
  </si>
  <si>
    <t>markt 46</t>
  </si>
  <si>
    <t>kerkplein 3</t>
  </si>
  <si>
    <t>verenigingsgebouw agnesgebouw</t>
  </si>
  <si>
    <t>arsenaal muur</t>
  </si>
  <si>
    <t>venestraat 1</t>
  </si>
  <si>
    <t>windvang 2</t>
  </si>
  <si>
    <t>4941 dx</t>
  </si>
  <si>
    <t>4941 za</t>
  </si>
  <si>
    <t>4941 dd</t>
  </si>
  <si>
    <t>4931 kb</t>
  </si>
  <si>
    <t>4941 jc</t>
  </si>
  <si>
    <t>4941 eg</t>
  </si>
  <si>
    <t>4944 xd</t>
  </si>
  <si>
    <t>4931 az</t>
  </si>
  <si>
    <t>4941 gb</t>
  </si>
  <si>
    <t>4931 bt</t>
  </si>
  <si>
    <t>4931 ax</t>
  </si>
  <si>
    <t>4941 dp</t>
  </si>
  <si>
    <t>4942 aw</t>
  </si>
  <si>
    <t>4944 ad</t>
  </si>
  <si>
    <t>4931 bm</t>
  </si>
  <si>
    <t>4941 ad</t>
  </si>
  <si>
    <t>4944 vd</t>
  </si>
  <si>
    <t>4931 ck</t>
  </si>
  <si>
    <t>4942 bx</t>
  </si>
  <si>
    <t>4942 ac</t>
  </si>
  <si>
    <t>4931 bd</t>
  </si>
  <si>
    <t>4944 xb</t>
  </si>
  <si>
    <t>4942 av</t>
  </si>
  <si>
    <t>4941 kx</t>
  </si>
  <si>
    <t>4941 ac</t>
  </si>
  <si>
    <t>4941 vc</t>
  </si>
  <si>
    <t xml:space="preserve">collegeweg 1 </t>
  </si>
  <si>
    <t>per 01-01-2013</t>
  </si>
  <si>
    <t>indexcijfer 117,8</t>
  </si>
  <si>
    <t>oude wacht</t>
  </si>
  <si>
    <t>premie‰</t>
  </si>
  <si>
    <t>aandeel%</t>
  </si>
  <si>
    <t>Poliskosten</t>
  </si>
  <si>
    <t>21% assurantiebelasting</t>
  </si>
  <si>
    <t>Door verzekeringnemer te voldoen</t>
  </si>
  <si>
    <t>per 01-01-2014</t>
  </si>
  <si>
    <t>indexcijfer 118,8</t>
  </si>
  <si>
    <t>w. muldersplein 1</t>
  </si>
  <si>
    <t>burg. Krijgsmangeerde 45</t>
  </si>
  <si>
    <t>jaarpremie</t>
  </si>
  <si>
    <t>antiquiteiten kunstvoorwerpen/kostbaarheden</t>
  </si>
  <si>
    <t>antiquiteiten kunstvoorwerpen en kostbaarheden</t>
  </si>
  <si>
    <t>bergbezinkbassins, dwa en rwa gemalen</t>
  </si>
  <si>
    <t>plaats</t>
  </si>
  <si>
    <t>gebouwen</t>
  </si>
  <si>
    <t>Julianalaan 103a</t>
  </si>
  <si>
    <t>poortgebouw algemene begraafplaats</t>
  </si>
  <si>
    <t>brandweerkazerne nieuwbouw</t>
  </si>
  <si>
    <t>loods</t>
  </si>
  <si>
    <t xml:space="preserve">kantine </t>
  </si>
  <si>
    <t>oude stadsweg 2</t>
  </si>
  <si>
    <t>dongemond college incl noodunits (collegeweg 3)</t>
  </si>
  <si>
    <t xml:space="preserve">gemeentehuis </t>
  </si>
  <si>
    <t xml:space="preserve">Heereplein 10/ Vrijheidsstraat 2 </t>
  </si>
  <si>
    <t>maasdijk 1</t>
  </si>
  <si>
    <t>kloosterweg 2</t>
  </si>
  <si>
    <t>heereplein 11a</t>
  </si>
  <si>
    <t>vismarktstraat 25</t>
  </si>
  <si>
    <t>grote kerkstraat 9</t>
  </si>
  <si>
    <t>fort lunet</t>
  </si>
  <si>
    <t>radonkel</t>
  </si>
  <si>
    <t xml:space="preserve">vuurvlinder </t>
  </si>
  <si>
    <t>per 01-01-2016</t>
  </si>
  <si>
    <t xml:space="preserve">rijksmonument </t>
  </si>
  <si>
    <t>vrijheidsstraat 2</t>
  </si>
  <si>
    <t>voor index</t>
  </si>
  <si>
    <t>parklaan 1</t>
  </si>
  <si>
    <t>sporthal/sportzaal</t>
  </si>
  <si>
    <t>indexcijfer 121,0</t>
  </si>
  <si>
    <t>getaxeerd</t>
  </si>
  <si>
    <t>*1</t>
  </si>
  <si>
    <t>*2</t>
  </si>
  <si>
    <t>*1, *2</t>
  </si>
  <si>
    <t>cc schattelijn incl bakkerij haven 18</t>
  </si>
  <si>
    <t>heemraadsingel 6a + 6b</t>
  </si>
  <si>
    <t>totale inventaris € 3.031.050,00. € 1.343.100, 00 hiervan is computerapparatuur, telefonie, printers, lichtdrukmachine, vouwapparaat</t>
  </si>
  <si>
    <t>62% van totale taxatie opstal julianalaan 103a. Op het pand liggen zonnenpanelen</t>
  </si>
  <si>
    <t>38% van de totale taxatie opstal julianalaan 103a</t>
  </si>
  <si>
    <t xml:space="preserve">ict apparatuur </t>
  </si>
  <si>
    <t>inclusief 129 zonnepanelen aanschafwaarde € 42.705,00 + € 10.959,00)</t>
  </si>
  <si>
    <t>hoge donk 83</t>
  </si>
  <si>
    <t>4942 bc</t>
  </si>
  <si>
    <t>waarde is opgenomen in totale waarde inventaris Vrijheidstraat 2 (€ 3.031.050,00)</t>
  </si>
  <si>
    <t>incl 2 nooduntis en 600 zonnepanelen</t>
  </si>
  <si>
    <t>per 01-01-2017</t>
  </si>
  <si>
    <t>*1 gebouwen getaxeerd door ATMP d.d. 09-11-2016, rapportnr. 2016.11.0779.000-O</t>
  </si>
  <si>
    <t>*2 inventaris getaxeerd door ATMP d.d. 09-11-2016, rapportnr. 2016.11.0779.000-I</t>
  </si>
  <si>
    <t>indexcijfer 123,1</t>
  </si>
  <si>
    <t xml:space="preserve">jachthaven hermenzeil </t>
  </si>
  <si>
    <t>zijlweg 1</t>
  </si>
  <si>
    <t>4944 av</t>
  </si>
  <si>
    <t>museum de roos</t>
  </si>
  <si>
    <t>kinderboederij de kromme akker</t>
  </si>
  <si>
    <t>burggravenlaan 1-3</t>
  </si>
  <si>
    <t>4931 xa</t>
  </si>
  <si>
    <t xml:space="preserve">brandweerkazerne </t>
  </si>
  <si>
    <t>rivierkade 9b</t>
  </si>
  <si>
    <t>4931 aa</t>
  </si>
  <si>
    <t>statenlaan 11</t>
  </si>
  <si>
    <t>Julianalaan 103</t>
  </si>
  <si>
    <t>per 01-01-2018</t>
  </si>
  <si>
    <t>indexcijfer 125,8</t>
  </si>
  <si>
    <t>Pieter Breughelstraat 12</t>
  </si>
  <si>
    <t>Raamsdonksveer</t>
  </si>
  <si>
    <t>Architectenbureau: Marquart Architecten B.V.</t>
  </si>
  <si>
    <t>voormalig schoolgebouw (verhuurd aan Nintai, voedselbank, jeu de boules)</t>
  </si>
  <si>
    <t>omschrijving van huurders toegevoegd; pand wordt in 2019 opnieuw getaxeerd</t>
  </si>
  <si>
    <t>jeugdhonk</t>
  </si>
  <si>
    <t>julianlaan 103c is gesloopt; julianalaan 103 heeft een nieuwe bestemming gekregen. Het wordt verhuurd aan MidZuid. Daarnaast is er een politiesteunpunt is in gebruik als politiedepence en staat leeg en wordt verbouwd.</t>
  </si>
  <si>
    <t>taxatiewaarde 2014 + tegeltableau, jardiniere, statenbijbel en groen glazen wijnflessen</t>
  </si>
  <si>
    <t xml:space="preserve">div locaties </t>
  </si>
  <si>
    <t>Leegstaand (dekking BVS per 23-7-2018)</t>
  </si>
  <si>
    <t>per 01-01-2019</t>
  </si>
  <si>
    <t>indexcijfer 134,2</t>
  </si>
  <si>
    <t xml:space="preserve">wijziging nummer van het adres </t>
  </si>
  <si>
    <t xml:space="preserve">wijziging locatie van de kerkklokken </t>
  </si>
  <si>
    <t xml:space="preserve">De panden aan de statenlaan 3-5 worden niet meer gebruikt als gemeentewerf en brandweerkazerne. Wel verblijven er spullen van diverse partijen waaronder ook spullen van de gemeente zelf. </t>
  </si>
  <si>
    <t>zorgunit</t>
  </si>
  <si>
    <t>graaf willem I straat 38</t>
  </si>
  <si>
    <t>4931 es</t>
  </si>
  <si>
    <t xml:space="preserve">geertruidenberg </t>
  </si>
  <si>
    <t>nieuw toe te voegen aan de polis. De unit staat in de achtertuin van de bewoners van genoemd adres</t>
  </si>
  <si>
    <t>De gemeente is gestart met de 3e fase van de verkoopprocedure betreffende de jachthaven en de daarop aanwezige opstallen. Deze fase loopt tot juni 2020. Als het goed is hebben we begin juni een bekendmaking van het voornemen tot toewijzing aan 1 partij. En eind juni 2020 een definitieve toewijzing. Met de winnende aanbieder wordt een optiovereenkomst gesloten. De optietermijn is een halfjaar, maar zou nog langer kunnen worden. Dat laatste is afhankelijk van de aanbieder en wat qua bestemmingsplan bijvoorbeeld nog moet gebeuren. Na het verstrijken van de optieperiode wordt de verkoop defintief vastgelegd in een koopovereenkomst . Wanneer dat precies is, is nog niet bekend.</t>
  </si>
  <si>
    <t xml:space="preserve">De unit wordt momenteel 1 middag en 1 avond gebruikt en staat de rest van de week leeg. Het zal waarschijnlijk het laatste jaar zijn dat de unit als jeugdhonk gebruikt wordt. </t>
  </si>
  <si>
    <t>Dongemond college</t>
  </si>
  <si>
    <t>per 01-01-2020</t>
  </si>
  <si>
    <t>indexcijfer 144,3</t>
  </si>
  <si>
    <t>haven 123</t>
  </si>
  <si>
    <t>Kantoor/magazijn van politie en sociaal werkbedrijf</t>
  </si>
  <si>
    <t>Raamsdonskveer</t>
  </si>
  <si>
    <t>inrichting collegezaal,ict, data, nutsvoorz (kan ook gedeelte opstal zijn), zie mail 12-3-2021</t>
  </si>
  <si>
    <t>bestaand meubilair, zie mail 12-3-2021</t>
  </si>
  <si>
    <t>per 01-01-2021</t>
  </si>
  <si>
    <t>indexcijfer 151,5</t>
  </si>
  <si>
    <t>Verzekeraars</t>
  </si>
  <si>
    <t>verzekerd bedrag</t>
  </si>
  <si>
    <t>burg. Krijgsmangeerde 43</t>
  </si>
  <si>
    <t>Nationale-Nederlanden Schadeverzekering Mij. N.V.</t>
  </si>
  <si>
    <t>Collegeweg 3</t>
  </si>
  <si>
    <t>nieuwbouwpand brugklasgebouw</t>
  </si>
  <si>
    <t>Raamsdonksveerse Football Club (RFC) gemeentedeel</t>
  </si>
  <si>
    <t xml:space="preserve">4941 ha </t>
  </si>
  <si>
    <r>
      <t xml:space="preserve">nieuw per 19-2-2021, verz bedrag nog niet def. Zie mail 19-2-2021: </t>
    </r>
    <r>
      <rPr>
        <b/>
        <sz val="11"/>
        <color rgb="FFFF0000"/>
        <rFont val="Calibri"/>
        <family val="2"/>
      </rPr>
      <t xml:space="preserve">  Onderdeel van het bedrag zijn 179 zonnepanelen met een totale waarde van € 57.000,00 ex btw en een warmtepomp ad € 108.000,00 ex btw</t>
    </r>
  </si>
  <si>
    <t>Raamsdonksveerse Football Club (RFC) verenigingsdeel</t>
  </si>
  <si>
    <t>geertruidenberg
geertruidenberg</t>
  </si>
  <si>
    <t>1 klok bevindt zich aan de stadsweg naast het oorlogsmonument op het plantsoen bij  de Veste 
2 klokken zijn museaal opgesteld in de Geertruidskerk aan de elfhuizen 3</t>
  </si>
  <si>
    <t>toevoegen aan de huidige inventaris: € 218.333,00</t>
  </si>
  <si>
    <t>verhoging VS ivm klimaatbeheersing en LED verlichting zie mail 121021</t>
  </si>
  <si>
    <t>Parklaan 1a</t>
  </si>
  <si>
    <t>Burg. Krijgsmangeerde 47</t>
  </si>
  <si>
    <t>Ruif</t>
  </si>
  <si>
    <t>per 01-01-2022</t>
  </si>
  <si>
    <t>indexcijfer 159,8</t>
  </si>
  <si>
    <t>4941 zb</t>
  </si>
  <si>
    <t>Achmea Schadeverzekeringen NV</t>
  </si>
  <si>
    <t>XL Insurance Company SE
vertegenwoordigd door Intermont Assuradeuren B.V.</t>
  </si>
  <si>
    <t>QBE Insurance SA/NV, vertegenwoordigd door Mandatis B.V. h.o.d.n. Melior</t>
  </si>
  <si>
    <t>Corins B.V.</t>
  </si>
  <si>
    <t>Allianz Nederland Corporate</t>
  </si>
  <si>
    <t xml:space="preserve"> -/-</t>
  </si>
  <si>
    <t>verzekerd bedrag oud</t>
  </si>
  <si>
    <t>Prolongatiepremie voor de periode 01-01-2023/2024</t>
  </si>
  <si>
    <t>Premieberekening voor de periode 01-01-2022/2023</t>
  </si>
  <si>
    <t>Het pand is per 19-4-2022 verkocht</t>
  </si>
  <si>
    <t>Mutaties 2022</t>
  </si>
  <si>
    <t xml:space="preserve">Het pand is per 19-4-2022 verkocht </t>
  </si>
  <si>
    <t>Stukken verblijven ondanks de verkoop van de panden nog in Markt 32 t/m 36</t>
  </si>
  <si>
    <t>Het pand is gesloopt in februari 2022</t>
  </si>
  <si>
    <t>Kantoorpanden, Markt 32, 34, 36 en 38</t>
  </si>
  <si>
    <t>Sporthal/sportzaal, Parklaan 1</t>
  </si>
  <si>
    <t>Premieberekening voor de periode 19-04-2022/01-01-2023</t>
  </si>
  <si>
    <t>pro rata x 252/360</t>
  </si>
  <si>
    <t>Door verzekeringnemer te ontvangen</t>
  </si>
  <si>
    <t>Totaal door verzekeringnemer te ontvangen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</si>
</sst>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quot;€&quot;\ * #,##0.00_ ;_ &quot;€&quot;\ * \-#,##0.00_ ;_ &quot;€&quot;\ * &quot;-&quot;??_ ;_ @_ "/>
    <numFmt numFmtId="164" formatCode="0.00000"/>
  </numFmts>
  <fonts count="20" x14ac:knownFonts="1">
    <font>
      <sz val="11"/>
      <color theme="1"/>
      <name val="Calibri"/>
      <family val="2"/>
      <scheme val="minor"/>
    </font>
    <font>
      <sz val="11"/>
      <color indexed="8"/>
      <name val="Calibri"/>
      <family val="2"/>
    </font>
    <font>
      <sz val="11"/>
      <color indexed="8"/>
      <name val="Calibri"/>
      <family val="2"/>
    </font>
    <font>
      <b/>
      <sz val="11"/>
      <name val="Calibri"/>
      <family val="2"/>
    </font>
    <font>
      <sz val="11"/>
      <name val="Calibri"/>
      <family val="2"/>
    </font>
    <font>
      <sz val="8"/>
      <name val="Calibri"/>
      <family val="2"/>
    </font>
    <font>
      <i/>
      <sz val="11"/>
      <name val="Calibri"/>
      <family val="2"/>
    </font>
    <font>
      <b/>
      <i/>
      <sz val="11"/>
      <name val="Calibri"/>
      <family val="2"/>
    </font>
    <font>
      <sz val="10"/>
      <color indexed="8"/>
      <name val="Arial"/>
      <family val="2"/>
    </font>
    <font>
      <b/>
      <sz val="10"/>
      <color indexed="8"/>
      <name val="Arial"/>
      <family val="2"/>
    </font>
    <font>
      <sz val="11"/>
      <color indexed="10"/>
      <name val="Calibri"/>
      <family val="2"/>
    </font>
    <font>
      <sz val="9"/>
      <color indexed="81"/>
      <name val="Tahoma"/>
      <family val="2"/>
    </font>
    <font>
      <b/>
      <sz val="9"/>
      <color indexed="81"/>
      <name val="Tahoma"/>
      <family val="2"/>
    </font>
    <font>
      <sz val="11"/>
      <color rgb="FFFF0000"/>
      <name val="Calibri"/>
      <family val="2"/>
    </font>
    <font>
      <b/>
      <sz val="11"/>
      <color rgb="FFFF0000"/>
      <name val="Calibri"/>
      <family val="2"/>
    </font>
    <font>
      <sz val="11"/>
      <name val="Calibri"/>
      <family val="2"/>
      <scheme val="minor"/>
    </font>
    <font>
      <b/>
      <sz val="11"/>
      <color rgb="FF7030A0"/>
      <name val="Calibri"/>
      <family val="2"/>
    </font>
    <font>
      <sz val="10"/>
      <color theme="1"/>
      <name val="Arial"/>
      <family val="2"/>
    </font>
    <font>
      <sz val="11"/>
      <color rgb="FF7030A0"/>
      <name val="Calibri"/>
      <family val="2"/>
    </font>
    <font>
      <i/>
      <sz val="10"/>
      <color indexed="8"/>
      <name val="Arial"/>
      <family val="2"/>
    </font>
  </fonts>
  <fills count="3">
    <fill>
      <patternFill patternType="none"/>
    </fill>
    <fill>
      <patternFill patternType="gray125"/>
    </fill>
    <fill>
      <patternFill patternType="solid">
        <fgColor indexed="2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bottom style="double">
        <color indexed="64"/>
      </bottom>
      <diagonal/>
    </border>
    <border>
      <left/>
      <right style="medium">
        <color indexed="64"/>
      </right>
      <top/>
      <bottom/>
      <diagonal/>
    </border>
    <border>
      <left style="thin">
        <color indexed="64"/>
      </left>
      <right/>
      <top style="thin">
        <color indexed="64"/>
      </top>
      <bottom/>
      <diagonal/>
    </border>
    <border>
      <left/>
      <right style="thin">
        <color indexed="64"/>
      </right>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44" fontId="2" fillId="0" borderId="0" applyFont="0" applyFill="0" applyBorder="0" applyAlignment="0" applyProtection="0"/>
  </cellStyleXfs>
  <cellXfs count="97">
    <xf numFmtId="0" fontId="0" fillId="0" borderId="0" xfId="0"/>
    <xf numFmtId="0" fontId="4" fillId="0" borderId="0" xfId="0" applyFont="1"/>
    <xf numFmtId="0" fontId="4" fillId="0" borderId="1" xfId="0" applyFont="1" applyBorder="1"/>
    <xf numFmtId="44" fontId="4" fillId="0" borderId="1" xfId="2" applyFont="1" applyBorder="1"/>
    <xf numFmtId="44" fontId="4" fillId="0" borderId="2" xfId="2" applyFont="1" applyBorder="1"/>
    <xf numFmtId="44" fontId="4" fillId="0" borderId="1" xfId="0" applyNumberFormat="1" applyFont="1" applyBorder="1"/>
    <xf numFmtId="0" fontId="4" fillId="0" borderId="0" xfId="0" applyFont="1" applyBorder="1"/>
    <xf numFmtId="0" fontId="3" fillId="2" borderId="3" xfId="0" applyFont="1" applyFill="1" applyBorder="1"/>
    <xf numFmtId="0" fontId="3" fillId="2" borderId="4" xfId="0" applyFont="1" applyFill="1" applyBorder="1"/>
    <xf numFmtId="0" fontId="3" fillId="2" borderId="5" xfId="0" applyFont="1" applyFill="1" applyBorder="1"/>
    <xf numFmtId="0" fontId="3" fillId="2" borderId="6" xfId="0" applyFont="1" applyFill="1" applyBorder="1"/>
    <xf numFmtId="0" fontId="3" fillId="2" borderId="0" xfId="0" applyFont="1" applyFill="1" applyBorder="1"/>
    <xf numFmtId="0" fontId="3" fillId="2" borderId="7" xfId="0" applyFont="1" applyFill="1" applyBorder="1"/>
    <xf numFmtId="0" fontId="3" fillId="2" borderId="8" xfId="0" applyFont="1" applyFill="1" applyBorder="1"/>
    <xf numFmtId="0" fontId="3" fillId="2" borderId="9" xfId="0" applyFont="1" applyFill="1" applyBorder="1"/>
    <xf numFmtId="0" fontId="6" fillId="0" borderId="0" xfId="0" applyFont="1"/>
    <xf numFmtId="0" fontId="7" fillId="0" borderId="0" xfId="0" applyFont="1"/>
    <xf numFmtId="44" fontId="7" fillId="0" borderId="0" xfId="0" applyNumberFormat="1" applyFont="1"/>
    <xf numFmtId="0" fontId="8" fillId="0" borderId="0" xfId="0" applyFont="1"/>
    <xf numFmtId="44" fontId="8" fillId="0" borderId="0" xfId="1" applyFont="1"/>
    <xf numFmtId="9" fontId="8" fillId="0" borderId="0" xfId="0" applyNumberFormat="1" applyFont="1"/>
    <xf numFmtId="44" fontId="8" fillId="0" borderId="0" xfId="0" applyNumberFormat="1" applyFont="1"/>
    <xf numFmtId="44" fontId="8" fillId="0" borderId="11" xfId="0" applyNumberFormat="1" applyFont="1" applyBorder="1"/>
    <xf numFmtId="0" fontId="9" fillId="0" borderId="0" xfId="0" applyFont="1"/>
    <xf numFmtId="0" fontId="8" fillId="0" borderId="0" xfId="0" applyFont="1" applyAlignment="1">
      <alignment horizontal="right"/>
    </xf>
    <xf numFmtId="0" fontId="10" fillId="0" borderId="0" xfId="0" applyFont="1"/>
    <xf numFmtId="0" fontId="3" fillId="0" borderId="0" xfId="0" applyFont="1" applyFill="1" applyBorder="1"/>
    <xf numFmtId="0" fontId="4" fillId="0" borderId="0" xfId="0" applyFont="1" applyFill="1"/>
    <xf numFmtId="44" fontId="4" fillId="0" borderId="12" xfId="2" applyFont="1" applyBorder="1"/>
    <xf numFmtId="0" fontId="4" fillId="0" borderId="1" xfId="0" applyFont="1" applyFill="1" applyBorder="1"/>
    <xf numFmtId="0" fontId="4" fillId="0" borderId="12" xfId="0" applyFont="1" applyBorder="1"/>
    <xf numFmtId="44" fontId="3" fillId="0" borderId="13" xfId="0" applyNumberFormat="1" applyFont="1" applyBorder="1"/>
    <xf numFmtId="0" fontId="3" fillId="2" borderId="14" xfId="0" applyFont="1" applyFill="1" applyBorder="1"/>
    <xf numFmtId="0" fontId="13" fillId="0" borderId="0" xfId="0" applyFont="1"/>
    <xf numFmtId="44" fontId="3" fillId="0" borderId="13" xfId="2" applyFont="1" applyBorder="1"/>
    <xf numFmtId="44" fontId="3" fillId="0" borderId="16" xfId="2" applyFont="1" applyBorder="1"/>
    <xf numFmtId="0" fontId="4" fillId="0" borderId="17" xfId="0" applyFont="1" applyBorder="1"/>
    <xf numFmtId="44" fontId="3" fillId="0" borderId="18" xfId="2" applyFont="1" applyBorder="1"/>
    <xf numFmtId="0" fontId="4" fillId="0" borderId="19" xfId="0" applyFont="1" applyBorder="1"/>
    <xf numFmtId="44" fontId="4" fillId="0" borderId="17" xfId="2" applyFont="1" applyBorder="1"/>
    <xf numFmtId="44" fontId="4" fillId="0" borderId="20" xfId="2" applyFont="1" applyBorder="1"/>
    <xf numFmtId="44" fontId="4" fillId="0" borderId="0" xfId="0" applyNumberFormat="1" applyFont="1"/>
    <xf numFmtId="0" fontId="14" fillId="2" borderId="8" xfId="0" applyFont="1" applyFill="1" applyBorder="1"/>
    <xf numFmtId="0" fontId="14" fillId="0" borderId="0" xfId="0" applyFont="1" applyFill="1" applyBorder="1"/>
    <xf numFmtId="0" fontId="4" fillId="0" borderId="0" xfId="0" applyFont="1" applyAlignment="1"/>
    <xf numFmtId="0" fontId="4" fillId="0" borderId="0" xfId="0" applyFont="1" applyFill="1" applyAlignment="1"/>
    <xf numFmtId="0" fontId="10" fillId="0" borderId="0" xfId="0" applyFont="1" applyAlignment="1"/>
    <xf numFmtId="0" fontId="13" fillId="0" borderId="0" xfId="0" applyFont="1" applyAlignment="1"/>
    <xf numFmtId="0" fontId="6" fillId="0" borderId="0" xfId="0" applyFont="1" applyAlignment="1"/>
    <xf numFmtId="0" fontId="13" fillId="0" borderId="0" xfId="0" applyFont="1" applyBorder="1" applyAlignment="1">
      <alignment vertical="top"/>
    </xf>
    <xf numFmtId="0" fontId="4" fillId="0" borderId="2" xfId="0" applyFont="1" applyFill="1" applyBorder="1"/>
    <xf numFmtId="44" fontId="4" fillId="0" borderId="2" xfId="2" applyFont="1" applyFill="1" applyBorder="1"/>
    <xf numFmtId="44" fontId="4" fillId="0" borderId="15" xfId="2" applyFont="1" applyFill="1" applyBorder="1"/>
    <xf numFmtId="44" fontId="4" fillId="0" borderId="1" xfId="2" applyFont="1" applyFill="1" applyBorder="1"/>
    <xf numFmtId="0" fontId="4" fillId="0" borderId="2" xfId="0" applyFont="1" applyBorder="1"/>
    <xf numFmtId="44" fontId="4" fillId="0" borderId="0" xfId="2" applyFont="1" applyBorder="1"/>
    <xf numFmtId="0" fontId="14" fillId="0" borderId="0" xfId="0" applyFont="1"/>
    <xf numFmtId="0" fontId="4" fillId="0" borderId="17" xfId="0" applyFont="1" applyBorder="1" applyAlignment="1">
      <alignment vertical="top" wrapText="1"/>
    </xf>
    <xf numFmtId="0" fontId="14" fillId="0" borderId="0" xfId="0" applyFont="1" applyAlignment="1">
      <alignment vertical="top" wrapText="1"/>
    </xf>
    <xf numFmtId="0" fontId="14" fillId="0" borderId="0" xfId="0" applyFont="1" applyAlignment="1"/>
    <xf numFmtId="0" fontId="15" fillId="0" borderId="1" xfId="0" applyFont="1" applyBorder="1"/>
    <xf numFmtId="0" fontId="4" fillId="0" borderId="1" xfId="0" applyFont="1" applyBorder="1" applyAlignment="1">
      <alignment vertical="top"/>
    </xf>
    <xf numFmtId="0" fontId="4" fillId="0" borderId="19" xfId="0" applyFont="1" applyBorder="1" applyAlignment="1">
      <alignment vertical="top"/>
    </xf>
    <xf numFmtId="44" fontId="4" fillId="0" borderId="17" xfId="2" applyFont="1" applyBorder="1" applyAlignment="1">
      <alignment vertical="top"/>
    </xf>
    <xf numFmtId="44" fontId="4" fillId="0" borderId="20" xfId="2" applyFont="1" applyBorder="1" applyAlignment="1">
      <alignment vertical="top"/>
    </xf>
    <xf numFmtId="44" fontId="4" fillId="0" borderId="1" xfId="2" applyFont="1" applyBorder="1" applyAlignment="1">
      <alignment vertical="top"/>
    </xf>
    <xf numFmtId="0" fontId="4" fillId="0" borderId="0" xfId="0" applyFont="1" applyAlignment="1">
      <alignment vertical="top"/>
    </xf>
    <xf numFmtId="0" fontId="16" fillId="0" borderId="0" xfId="0" applyFont="1"/>
    <xf numFmtId="0" fontId="16" fillId="0" borderId="0" xfId="0" applyFont="1" applyAlignment="1">
      <alignment vertical="top" wrapText="1"/>
    </xf>
    <xf numFmtId="0" fontId="4" fillId="0" borderId="1" xfId="0" applyFont="1" applyBorder="1" applyAlignment="1">
      <alignment wrapText="1"/>
    </xf>
    <xf numFmtId="0" fontId="16" fillId="0" borderId="0" xfId="0" applyFont="1" applyBorder="1" applyAlignment="1">
      <alignment vertical="top"/>
    </xf>
    <xf numFmtId="0" fontId="16" fillId="0" borderId="0" xfId="0" applyFont="1" applyAlignment="1">
      <alignment vertical="top"/>
    </xf>
    <xf numFmtId="0" fontId="14" fillId="0" borderId="1" xfId="0" applyFont="1" applyBorder="1"/>
    <xf numFmtId="44" fontId="14" fillId="0" borderId="1" xfId="0" applyNumberFormat="1" applyFont="1" applyBorder="1"/>
    <xf numFmtId="44" fontId="14" fillId="0" borderId="1" xfId="0" quotePrefix="1" applyNumberFormat="1" applyFont="1" applyBorder="1"/>
    <xf numFmtId="0" fontId="13" fillId="0" borderId="1" xfId="0" applyFont="1" applyBorder="1"/>
    <xf numFmtId="44" fontId="13" fillId="0" borderId="1" xfId="2" applyFont="1" applyBorder="1"/>
    <xf numFmtId="0" fontId="8" fillId="0" borderId="0" xfId="0" applyFont="1" applyAlignment="1">
      <alignment vertical="top"/>
    </xf>
    <xf numFmtId="0" fontId="13" fillId="0" borderId="1" xfId="0" applyFont="1" applyFill="1" applyBorder="1"/>
    <xf numFmtId="44" fontId="13" fillId="0" borderId="17" xfId="2" applyFont="1" applyFill="1" applyBorder="1"/>
    <xf numFmtId="44" fontId="13" fillId="0" borderId="20" xfId="2" applyFont="1" applyFill="1" applyBorder="1"/>
    <xf numFmtId="44" fontId="13" fillId="0" borderId="1" xfId="2" applyFont="1" applyFill="1" applyBorder="1"/>
    <xf numFmtId="44" fontId="8" fillId="0" borderId="0" xfId="1" applyFont="1" applyAlignment="1">
      <alignment vertical="top"/>
    </xf>
    <xf numFmtId="9" fontId="8" fillId="0" borderId="0" xfId="0" applyNumberFormat="1" applyFont="1" applyAlignment="1">
      <alignment vertical="top"/>
    </xf>
    <xf numFmtId="44" fontId="8" fillId="0" borderId="0" xfId="0" applyNumberFormat="1" applyFont="1" applyAlignment="1">
      <alignment vertical="top"/>
    </xf>
    <xf numFmtId="44" fontId="8" fillId="0" borderId="10" xfId="1" applyFont="1" applyBorder="1" applyAlignment="1">
      <alignment vertical="top"/>
    </xf>
    <xf numFmtId="44" fontId="8" fillId="0" borderId="0" xfId="1" applyFont="1" applyBorder="1" applyAlignment="1">
      <alignment vertical="top"/>
    </xf>
    <xf numFmtId="164" fontId="8" fillId="0" borderId="0" xfId="0" applyNumberFormat="1" applyFont="1" applyAlignment="1">
      <alignment vertical="top"/>
    </xf>
    <xf numFmtId="0" fontId="4" fillId="0" borderId="1" xfId="0" applyFont="1" applyBorder="1" applyAlignment="1">
      <alignment vertical="top" wrapText="1"/>
    </xf>
    <xf numFmtId="0" fontId="4" fillId="0" borderId="19" xfId="0" applyFont="1" applyFill="1" applyBorder="1"/>
    <xf numFmtId="0" fontId="17" fillId="0" borderId="0" xfId="0" applyFont="1"/>
    <xf numFmtId="0" fontId="17" fillId="0" borderId="0" xfId="0" applyFont="1" applyAlignment="1">
      <alignment wrapText="1"/>
    </xf>
    <xf numFmtId="0" fontId="14" fillId="0" borderId="0" xfId="0" applyFont="1" applyAlignment="1">
      <alignment vertical="top"/>
    </xf>
    <xf numFmtId="0" fontId="18" fillId="0" borderId="0" xfId="0" applyFont="1"/>
    <xf numFmtId="0" fontId="19" fillId="0" borderId="0" xfId="0" applyFont="1"/>
    <xf numFmtId="44" fontId="8" fillId="0" borderId="0" xfId="0" applyNumberFormat="1" applyFont="1" applyBorder="1"/>
    <xf numFmtId="44" fontId="9" fillId="0" borderId="11" xfId="0" applyNumberFormat="1" applyFont="1" applyBorder="1"/>
  </cellXfs>
  <cellStyles count="3">
    <cellStyle name="Euro" xfId="1"/>
    <cellStyle name="Standaard" xfId="0" builtinId="0"/>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2066925</xdr:colOff>
      <xdr:row>34</xdr:row>
      <xdr:rowOff>76200</xdr:rowOff>
    </xdr:from>
    <xdr:to>
      <xdr:col>5</xdr:col>
      <xdr:colOff>190500</xdr:colOff>
      <xdr:row>42</xdr:row>
      <xdr:rowOff>152400</xdr:rowOff>
    </xdr:to>
    <xdr:sp macro="" textlink="">
      <xdr:nvSpPr>
        <xdr:cNvPr id="2" name="Niet toegestaan-symbool 1">
          <a:extLst>
            <a:ext uri="{FF2B5EF4-FFF2-40B4-BE49-F238E27FC236}">
              <a16:creationId xmlns:a16="http://schemas.microsoft.com/office/drawing/2014/main" id="{C0070E82-77FA-4355-A82A-44E4297440E9}"/>
            </a:ext>
          </a:extLst>
        </xdr:cNvPr>
        <xdr:cNvSpPr/>
      </xdr:nvSpPr>
      <xdr:spPr>
        <a:xfrm>
          <a:off x="2200275" y="5295900"/>
          <a:ext cx="5486400" cy="1543050"/>
        </a:xfrm>
        <a:prstGeom prst="noSmoking">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solidFill>
              <a:schemeClr val="tx1"/>
            </a:solidFill>
          </a:endParaRPr>
        </a:p>
      </xdr:txBody>
    </xdr: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0"/>
  <sheetViews>
    <sheetView zoomScaleNormal="100" workbookViewId="0">
      <selection activeCell="E32" sqref="E32"/>
    </sheetView>
  </sheetViews>
  <sheetFormatPr defaultRowHeight="12.75" x14ac:dyDescent="0.2"/>
  <cols>
    <col min="1" max="1" width="2" style="18" bestFit="1" customWidth="1"/>
    <col min="2" max="2" width="66" style="18" bestFit="1" customWidth="1"/>
    <col min="3" max="3" width="20" style="18" customWidth="1"/>
    <col min="4" max="4" width="4.42578125" style="18" bestFit="1" customWidth="1"/>
    <col min="5" max="5" width="21.42578125" style="18" bestFit="1" customWidth="1"/>
    <col min="6" max="6" width="9.28515625" style="18" bestFit="1" customWidth="1"/>
    <col min="7" max="7" width="10" style="18" bestFit="1" customWidth="1"/>
    <col min="8" max="8" width="17.28515625" style="18" bestFit="1" customWidth="1"/>
    <col min="9" max="9" width="11.28515625" style="18" customWidth="1"/>
    <col min="10" max="10" width="16.140625" style="18" bestFit="1" customWidth="1"/>
    <col min="11" max="16384" width="9.140625" style="18"/>
  </cols>
  <sheetData>
    <row r="1" spans="1:10" x14ac:dyDescent="0.2">
      <c r="B1" s="23" t="s">
        <v>218</v>
      </c>
    </row>
    <row r="2" spans="1:10" x14ac:dyDescent="0.2">
      <c r="B2" s="94" t="s">
        <v>225</v>
      </c>
    </row>
    <row r="3" spans="1:10" x14ac:dyDescent="0.2">
      <c r="B3" s="23" t="s">
        <v>190</v>
      </c>
      <c r="C3" s="23" t="s">
        <v>191</v>
      </c>
      <c r="D3" s="23"/>
      <c r="E3" s="23" t="s">
        <v>216</v>
      </c>
      <c r="F3" s="23" t="s">
        <v>86</v>
      </c>
      <c r="G3" s="23" t="s">
        <v>87</v>
      </c>
      <c r="H3" s="23" t="s">
        <v>95</v>
      </c>
    </row>
    <row r="4" spans="1:10" s="77" customFormat="1" x14ac:dyDescent="0.2">
      <c r="A4" s="77">
        <v>1</v>
      </c>
      <c r="B4" s="90" t="s">
        <v>210</v>
      </c>
      <c r="C4" s="82">
        <v>152682557</v>
      </c>
      <c r="D4" s="82" t="s">
        <v>215</v>
      </c>
      <c r="E4" s="82">
        <v>161871381</v>
      </c>
      <c r="F4" s="87">
        <v>0.8125</v>
      </c>
      <c r="G4" s="83">
        <v>0.25</v>
      </c>
      <c r="H4" s="82">
        <f>ROUND((C4-E4)*F4/1000*G4,2)</f>
        <v>-1866.48</v>
      </c>
      <c r="J4" s="84">
        <f>C4-E4</f>
        <v>-9188824</v>
      </c>
    </row>
    <row r="5" spans="1:10" s="77" customFormat="1" x14ac:dyDescent="0.2">
      <c r="A5" s="77">
        <v>2</v>
      </c>
      <c r="B5" s="90" t="s">
        <v>193</v>
      </c>
      <c r="C5" s="84">
        <f>C4</f>
        <v>152682557</v>
      </c>
      <c r="D5" s="82" t="s">
        <v>215</v>
      </c>
      <c r="E5" s="84">
        <f>E4</f>
        <v>161871381</v>
      </c>
      <c r="F5" s="87">
        <v>0.8125</v>
      </c>
      <c r="G5" s="83">
        <v>0.2</v>
      </c>
      <c r="H5" s="82">
        <f t="shared" ref="H5:H9" si="0">ROUND((C5-E5)*F5/1000*G5,2)</f>
        <v>-1493.18</v>
      </c>
    </row>
    <row r="6" spans="1:10" s="77" customFormat="1" ht="25.5" x14ac:dyDescent="0.2">
      <c r="A6" s="77">
        <v>3</v>
      </c>
      <c r="B6" s="91" t="s">
        <v>211</v>
      </c>
      <c r="C6" s="84">
        <f>C5</f>
        <v>152682557</v>
      </c>
      <c r="D6" s="82" t="s">
        <v>215</v>
      </c>
      <c r="E6" s="84">
        <f t="shared" ref="E6:E9" si="1">E5</f>
        <v>161871381</v>
      </c>
      <c r="F6" s="87">
        <v>0.78125</v>
      </c>
      <c r="G6" s="83">
        <v>0.2</v>
      </c>
      <c r="H6" s="82">
        <f t="shared" si="0"/>
        <v>-1435.75</v>
      </c>
    </row>
    <row r="7" spans="1:10" s="77" customFormat="1" x14ac:dyDescent="0.2">
      <c r="A7" s="77">
        <v>4</v>
      </c>
      <c r="B7" s="90" t="s">
        <v>212</v>
      </c>
      <c r="C7" s="84">
        <f>C6</f>
        <v>152682557</v>
      </c>
      <c r="D7" s="82" t="s">
        <v>215</v>
      </c>
      <c r="E7" s="84">
        <f t="shared" si="1"/>
        <v>161871381</v>
      </c>
      <c r="F7" s="87">
        <v>0.64924999999999999</v>
      </c>
      <c r="G7" s="83">
        <v>0.15</v>
      </c>
      <c r="H7" s="82">
        <f t="shared" si="0"/>
        <v>-894.88</v>
      </c>
    </row>
    <row r="8" spans="1:10" s="77" customFormat="1" x14ac:dyDescent="0.2">
      <c r="A8" s="77">
        <v>5</v>
      </c>
      <c r="B8" s="90" t="s">
        <v>213</v>
      </c>
      <c r="C8" s="84">
        <f t="shared" ref="C8:C9" si="2">C7</f>
        <v>152682557</v>
      </c>
      <c r="D8" s="82" t="s">
        <v>215</v>
      </c>
      <c r="E8" s="84">
        <f t="shared" si="1"/>
        <v>161871381</v>
      </c>
      <c r="F8" s="87">
        <v>0.8125</v>
      </c>
      <c r="G8" s="83">
        <v>0.1</v>
      </c>
      <c r="H8" s="82">
        <f t="shared" si="0"/>
        <v>-746.59</v>
      </c>
    </row>
    <row r="9" spans="1:10" s="77" customFormat="1" x14ac:dyDescent="0.2">
      <c r="A9" s="77">
        <v>6</v>
      </c>
      <c r="B9" s="90" t="s">
        <v>214</v>
      </c>
      <c r="C9" s="84">
        <f t="shared" si="2"/>
        <v>152682557</v>
      </c>
      <c r="D9" s="82" t="s">
        <v>215</v>
      </c>
      <c r="E9" s="84">
        <f t="shared" si="1"/>
        <v>161871381</v>
      </c>
      <c r="F9" s="87">
        <v>0.90625</v>
      </c>
      <c r="G9" s="83">
        <v>0.1</v>
      </c>
      <c r="H9" s="85">
        <f t="shared" si="0"/>
        <v>-832.74</v>
      </c>
    </row>
    <row r="10" spans="1:10" x14ac:dyDescent="0.2">
      <c r="G10" s="20"/>
      <c r="H10" s="21">
        <f>SUM(H4:H9)</f>
        <v>-7269.62</v>
      </c>
    </row>
    <row r="11" spans="1:10" hidden="1" x14ac:dyDescent="0.2">
      <c r="G11" s="24" t="s">
        <v>88</v>
      </c>
      <c r="H11" s="19">
        <v>0</v>
      </c>
    </row>
    <row r="12" spans="1:10" x14ac:dyDescent="0.2">
      <c r="G12" s="24" t="s">
        <v>89</v>
      </c>
      <c r="H12" s="19">
        <f>ROUND((H10+H11)*21%,2)</f>
        <v>-1526.62</v>
      </c>
    </row>
    <row r="13" spans="1:10" ht="13.5" thickBot="1" x14ac:dyDescent="0.25">
      <c r="G13" s="24" t="s">
        <v>228</v>
      </c>
      <c r="H13" s="22">
        <f>SUM(H10:H12)</f>
        <v>-8796.24</v>
      </c>
    </row>
    <row r="14" spans="1:10" ht="13.5" thickTop="1" x14ac:dyDescent="0.2"/>
    <row r="15" spans="1:10" x14ac:dyDescent="0.2">
      <c r="B15" s="23" t="s">
        <v>226</v>
      </c>
    </row>
    <row r="16" spans="1:10" x14ac:dyDescent="0.2">
      <c r="B16" s="94" t="s">
        <v>224</v>
      </c>
    </row>
    <row r="17" spans="1:10" x14ac:dyDescent="0.2">
      <c r="B17" s="23" t="s">
        <v>190</v>
      </c>
      <c r="C17" s="23" t="s">
        <v>191</v>
      </c>
      <c r="D17" s="23"/>
      <c r="E17" s="23" t="s">
        <v>216</v>
      </c>
      <c r="F17" s="23" t="s">
        <v>86</v>
      </c>
      <c r="G17" s="23" t="s">
        <v>87</v>
      </c>
      <c r="H17" s="23" t="s">
        <v>95</v>
      </c>
    </row>
    <row r="18" spans="1:10" x14ac:dyDescent="0.2">
      <c r="B18" s="23"/>
      <c r="C18" s="23"/>
      <c r="D18" s="23"/>
      <c r="E18" s="23"/>
      <c r="F18" s="23"/>
      <c r="G18" s="23"/>
      <c r="H18" s="23" t="s">
        <v>227</v>
      </c>
    </row>
    <row r="19" spans="1:10" s="77" customFormat="1" x14ac:dyDescent="0.2">
      <c r="A19" s="77">
        <v>1</v>
      </c>
      <c r="B19" s="90" t="s">
        <v>210</v>
      </c>
      <c r="C19" s="82">
        <f>C33</f>
        <v>141883726</v>
      </c>
      <c r="D19" s="82" t="s">
        <v>215</v>
      </c>
      <c r="E19" s="82">
        <f>C4</f>
        <v>152682557</v>
      </c>
      <c r="F19" s="87">
        <v>0.8125</v>
      </c>
      <c r="G19" s="83">
        <v>0.25</v>
      </c>
      <c r="H19" s="82">
        <f>ROUND((C19-E19)*F19/1000*G19*252/360,2)</f>
        <v>-1535.46</v>
      </c>
      <c r="J19" s="84">
        <f>C19-E19</f>
        <v>-10798831</v>
      </c>
    </row>
    <row r="20" spans="1:10" s="77" customFormat="1" x14ac:dyDescent="0.2">
      <c r="A20" s="77">
        <v>2</v>
      </c>
      <c r="B20" s="90" t="s">
        <v>193</v>
      </c>
      <c r="C20" s="84">
        <f>C19</f>
        <v>141883726</v>
      </c>
      <c r="D20" s="82" t="s">
        <v>215</v>
      </c>
      <c r="E20" s="84">
        <f>E19</f>
        <v>152682557</v>
      </c>
      <c r="F20" s="87">
        <v>0.8125</v>
      </c>
      <c r="G20" s="83">
        <v>0.2</v>
      </c>
      <c r="H20" s="82">
        <f t="shared" ref="H20:H24" si="3">ROUND((C20-E20)*F20/1000*G20*252/360,2)</f>
        <v>-1228.3699999999999</v>
      </c>
    </row>
    <row r="21" spans="1:10" s="77" customFormat="1" ht="25.5" x14ac:dyDescent="0.2">
      <c r="A21" s="77">
        <v>3</v>
      </c>
      <c r="B21" s="91" t="s">
        <v>211</v>
      </c>
      <c r="C21" s="84">
        <f>C20</f>
        <v>141883726</v>
      </c>
      <c r="D21" s="82" t="s">
        <v>215</v>
      </c>
      <c r="E21" s="84">
        <f t="shared" ref="E21:E24" si="4">E20</f>
        <v>152682557</v>
      </c>
      <c r="F21" s="87">
        <v>0.78125</v>
      </c>
      <c r="G21" s="83">
        <v>0.2</v>
      </c>
      <c r="H21" s="82">
        <f t="shared" si="3"/>
        <v>-1181.1199999999999</v>
      </c>
    </row>
    <row r="22" spans="1:10" s="77" customFormat="1" x14ac:dyDescent="0.2">
      <c r="A22" s="77">
        <v>4</v>
      </c>
      <c r="B22" s="90" t="s">
        <v>212</v>
      </c>
      <c r="C22" s="84">
        <f>C21</f>
        <v>141883726</v>
      </c>
      <c r="D22" s="82" t="s">
        <v>215</v>
      </c>
      <c r="E22" s="84">
        <f t="shared" si="4"/>
        <v>152682557</v>
      </c>
      <c r="F22" s="87">
        <v>0.64924999999999999</v>
      </c>
      <c r="G22" s="83">
        <v>0.15</v>
      </c>
      <c r="H22" s="82">
        <f t="shared" si="3"/>
        <v>-736.17</v>
      </c>
    </row>
    <row r="23" spans="1:10" s="77" customFormat="1" x14ac:dyDescent="0.2">
      <c r="A23" s="77">
        <v>5</v>
      </c>
      <c r="B23" s="90" t="s">
        <v>213</v>
      </c>
      <c r="C23" s="84">
        <f t="shared" ref="C23:C24" si="5">C22</f>
        <v>141883726</v>
      </c>
      <c r="D23" s="82" t="s">
        <v>215</v>
      </c>
      <c r="E23" s="84">
        <f t="shared" si="4"/>
        <v>152682557</v>
      </c>
      <c r="F23" s="87">
        <v>0.8125</v>
      </c>
      <c r="G23" s="83">
        <v>0.1</v>
      </c>
      <c r="H23" s="82">
        <f t="shared" si="3"/>
        <v>-614.17999999999995</v>
      </c>
    </row>
    <row r="24" spans="1:10" s="77" customFormat="1" x14ac:dyDescent="0.2">
      <c r="A24" s="77">
        <v>6</v>
      </c>
      <c r="B24" s="90" t="s">
        <v>214</v>
      </c>
      <c r="C24" s="84">
        <f t="shared" si="5"/>
        <v>141883726</v>
      </c>
      <c r="D24" s="82" t="s">
        <v>215</v>
      </c>
      <c r="E24" s="84">
        <f t="shared" si="4"/>
        <v>152682557</v>
      </c>
      <c r="F24" s="87">
        <v>0.90625</v>
      </c>
      <c r="G24" s="83">
        <v>0.1</v>
      </c>
      <c r="H24" s="85">
        <f t="shared" si="3"/>
        <v>-685.05</v>
      </c>
    </row>
    <row r="25" spans="1:10" x14ac:dyDescent="0.2">
      <c r="G25" s="20"/>
      <c r="H25" s="21">
        <f>SUM(H19:H24)</f>
        <v>-5980.35</v>
      </c>
    </row>
    <row r="26" spans="1:10" hidden="1" x14ac:dyDescent="0.2">
      <c r="G26" s="24" t="s">
        <v>88</v>
      </c>
      <c r="H26" s="19">
        <v>0</v>
      </c>
    </row>
    <row r="27" spans="1:10" x14ac:dyDescent="0.2">
      <c r="G27" s="24" t="s">
        <v>89</v>
      </c>
      <c r="H27" s="19">
        <f>ROUND((H25+H26)*21%,2)</f>
        <v>-1255.8699999999999</v>
      </c>
    </row>
    <row r="28" spans="1:10" ht="13.5" thickBot="1" x14ac:dyDescent="0.25">
      <c r="G28" s="24" t="s">
        <v>228</v>
      </c>
      <c r="H28" s="22">
        <f>SUM(H25:H27)</f>
        <v>-7236.22</v>
      </c>
    </row>
    <row r="29" spans="1:10" ht="13.5" thickTop="1" x14ac:dyDescent="0.2">
      <c r="G29" s="24"/>
      <c r="H29" s="95"/>
    </row>
    <row r="30" spans="1:10" ht="13.5" thickBot="1" x14ac:dyDescent="0.25">
      <c r="G30" s="24" t="s">
        <v>229</v>
      </c>
      <c r="H30" s="96">
        <f>H13+H28</f>
        <v>-16032.46</v>
      </c>
    </row>
    <row r="31" spans="1:10" ht="13.5" thickTop="1" x14ac:dyDescent="0.2">
      <c r="B31" s="23" t="s">
        <v>217</v>
      </c>
    </row>
    <row r="32" spans="1:10" x14ac:dyDescent="0.2">
      <c r="B32" s="23" t="s">
        <v>190</v>
      </c>
      <c r="C32" s="23" t="s">
        <v>191</v>
      </c>
      <c r="D32" s="23"/>
      <c r="E32" s="23"/>
      <c r="F32" s="23" t="s">
        <v>86</v>
      </c>
      <c r="G32" s="23" t="s">
        <v>87</v>
      </c>
      <c r="H32" s="23" t="s">
        <v>95</v>
      </c>
    </row>
    <row r="33" spans="1:10" s="77" customFormat="1" x14ac:dyDescent="0.2">
      <c r="A33" s="77">
        <v>1</v>
      </c>
      <c r="B33" s="90" t="s">
        <v>210</v>
      </c>
      <c r="C33" s="82">
        <f>specificatie!R67</f>
        <v>141883726</v>
      </c>
      <c r="D33" s="82"/>
      <c r="E33" s="82"/>
      <c r="F33" s="87">
        <v>0.8125</v>
      </c>
      <c r="G33" s="83">
        <v>0.25</v>
      </c>
      <c r="H33" s="82">
        <f>ROUND(C33*F33/1000*G33,2)</f>
        <v>28820.13</v>
      </c>
    </row>
    <row r="34" spans="1:10" s="77" customFormat="1" x14ac:dyDescent="0.2">
      <c r="A34" s="77">
        <v>2</v>
      </c>
      <c r="B34" s="90" t="s">
        <v>193</v>
      </c>
      <c r="C34" s="84">
        <f>C33</f>
        <v>141883726</v>
      </c>
      <c r="D34" s="84"/>
      <c r="E34" s="84"/>
      <c r="F34" s="87">
        <v>0.8125</v>
      </c>
      <c r="G34" s="83">
        <v>0.2</v>
      </c>
      <c r="H34" s="82">
        <f>ROUND(C34*F34/1000*G34,2)</f>
        <v>23056.11</v>
      </c>
    </row>
    <row r="35" spans="1:10" s="77" customFormat="1" ht="25.5" x14ac:dyDescent="0.2">
      <c r="A35" s="77">
        <v>3</v>
      </c>
      <c r="B35" s="91" t="s">
        <v>211</v>
      </c>
      <c r="C35" s="84">
        <f>C34</f>
        <v>141883726</v>
      </c>
      <c r="D35" s="84"/>
      <c r="E35" s="84"/>
      <c r="F35" s="87">
        <v>0.78125</v>
      </c>
      <c r="G35" s="83">
        <v>0.2</v>
      </c>
      <c r="H35" s="82">
        <f>ROUND(C35*F35/1000*G35,2)</f>
        <v>22169.33</v>
      </c>
    </row>
    <row r="36" spans="1:10" s="77" customFormat="1" x14ac:dyDescent="0.2">
      <c r="A36" s="77">
        <v>4</v>
      </c>
      <c r="B36" s="90" t="s">
        <v>212</v>
      </c>
      <c r="C36" s="84">
        <f>C35</f>
        <v>141883726</v>
      </c>
      <c r="D36" s="84"/>
      <c r="E36" s="84"/>
      <c r="F36" s="87">
        <v>0.64924999999999999</v>
      </c>
      <c r="G36" s="83">
        <v>0.15</v>
      </c>
      <c r="H36" s="86">
        <f>ROUND(C36*F36/1000*G36,2)</f>
        <v>13817.7</v>
      </c>
    </row>
    <row r="37" spans="1:10" s="77" customFormat="1" x14ac:dyDescent="0.2">
      <c r="A37" s="77">
        <v>5</v>
      </c>
      <c r="B37" s="90" t="s">
        <v>213</v>
      </c>
      <c r="C37" s="84">
        <f t="shared" ref="C37:C38" si="6">C36</f>
        <v>141883726</v>
      </c>
      <c r="D37" s="84"/>
      <c r="E37" s="84"/>
      <c r="F37" s="87">
        <v>0.8125</v>
      </c>
      <c r="G37" s="83">
        <v>0.1</v>
      </c>
      <c r="H37" s="86">
        <f t="shared" ref="H37:H38" si="7">ROUND(C37*F37/1000*G37,2)</f>
        <v>11528.05</v>
      </c>
    </row>
    <row r="38" spans="1:10" s="77" customFormat="1" x14ac:dyDescent="0.2">
      <c r="A38" s="77">
        <v>6</v>
      </c>
      <c r="B38" s="90" t="s">
        <v>214</v>
      </c>
      <c r="C38" s="84">
        <f t="shared" si="6"/>
        <v>141883726</v>
      </c>
      <c r="D38" s="84"/>
      <c r="E38" s="84"/>
      <c r="F38" s="87">
        <v>0.90625</v>
      </c>
      <c r="G38" s="83">
        <v>0.1</v>
      </c>
      <c r="H38" s="85">
        <f t="shared" si="7"/>
        <v>12858.21</v>
      </c>
    </row>
    <row r="39" spans="1:10" x14ac:dyDescent="0.2">
      <c r="G39" s="20"/>
      <c r="H39" s="21">
        <f>SUM(H33:H38)</f>
        <v>112249.53</v>
      </c>
      <c r="J39" s="18">
        <f>H39/C38*1000</f>
        <v>0.79113745575021055</v>
      </c>
    </row>
    <row r="40" spans="1:10" x14ac:dyDescent="0.2">
      <c r="G40" s="24" t="s">
        <v>88</v>
      </c>
      <c r="H40" s="19">
        <v>7.5</v>
      </c>
    </row>
    <row r="41" spans="1:10" x14ac:dyDescent="0.2">
      <c r="G41" s="24" t="s">
        <v>89</v>
      </c>
      <c r="H41" s="19">
        <f>ROUND((H39+H40)*21%,2)</f>
        <v>23573.98</v>
      </c>
    </row>
    <row r="42" spans="1:10" ht="13.5" thickBot="1" x14ac:dyDescent="0.25">
      <c r="G42" s="24" t="s">
        <v>90</v>
      </c>
      <c r="H42" s="22">
        <f>SUM(H39:H41)</f>
        <v>135831.01</v>
      </c>
    </row>
    <row r="43" spans="1:10" ht="13.5" thickTop="1" x14ac:dyDescent="0.2"/>
    <row r="50" spans="2:3" ht="15" x14ac:dyDescent="0.25">
      <c r="B50" s="2" t="s">
        <v>123</v>
      </c>
      <c r="C50" s="2" t="s">
        <v>122</v>
      </c>
    </row>
  </sheetData>
  <phoneticPr fontId="5" type="noConversion"/>
  <pageMargins left="0.74803149606299213" right="0.74803149606299213" top="1.7716535433070868" bottom="0.98425196850393704" header="0.51181102362204722" footer="0.70866141732283472"/>
  <pageSetup paperSize="9" scale="83" orientation="landscape"/>
  <headerFooter alignWithMargins="0">
    <oddFooter>&amp;L&amp;F &amp;A&amp;C&amp;P&amp;R&amp;D</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73"/>
  <sheetViews>
    <sheetView tabSelected="1" zoomScaleNormal="100" workbookViewId="0">
      <selection activeCell="P65" sqref="P65"/>
    </sheetView>
  </sheetViews>
  <sheetFormatPr defaultRowHeight="15" x14ac:dyDescent="0.25"/>
  <cols>
    <col min="1" max="1" width="50.140625" style="1" customWidth="1"/>
    <col min="2" max="2" width="29.42578125" style="1" customWidth="1"/>
    <col min="3" max="3" width="9.140625" style="1" bestFit="1"/>
    <col min="4" max="4" width="18.42578125" style="1" bestFit="1" customWidth="1"/>
    <col min="5" max="5" width="18.7109375" style="1" hidden="1" customWidth="1"/>
    <col min="6" max="8" width="22.42578125" style="1" hidden="1" customWidth="1"/>
    <col min="9" max="9" width="10" style="33" bestFit="1" customWidth="1"/>
    <col min="10" max="15" width="22.42578125" style="1" hidden="1" customWidth="1"/>
    <col min="16" max="16" width="22.42578125" style="1" customWidth="1"/>
    <col min="17" max="17" width="22" style="1" bestFit="1" customWidth="1"/>
    <col min="18" max="18" width="23.7109375" style="1" bestFit="1" customWidth="1"/>
    <col min="19" max="19" width="16.5703125" style="44" customWidth="1"/>
    <col min="20" max="20" width="43" style="1" customWidth="1"/>
    <col min="21" max="21" width="27.7109375" style="1" customWidth="1"/>
    <col min="22" max="16384" width="9.140625" style="1"/>
  </cols>
  <sheetData>
    <row r="1" spans="1:20" x14ac:dyDescent="0.25">
      <c r="A1" s="7" t="s">
        <v>1</v>
      </c>
      <c r="B1" s="8" t="s">
        <v>2</v>
      </c>
      <c r="C1" s="8" t="s">
        <v>38</v>
      </c>
      <c r="D1" s="8" t="s">
        <v>99</v>
      </c>
      <c r="E1" s="8" t="s">
        <v>4</v>
      </c>
      <c r="F1" s="8" t="s">
        <v>100</v>
      </c>
      <c r="G1" s="8" t="s">
        <v>100</v>
      </c>
      <c r="H1" s="8" t="s">
        <v>100</v>
      </c>
      <c r="I1" s="8" t="s">
        <v>125</v>
      </c>
      <c r="J1" s="8" t="s">
        <v>100</v>
      </c>
      <c r="K1" s="8" t="s">
        <v>100</v>
      </c>
      <c r="L1" s="8" t="s">
        <v>100</v>
      </c>
      <c r="M1" s="8" t="s">
        <v>100</v>
      </c>
      <c r="N1" s="8" t="s">
        <v>100</v>
      </c>
      <c r="O1" s="8" t="s">
        <v>100</v>
      </c>
      <c r="P1" s="8" t="s">
        <v>100</v>
      </c>
      <c r="Q1" s="8" t="s">
        <v>5</v>
      </c>
      <c r="R1" s="9" t="s">
        <v>37</v>
      </c>
    </row>
    <row r="2" spans="1:20" x14ac:dyDescent="0.25">
      <c r="A2" s="10"/>
      <c r="B2" s="11"/>
      <c r="C2" s="11"/>
      <c r="D2" s="11"/>
      <c r="E2" s="11"/>
      <c r="F2" s="11" t="s">
        <v>83</v>
      </c>
      <c r="G2" s="11" t="s">
        <v>91</v>
      </c>
      <c r="H2" s="11" t="s">
        <v>118</v>
      </c>
      <c r="I2" s="11"/>
      <c r="J2" s="11" t="s">
        <v>118</v>
      </c>
      <c r="K2" s="11" t="s">
        <v>140</v>
      </c>
      <c r="L2" s="11" t="s">
        <v>156</v>
      </c>
      <c r="M2" s="11" t="s">
        <v>168</v>
      </c>
      <c r="N2" s="11" t="s">
        <v>181</v>
      </c>
      <c r="O2" s="11" t="s">
        <v>188</v>
      </c>
      <c r="P2" s="11" t="s">
        <v>207</v>
      </c>
      <c r="Q2" s="11"/>
      <c r="R2" s="32" t="s">
        <v>207</v>
      </c>
    </row>
    <row r="3" spans="1:20" ht="15.75" thickBot="1" x14ac:dyDescent="0.3">
      <c r="A3" s="12"/>
      <c r="B3" s="13"/>
      <c r="C3" s="13"/>
      <c r="D3" s="13"/>
      <c r="E3" s="13"/>
      <c r="F3" s="13" t="s">
        <v>84</v>
      </c>
      <c r="G3" s="13" t="s">
        <v>92</v>
      </c>
      <c r="H3" s="13" t="s">
        <v>121</v>
      </c>
      <c r="I3" s="42"/>
      <c r="J3" s="13" t="s">
        <v>124</v>
      </c>
      <c r="K3" s="13" t="s">
        <v>143</v>
      </c>
      <c r="L3" s="13" t="s">
        <v>157</v>
      </c>
      <c r="M3" s="13" t="s">
        <v>169</v>
      </c>
      <c r="N3" s="13" t="s">
        <v>182</v>
      </c>
      <c r="O3" s="13" t="s">
        <v>189</v>
      </c>
      <c r="P3" s="13" t="s">
        <v>208</v>
      </c>
      <c r="Q3" s="13"/>
      <c r="R3" s="14"/>
    </row>
    <row r="4" spans="1:20" s="27" customFormat="1" x14ac:dyDescent="0.25">
      <c r="A4" s="26" t="s">
        <v>46</v>
      </c>
      <c r="B4" s="26"/>
      <c r="C4" s="26"/>
      <c r="D4" s="26"/>
      <c r="E4" s="26"/>
      <c r="F4" s="26"/>
      <c r="G4" s="26"/>
      <c r="H4" s="26"/>
      <c r="I4" s="43"/>
      <c r="J4" s="26"/>
      <c r="K4" s="26"/>
      <c r="L4" s="26"/>
      <c r="M4" s="26"/>
      <c r="N4" s="26"/>
      <c r="O4" s="26"/>
      <c r="P4" s="26"/>
      <c r="Q4" s="26"/>
      <c r="R4" s="26"/>
      <c r="S4" s="45"/>
    </row>
    <row r="5" spans="1:20" x14ac:dyDescent="0.25">
      <c r="A5" s="2" t="s">
        <v>14</v>
      </c>
      <c r="B5" s="2" t="s">
        <v>15</v>
      </c>
      <c r="C5" s="2" t="s">
        <v>66</v>
      </c>
      <c r="D5" s="2" t="s">
        <v>9</v>
      </c>
      <c r="E5" s="3">
        <v>5343699.3499999996</v>
      </c>
      <c r="F5" s="3">
        <f>ROUND(E5/113.8*117.8,0)</f>
        <v>5531527</v>
      </c>
      <c r="G5" s="3">
        <f>ROUND(F5/117.8*118.8,0)</f>
        <v>5578484</v>
      </c>
      <c r="H5" s="3">
        <f>ROUND(G5/118.8*120.2,0)</f>
        <v>5644224</v>
      </c>
      <c r="I5" s="3" t="s">
        <v>126</v>
      </c>
      <c r="J5" s="3">
        <v>5687000</v>
      </c>
      <c r="K5" s="3">
        <f>J5</f>
        <v>5687000</v>
      </c>
      <c r="L5" s="3">
        <f t="shared" ref="L5:L44" si="0">ROUND(K5/123.1*125.8,0)</f>
        <v>5811735</v>
      </c>
      <c r="M5" s="3">
        <f t="shared" ref="M5:M44" si="1">ROUND(L5/125.8*134.2,0)</f>
        <v>6199800</v>
      </c>
      <c r="N5" s="3">
        <f>ROUND(M5/134.2*144.3,0)</f>
        <v>6666402</v>
      </c>
      <c r="O5" s="3">
        <f>ROUND(N5/144.3*151.5,0)</f>
        <v>6999029</v>
      </c>
      <c r="P5" s="3">
        <f>ROUND(O5/151.5*159.8,0)</f>
        <v>7382474</v>
      </c>
      <c r="Q5" s="3"/>
      <c r="R5" s="5">
        <f>P5+Q5</f>
        <v>7382474</v>
      </c>
      <c r="S5" s="44" t="s">
        <v>44</v>
      </c>
    </row>
    <row r="6" spans="1:20" x14ac:dyDescent="0.25">
      <c r="A6" s="2" t="s">
        <v>16</v>
      </c>
      <c r="B6" s="2" t="s">
        <v>15</v>
      </c>
      <c r="C6" s="2" t="s">
        <v>66</v>
      </c>
      <c r="D6" s="2" t="s">
        <v>9</v>
      </c>
      <c r="E6" s="3"/>
      <c r="F6" s="3"/>
      <c r="G6" s="3"/>
      <c r="H6" s="3"/>
      <c r="I6" s="3"/>
      <c r="J6" s="3"/>
      <c r="K6" s="3"/>
      <c r="L6" s="3">
        <f t="shared" si="0"/>
        <v>0</v>
      </c>
      <c r="M6" s="3">
        <f t="shared" si="1"/>
        <v>0</v>
      </c>
      <c r="N6" s="3">
        <f t="shared" ref="N6:N44" si="2">ROUND(M6/134.2*144.3,0)</f>
        <v>0</v>
      </c>
      <c r="O6" s="3">
        <f t="shared" ref="O6:O44" si="3">ROUND(N6/144.3*151.5,0)</f>
        <v>0</v>
      </c>
      <c r="P6" s="3">
        <f t="shared" ref="P6:P44" si="4">ROUND(O6/151.5*159.8,0)</f>
        <v>0</v>
      </c>
      <c r="Q6" s="5">
        <v>300000</v>
      </c>
      <c r="R6" s="5">
        <f t="shared" ref="R6:R44" si="5">P6+Q6</f>
        <v>300000</v>
      </c>
      <c r="T6" s="33"/>
    </row>
    <row r="7" spans="1:20" x14ac:dyDescent="0.25">
      <c r="A7" s="2" t="s">
        <v>102</v>
      </c>
      <c r="B7" s="2" t="s">
        <v>183</v>
      </c>
      <c r="C7" s="2" t="s">
        <v>69</v>
      </c>
      <c r="D7" s="2" t="s">
        <v>9</v>
      </c>
      <c r="E7" s="3">
        <v>304980.39</v>
      </c>
      <c r="F7" s="3">
        <f>ROUND(E7/113.8*117.8,0)</f>
        <v>315700</v>
      </c>
      <c r="G7" s="3">
        <f>ROUND(F7/117.8*118.8,0)</f>
        <v>318380</v>
      </c>
      <c r="H7" s="3">
        <f>ROUND(G7/118.8*120.2,0)</f>
        <v>322132</v>
      </c>
      <c r="I7" s="3" t="s">
        <v>126</v>
      </c>
      <c r="J7" s="3">
        <v>350900</v>
      </c>
      <c r="K7" s="3">
        <f t="shared" ref="K7:K17" si="6">J7</f>
        <v>350900</v>
      </c>
      <c r="L7" s="3">
        <f t="shared" si="0"/>
        <v>358596</v>
      </c>
      <c r="M7" s="3">
        <f t="shared" si="1"/>
        <v>382540</v>
      </c>
      <c r="N7" s="3">
        <f t="shared" si="2"/>
        <v>411330</v>
      </c>
      <c r="O7" s="3">
        <f t="shared" si="3"/>
        <v>431854</v>
      </c>
      <c r="P7" s="3">
        <f t="shared" si="4"/>
        <v>455513</v>
      </c>
      <c r="Q7" s="3"/>
      <c r="R7" s="5">
        <f t="shared" si="5"/>
        <v>455513</v>
      </c>
      <c r="T7" s="67" t="s">
        <v>170</v>
      </c>
    </row>
    <row r="8" spans="1:20" s="25" customFormat="1" ht="105" x14ac:dyDescent="0.25">
      <c r="A8" s="61" t="s">
        <v>17</v>
      </c>
      <c r="B8" s="88" t="s">
        <v>201</v>
      </c>
      <c r="C8" s="69" t="s">
        <v>66</v>
      </c>
      <c r="D8" s="69" t="s">
        <v>200</v>
      </c>
      <c r="E8" s="3"/>
      <c r="F8" s="3">
        <f>ROUND(E8/113.8*117.8,0)</f>
        <v>0</v>
      </c>
      <c r="G8" s="3">
        <f>ROUND(F8/117.8*118.8,0)</f>
        <v>0</v>
      </c>
      <c r="H8" s="4">
        <f>ROUND(G8/118.8*120.2,0)</f>
        <v>0</v>
      </c>
      <c r="I8" s="4" t="s">
        <v>127</v>
      </c>
      <c r="J8" s="3">
        <f>ROUND(H8/120.2*121,0)</f>
        <v>0</v>
      </c>
      <c r="K8" s="3">
        <f t="shared" si="6"/>
        <v>0</v>
      </c>
      <c r="L8" s="3">
        <f t="shared" si="0"/>
        <v>0</v>
      </c>
      <c r="M8" s="3">
        <f t="shared" si="1"/>
        <v>0</v>
      </c>
      <c r="N8" s="3">
        <f t="shared" si="2"/>
        <v>0</v>
      </c>
      <c r="O8" s="3">
        <f t="shared" si="3"/>
        <v>0</v>
      </c>
      <c r="P8" s="3">
        <f t="shared" si="4"/>
        <v>0</v>
      </c>
      <c r="Q8" s="4">
        <v>25410</v>
      </c>
      <c r="R8" s="5">
        <f t="shared" si="5"/>
        <v>25410</v>
      </c>
      <c r="S8" s="44"/>
      <c r="T8" s="68" t="s">
        <v>171</v>
      </c>
    </row>
    <row r="9" spans="1:20" s="25" customFormat="1" x14ac:dyDescent="0.25">
      <c r="A9" s="2" t="s">
        <v>96</v>
      </c>
      <c r="B9" s="2" t="s">
        <v>13</v>
      </c>
      <c r="C9" s="2" t="s">
        <v>65</v>
      </c>
      <c r="D9" s="2" t="s">
        <v>9</v>
      </c>
      <c r="E9" s="3"/>
      <c r="F9" s="2"/>
      <c r="G9" s="2"/>
      <c r="H9" s="3"/>
      <c r="I9" s="3"/>
      <c r="J9" s="3">
        <f>ROUND(H9/120.2*121,0)</f>
        <v>0</v>
      </c>
      <c r="K9" s="3">
        <f t="shared" si="6"/>
        <v>0</v>
      </c>
      <c r="L9" s="3">
        <f t="shared" si="0"/>
        <v>0</v>
      </c>
      <c r="M9" s="3">
        <f t="shared" si="1"/>
        <v>0</v>
      </c>
      <c r="N9" s="3">
        <f t="shared" si="2"/>
        <v>0</v>
      </c>
      <c r="O9" s="3">
        <f t="shared" si="3"/>
        <v>0</v>
      </c>
      <c r="P9" s="3">
        <f t="shared" si="4"/>
        <v>0</v>
      </c>
      <c r="Q9" s="3">
        <v>165000</v>
      </c>
      <c r="R9" s="5">
        <f t="shared" si="5"/>
        <v>165000</v>
      </c>
      <c r="S9" s="44"/>
      <c r="T9" s="93" t="s">
        <v>222</v>
      </c>
    </row>
    <row r="10" spans="1:20" s="25" customFormat="1" x14ac:dyDescent="0.25">
      <c r="A10" s="2" t="s">
        <v>41</v>
      </c>
      <c r="B10" s="2" t="s">
        <v>50</v>
      </c>
      <c r="C10" s="2" t="s">
        <v>65</v>
      </c>
      <c r="D10" s="2" t="s">
        <v>9</v>
      </c>
      <c r="E10" s="3"/>
      <c r="F10" s="3">
        <f>ROUND(E10/113.8*117.8,0)</f>
        <v>0</v>
      </c>
      <c r="G10" s="3">
        <f t="shared" ref="G10:G14" si="7">ROUND(F10/117.8*118.8,0)</f>
        <v>0</v>
      </c>
      <c r="H10" s="28"/>
      <c r="I10" s="3"/>
      <c r="J10" s="3">
        <f>ROUND(H10/120.2*121,0)</f>
        <v>0</v>
      </c>
      <c r="K10" s="3">
        <f t="shared" si="6"/>
        <v>0</v>
      </c>
      <c r="L10" s="3">
        <f t="shared" si="0"/>
        <v>0</v>
      </c>
      <c r="M10" s="3">
        <f t="shared" si="1"/>
        <v>0</v>
      </c>
      <c r="N10" s="3">
        <f t="shared" si="2"/>
        <v>0</v>
      </c>
      <c r="O10" s="3">
        <f t="shared" si="3"/>
        <v>0</v>
      </c>
      <c r="P10" s="3">
        <f t="shared" si="4"/>
        <v>0</v>
      </c>
      <c r="Q10" s="28">
        <v>3000</v>
      </c>
      <c r="R10" s="5">
        <f t="shared" si="5"/>
        <v>3000</v>
      </c>
      <c r="S10" s="44"/>
    </row>
    <row r="11" spans="1:20" x14ac:dyDescent="0.25">
      <c r="A11" s="2" t="s">
        <v>105</v>
      </c>
      <c r="B11" s="2" t="s">
        <v>106</v>
      </c>
      <c r="C11" s="2" t="s">
        <v>73</v>
      </c>
      <c r="D11" s="2" t="s">
        <v>9</v>
      </c>
      <c r="E11" s="3">
        <v>95294</v>
      </c>
      <c r="F11" s="3">
        <f>ROUND(E11/113.8*117.8,0)</f>
        <v>98644</v>
      </c>
      <c r="G11" s="3">
        <f t="shared" si="7"/>
        <v>99481</v>
      </c>
      <c r="H11" s="3">
        <f>ROUND(G11/118.8*120.2,0)</f>
        <v>100653</v>
      </c>
      <c r="I11" s="3" t="s">
        <v>126</v>
      </c>
      <c r="J11" s="3">
        <v>229900</v>
      </c>
      <c r="K11" s="3">
        <f t="shared" si="6"/>
        <v>229900</v>
      </c>
      <c r="L11" s="3">
        <f t="shared" si="0"/>
        <v>234942</v>
      </c>
      <c r="M11" s="3">
        <f t="shared" si="1"/>
        <v>250630</v>
      </c>
      <c r="N11" s="3">
        <f t="shared" si="2"/>
        <v>269493</v>
      </c>
      <c r="O11" s="3">
        <f t="shared" si="3"/>
        <v>282940</v>
      </c>
      <c r="P11" s="3">
        <f t="shared" si="4"/>
        <v>298441</v>
      </c>
      <c r="Q11" s="3"/>
      <c r="R11" s="5">
        <f t="shared" si="5"/>
        <v>298441</v>
      </c>
      <c r="T11" s="25"/>
    </row>
    <row r="12" spans="1:20" x14ac:dyDescent="0.25">
      <c r="A12" s="2" t="s">
        <v>167</v>
      </c>
      <c r="B12" s="2" t="s">
        <v>49</v>
      </c>
      <c r="C12" s="2" t="s">
        <v>59</v>
      </c>
      <c r="D12" s="2" t="s">
        <v>9</v>
      </c>
      <c r="E12" s="3">
        <v>584797.39</v>
      </c>
      <c r="F12" s="3">
        <f>ROUND(E12/113.8*117.8,0)</f>
        <v>605353</v>
      </c>
      <c r="G12" s="3">
        <f t="shared" si="7"/>
        <v>610492</v>
      </c>
      <c r="H12" s="3">
        <f>ROUND(G12/118.8*120.2,0)</f>
        <v>617686</v>
      </c>
      <c r="I12" s="3" t="s">
        <v>126</v>
      </c>
      <c r="J12" s="3">
        <v>765204</v>
      </c>
      <c r="K12" s="3">
        <f t="shared" si="6"/>
        <v>765204</v>
      </c>
      <c r="L12" s="3">
        <f t="shared" si="0"/>
        <v>781988</v>
      </c>
      <c r="M12" s="3">
        <f t="shared" si="1"/>
        <v>834203</v>
      </c>
      <c r="N12" s="3">
        <f t="shared" si="2"/>
        <v>896986</v>
      </c>
      <c r="O12" s="3">
        <f t="shared" si="3"/>
        <v>941742</v>
      </c>
      <c r="P12" s="3">
        <f t="shared" si="4"/>
        <v>993336</v>
      </c>
      <c r="Q12" s="3"/>
      <c r="R12" s="5">
        <f t="shared" si="5"/>
        <v>993336</v>
      </c>
      <c r="T12" s="70" t="s">
        <v>172</v>
      </c>
    </row>
    <row r="13" spans="1:20" x14ac:dyDescent="0.25">
      <c r="A13" s="2" t="s">
        <v>8</v>
      </c>
      <c r="B13" s="2" t="s">
        <v>18</v>
      </c>
      <c r="C13" s="2" t="s">
        <v>59</v>
      </c>
      <c r="D13" s="2" t="s">
        <v>9</v>
      </c>
      <c r="E13" s="3">
        <v>434823.53</v>
      </c>
      <c r="F13" s="3">
        <f>ROUND(E13/113.8*117.8,0)</f>
        <v>450107</v>
      </c>
      <c r="G13" s="3">
        <f t="shared" si="7"/>
        <v>453928</v>
      </c>
      <c r="H13" s="3">
        <f>ROUND(G13/118.8*120.2,0)</f>
        <v>459277</v>
      </c>
      <c r="I13" s="3" t="s">
        <v>128</v>
      </c>
      <c r="J13" s="3">
        <v>468996</v>
      </c>
      <c r="K13" s="3">
        <f t="shared" si="6"/>
        <v>468996</v>
      </c>
      <c r="L13" s="3">
        <f t="shared" si="0"/>
        <v>479283</v>
      </c>
      <c r="M13" s="3">
        <f t="shared" si="1"/>
        <v>511286</v>
      </c>
      <c r="N13" s="3">
        <f t="shared" si="2"/>
        <v>549766</v>
      </c>
      <c r="O13" s="3">
        <f t="shared" si="3"/>
        <v>577197</v>
      </c>
      <c r="P13" s="3">
        <f t="shared" si="4"/>
        <v>608819</v>
      </c>
      <c r="Q13" s="3">
        <v>8470</v>
      </c>
      <c r="R13" s="5">
        <f t="shared" si="5"/>
        <v>617289</v>
      </c>
      <c r="T13" s="49"/>
    </row>
    <row r="14" spans="1:20" x14ac:dyDescent="0.25">
      <c r="A14" s="2" t="s">
        <v>53</v>
      </c>
      <c r="B14" s="2" t="s">
        <v>54</v>
      </c>
      <c r="C14" s="2" t="s">
        <v>70</v>
      </c>
      <c r="D14" s="2" t="s">
        <v>9</v>
      </c>
      <c r="E14" s="3">
        <v>271000</v>
      </c>
      <c r="F14" s="3">
        <v>169400</v>
      </c>
      <c r="G14" s="3">
        <f t="shared" si="7"/>
        <v>170838</v>
      </c>
      <c r="H14" s="3">
        <f>ROUND(G14/118.8*120.2,0)</f>
        <v>172851</v>
      </c>
      <c r="I14" s="3" t="s">
        <v>126</v>
      </c>
      <c r="J14" s="3">
        <v>145200</v>
      </c>
      <c r="K14" s="3">
        <f t="shared" si="6"/>
        <v>145200</v>
      </c>
      <c r="L14" s="3">
        <f t="shared" si="0"/>
        <v>148385</v>
      </c>
      <c r="M14" s="3">
        <f t="shared" si="1"/>
        <v>158293</v>
      </c>
      <c r="N14" s="3">
        <f t="shared" si="2"/>
        <v>170206</v>
      </c>
      <c r="O14" s="3">
        <f t="shared" si="3"/>
        <v>178699</v>
      </c>
      <c r="P14" s="3">
        <f t="shared" si="4"/>
        <v>188489</v>
      </c>
      <c r="Q14" s="3"/>
      <c r="R14" s="5">
        <f t="shared" si="5"/>
        <v>188489</v>
      </c>
      <c r="S14" s="44" t="s">
        <v>44</v>
      </c>
    </row>
    <row r="15" spans="1:20" x14ac:dyDescent="0.25">
      <c r="A15" s="2" t="s">
        <v>129</v>
      </c>
      <c r="B15" s="2" t="s">
        <v>19</v>
      </c>
      <c r="C15" s="2" t="s">
        <v>63</v>
      </c>
      <c r="D15" s="2" t="s">
        <v>9</v>
      </c>
      <c r="E15" s="3">
        <v>6012039.2199999997</v>
      </c>
      <c r="F15" s="3">
        <f>ROUND(E15/113.8*117.8,0)</f>
        <v>6223359</v>
      </c>
      <c r="G15" s="3"/>
      <c r="H15" s="3">
        <v>4991250</v>
      </c>
      <c r="I15" s="3" t="s">
        <v>128</v>
      </c>
      <c r="J15" s="3">
        <v>6594500</v>
      </c>
      <c r="K15" s="3">
        <f t="shared" si="6"/>
        <v>6594500</v>
      </c>
      <c r="L15" s="3">
        <f t="shared" si="0"/>
        <v>6739140</v>
      </c>
      <c r="M15" s="3">
        <f t="shared" si="1"/>
        <v>7189130</v>
      </c>
      <c r="N15" s="3">
        <f t="shared" si="2"/>
        <v>7730190</v>
      </c>
      <c r="O15" s="3">
        <f t="shared" si="3"/>
        <v>8115896</v>
      </c>
      <c r="P15" s="3">
        <f t="shared" si="4"/>
        <v>8560529</v>
      </c>
      <c r="Q15" s="3">
        <v>277090</v>
      </c>
      <c r="R15" s="5">
        <f t="shared" si="5"/>
        <v>8837619</v>
      </c>
      <c r="S15" s="44" t="s">
        <v>44</v>
      </c>
      <c r="T15" s="92" t="s">
        <v>221</v>
      </c>
    </row>
    <row r="16" spans="1:20" x14ac:dyDescent="0.25">
      <c r="A16" s="2" t="s">
        <v>12</v>
      </c>
      <c r="B16" s="2" t="s">
        <v>113</v>
      </c>
      <c r="C16" s="2" t="s">
        <v>63</v>
      </c>
      <c r="D16" s="2" t="s">
        <v>9</v>
      </c>
      <c r="E16" s="3">
        <v>222444.44</v>
      </c>
      <c r="F16" s="3">
        <f>ROUND(E16/113.8*117.8,0)</f>
        <v>230263</v>
      </c>
      <c r="G16" s="3">
        <f>ROUND(F16/117.8*118.8,0)</f>
        <v>232218</v>
      </c>
      <c r="H16" s="3">
        <f>ROUND(G16/118.8*120.2,0)</f>
        <v>234955</v>
      </c>
      <c r="I16" s="3" t="s">
        <v>126</v>
      </c>
      <c r="J16" s="3">
        <v>239580</v>
      </c>
      <c r="K16" s="3">
        <f t="shared" si="6"/>
        <v>239580</v>
      </c>
      <c r="L16" s="3">
        <f t="shared" si="0"/>
        <v>244835</v>
      </c>
      <c r="M16" s="3">
        <f t="shared" si="1"/>
        <v>261183</v>
      </c>
      <c r="N16" s="3">
        <f t="shared" si="2"/>
        <v>280840</v>
      </c>
      <c r="O16" s="3">
        <f t="shared" si="3"/>
        <v>294853</v>
      </c>
      <c r="P16" s="3">
        <f t="shared" si="4"/>
        <v>311007</v>
      </c>
      <c r="Q16" s="3"/>
      <c r="R16" s="5">
        <f t="shared" si="5"/>
        <v>311007</v>
      </c>
      <c r="S16" s="44" t="s">
        <v>44</v>
      </c>
    </row>
    <row r="17" spans="1:20" x14ac:dyDescent="0.25">
      <c r="A17" s="2" t="s">
        <v>85</v>
      </c>
      <c r="B17" s="2" t="s">
        <v>93</v>
      </c>
      <c r="C17" s="2" t="s">
        <v>65</v>
      </c>
      <c r="D17" s="2" t="s">
        <v>9</v>
      </c>
      <c r="E17" s="3">
        <v>277803.92</v>
      </c>
      <c r="F17" s="3">
        <f>ROUND(E17/113.8*117.8,0)</f>
        <v>287569</v>
      </c>
      <c r="G17" s="3">
        <f>ROUND(F17/117.8*118.8,0)</f>
        <v>290010</v>
      </c>
      <c r="H17" s="3">
        <f>ROUND(G17/118.8*120.2,0)</f>
        <v>293428</v>
      </c>
      <c r="I17" s="3" t="s">
        <v>126</v>
      </c>
      <c r="J17" s="3">
        <v>296450</v>
      </c>
      <c r="K17" s="3">
        <f t="shared" si="6"/>
        <v>296450</v>
      </c>
      <c r="L17" s="3">
        <f t="shared" si="0"/>
        <v>302952</v>
      </c>
      <c r="M17" s="3">
        <f t="shared" si="1"/>
        <v>323181</v>
      </c>
      <c r="N17" s="3">
        <f t="shared" si="2"/>
        <v>347504</v>
      </c>
      <c r="O17" s="3">
        <f t="shared" si="3"/>
        <v>364843</v>
      </c>
      <c r="P17" s="3">
        <f t="shared" si="4"/>
        <v>384831</v>
      </c>
      <c r="Q17" s="3"/>
      <c r="R17" s="5">
        <f t="shared" si="5"/>
        <v>384831</v>
      </c>
      <c r="S17" s="44" t="s">
        <v>44</v>
      </c>
    </row>
    <row r="18" spans="1:20" x14ac:dyDescent="0.25">
      <c r="A18" s="54" t="s">
        <v>147</v>
      </c>
      <c r="B18" s="54" t="s">
        <v>50</v>
      </c>
      <c r="C18" s="54" t="s">
        <v>65</v>
      </c>
      <c r="D18" s="54" t="s">
        <v>9</v>
      </c>
      <c r="E18" s="55"/>
      <c r="F18" s="55"/>
      <c r="G18" s="55"/>
      <c r="H18" s="55"/>
      <c r="I18" s="4"/>
      <c r="J18" s="4"/>
      <c r="K18" s="4">
        <v>178000</v>
      </c>
      <c r="L18" s="3">
        <f t="shared" si="0"/>
        <v>181904</v>
      </c>
      <c r="M18" s="3">
        <f t="shared" si="1"/>
        <v>194050</v>
      </c>
      <c r="N18" s="3">
        <f t="shared" si="2"/>
        <v>208654</v>
      </c>
      <c r="O18" s="3">
        <f t="shared" si="3"/>
        <v>219065</v>
      </c>
      <c r="P18" s="3">
        <f t="shared" si="4"/>
        <v>231067</v>
      </c>
      <c r="Q18" s="4"/>
      <c r="R18" s="5">
        <f t="shared" si="5"/>
        <v>231067</v>
      </c>
      <c r="S18" s="1"/>
      <c r="T18" s="33"/>
    </row>
    <row r="19" spans="1:20" x14ac:dyDescent="0.25">
      <c r="A19" s="2" t="s">
        <v>148</v>
      </c>
      <c r="B19" s="2" t="s">
        <v>149</v>
      </c>
      <c r="C19" s="2" t="s">
        <v>150</v>
      </c>
      <c r="D19" s="2" t="s">
        <v>9</v>
      </c>
      <c r="E19" s="3"/>
      <c r="F19" s="3"/>
      <c r="G19" s="3"/>
      <c r="H19" s="3"/>
      <c r="I19" s="3"/>
      <c r="J19" s="3"/>
      <c r="K19" s="3">
        <v>600000</v>
      </c>
      <c r="L19" s="3">
        <f t="shared" si="0"/>
        <v>613160</v>
      </c>
      <c r="M19" s="3">
        <f t="shared" si="1"/>
        <v>654102</v>
      </c>
      <c r="N19" s="3">
        <f t="shared" si="2"/>
        <v>703330</v>
      </c>
      <c r="O19" s="3">
        <f t="shared" si="3"/>
        <v>738423</v>
      </c>
      <c r="P19" s="3">
        <f t="shared" si="4"/>
        <v>778878</v>
      </c>
      <c r="Q19" s="3"/>
      <c r="R19" s="5">
        <f t="shared" si="5"/>
        <v>778878</v>
      </c>
      <c r="S19" s="1"/>
      <c r="T19" s="33"/>
    </row>
    <row r="20" spans="1:20" x14ac:dyDescent="0.25">
      <c r="A20" s="2" t="s">
        <v>151</v>
      </c>
      <c r="B20" s="2" t="s">
        <v>152</v>
      </c>
      <c r="C20" s="2" t="s">
        <v>153</v>
      </c>
      <c r="D20" s="2" t="s">
        <v>9</v>
      </c>
      <c r="E20" s="2"/>
      <c r="F20" s="2"/>
      <c r="G20" s="2"/>
      <c r="H20" s="2"/>
      <c r="I20" s="2"/>
      <c r="J20" s="2"/>
      <c r="K20" s="5">
        <v>840000</v>
      </c>
      <c r="L20" s="3">
        <f t="shared" si="0"/>
        <v>858424</v>
      </c>
      <c r="M20" s="3">
        <f t="shared" si="1"/>
        <v>915743</v>
      </c>
      <c r="N20" s="3">
        <f t="shared" si="2"/>
        <v>984663</v>
      </c>
      <c r="O20" s="3">
        <f t="shared" si="3"/>
        <v>1033794</v>
      </c>
      <c r="P20" s="3">
        <f t="shared" si="4"/>
        <v>1090431</v>
      </c>
      <c r="Q20" s="2"/>
      <c r="R20" s="5">
        <f t="shared" si="5"/>
        <v>1090431</v>
      </c>
      <c r="S20" s="1"/>
      <c r="T20" s="33"/>
    </row>
    <row r="21" spans="1:20" x14ac:dyDescent="0.25">
      <c r="A21" s="2" t="s">
        <v>163</v>
      </c>
      <c r="B21" s="2" t="s">
        <v>154</v>
      </c>
      <c r="C21" s="2" t="s">
        <v>59</v>
      </c>
      <c r="D21" s="2" t="s">
        <v>9</v>
      </c>
      <c r="E21" s="2"/>
      <c r="F21" s="2"/>
      <c r="G21" s="2"/>
      <c r="H21" s="2"/>
      <c r="I21" s="2"/>
      <c r="J21" s="2"/>
      <c r="K21" s="5">
        <v>26000</v>
      </c>
      <c r="L21" s="3">
        <f t="shared" si="0"/>
        <v>26570</v>
      </c>
      <c r="M21" s="3">
        <f t="shared" si="1"/>
        <v>28344</v>
      </c>
      <c r="N21" s="3">
        <f t="shared" si="2"/>
        <v>30477</v>
      </c>
      <c r="O21" s="3">
        <f t="shared" si="3"/>
        <v>31998</v>
      </c>
      <c r="P21" s="3">
        <f t="shared" si="4"/>
        <v>33751</v>
      </c>
      <c r="Q21" s="5"/>
      <c r="R21" s="5">
        <f t="shared" si="5"/>
        <v>33751</v>
      </c>
      <c r="S21" s="1"/>
      <c r="T21" s="71" t="s">
        <v>179</v>
      </c>
    </row>
    <row r="22" spans="1:20" s="56" customFormat="1" x14ac:dyDescent="0.25">
      <c r="A22" s="2" t="s">
        <v>173</v>
      </c>
      <c r="B22" s="2" t="s">
        <v>174</v>
      </c>
      <c r="C22" s="2" t="s">
        <v>175</v>
      </c>
      <c r="D22" s="2" t="s">
        <v>176</v>
      </c>
      <c r="E22" s="72"/>
      <c r="F22" s="72"/>
      <c r="G22" s="72"/>
      <c r="H22" s="72"/>
      <c r="I22" s="72"/>
      <c r="J22" s="72"/>
      <c r="K22" s="72"/>
      <c r="L22" s="72"/>
      <c r="M22" s="73">
        <v>28798</v>
      </c>
      <c r="N22" s="3">
        <f>ROUND(M22/134.2*144.3,0)</f>
        <v>30965</v>
      </c>
      <c r="O22" s="3">
        <f t="shared" si="3"/>
        <v>32510</v>
      </c>
      <c r="P22" s="3">
        <f t="shared" si="4"/>
        <v>34291</v>
      </c>
      <c r="Q22" s="74"/>
      <c r="R22" s="5">
        <f t="shared" si="5"/>
        <v>34291</v>
      </c>
      <c r="S22" s="59"/>
      <c r="T22" s="71" t="s">
        <v>177</v>
      </c>
    </row>
    <row r="23" spans="1:20" x14ac:dyDescent="0.25">
      <c r="A23" s="2" t="s">
        <v>52</v>
      </c>
      <c r="B23" s="2" t="s">
        <v>51</v>
      </c>
      <c r="C23" s="2" t="s">
        <v>62</v>
      </c>
      <c r="D23" s="2" t="s">
        <v>22</v>
      </c>
      <c r="E23" s="3">
        <v>607947.71</v>
      </c>
      <c r="F23" s="3">
        <f t="shared" ref="F23:F27" si="8">ROUND(E23/113.8*117.8,0)</f>
        <v>629317</v>
      </c>
      <c r="G23" s="3">
        <f t="shared" ref="G23:G31" si="9">ROUND(F23/117.8*118.8,0)</f>
        <v>634659</v>
      </c>
      <c r="H23" s="3">
        <f t="shared" ref="H23:H27" si="10">ROUND(G23/118.8*120.2,0)</f>
        <v>642138</v>
      </c>
      <c r="I23" s="3" t="s">
        <v>126</v>
      </c>
      <c r="J23" s="3">
        <v>677600</v>
      </c>
      <c r="K23" s="3">
        <f>J23</f>
        <v>677600</v>
      </c>
      <c r="L23" s="3">
        <f t="shared" si="0"/>
        <v>692462</v>
      </c>
      <c r="M23" s="3">
        <f t="shared" si="1"/>
        <v>738700</v>
      </c>
      <c r="N23" s="3">
        <f t="shared" si="2"/>
        <v>794295</v>
      </c>
      <c r="O23" s="3">
        <f t="shared" si="3"/>
        <v>833927</v>
      </c>
      <c r="P23" s="3">
        <f t="shared" si="4"/>
        <v>879614</v>
      </c>
      <c r="Q23" s="3"/>
      <c r="R23" s="5">
        <f t="shared" si="5"/>
        <v>879614</v>
      </c>
    </row>
    <row r="24" spans="1:20" x14ac:dyDescent="0.25">
      <c r="A24" s="2" t="s">
        <v>104</v>
      </c>
      <c r="B24" s="2" t="s">
        <v>130</v>
      </c>
      <c r="C24" s="2" t="s">
        <v>72</v>
      </c>
      <c r="D24" s="2" t="s">
        <v>23</v>
      </c>
      <c r="E24" s="3">
        <v>277803.92</v>
      </c>
      <c r="F24" s="3">
        <f t="shared" si="8"/>
        <v>287569</v>
      </c>
      <c r="G24" s="3">
        <f t="shared" si="9"/>
        <v>290010</v>
      </c>
      <c r="H24" s="3">
        <f t="shared" si="10"/>
        <v>293428</v>
      </c>
      <c r="I24" s="3" t="s">
        <v>126</v>
      </c>
      <c r="J24" s="3">
        <v>762300</v>
      </c>
      <c r="K24" s="3">
        <f>J24</f>
        <v>762300</v>
      </c>
      <c r="L24" s="3">
        <f t="shared" si="0"/>
        <v>779020</v>
      </c>
      <c r="M24" s="3">
        <f t="shared" si="1"/>
        <v>831037</v>
      </c>
      <c r="N24" s="3">
        <f t="shared" si="2"/>
        <v>893582</v>
      </c>
      <c r="O24" s="3">
        <f t="shared" si="3"/>
        <v>938168</v>
      </c>
      <c r="P24" s="3">
        <f t="shared" si="4"/>
        <v>989566</v>
      </c>
      <c r="Q24" s="3"/>
      <c r="R24" s="5">
        <f t="shared" si="5"/>
        <v>989566</v>
      </c>
    </row>
    <row r="25" spans="1:20" s="25" customFormat="1" x14ac:dyDescent="0.25">
      <c r="A25" s="2" t="s">
        <v>144</v>
      </c>
      <c r="B25" s="2" t="s">
        <v>145</v>
      </c>
      <c r="C25" s="2" t="s">
        <v>146</v>
      </c>
      <c r="D25" s="2" t="s">
        <v>23</v>
      </c>
      <c r="E25" s="3">
        <v>1081019.6100000001</v>
      </c>
      <c r="F25" s="3">
        <f t="shared" si="8"/>
        <v>1119017</v>
      </c>
      <c r="G25" s="3">
        <f t="shared" si="9"/>
        <v>1128516</v>
      </c>
      <c r="H25" s="3">
        <f t="shared" si="10"/>
        <v>1141815</v>
      </c>
      <c r="I25" s="3"/>
      <c r="J25" s="3">
        <v>1543960</v>
      </c>
      <c r="K25" s="3">
        <v>1511000</v>
      </c>
      <c r="L25" s="3">
        <f t="shared" si="0"/>
        <v>1544141</v>
      </c>
      <c r="M25" s="3">
        <f t="shared" si="1"/>
        <v>1647247</v>
      </c>
      <c r="N25" s="3">
        <f t="shared" si="2"/>
        <v>1771220</v>
      </c>
      <c r="O25" s="3">
        <f t="shared" si="3"/>
        <v>1859597</v>
      </c>
      <c r="P25" s="3">
        <f t="shared" si="4"/>
        <v>1961476</v>
      </c>
      <c r="Q25" s="3"/>
      <c r="R25" s="5">
        <f t="shared" si="5"/>
        <v>1961476</v>
      </c>
      <c r="S25" s="44"/>
      <c r="T25" s="71" t="s">
        <v>178</v>
      </c>
    </row>
    <row r="26" spans="1:20" x14ac:dyDescent="0.25">
      <c r="A26" s="2" t="s">
        <v>20</v>
      </c>
      <c r="B26" s="2" t="s">
        <v>21</v>
      </c>
      <c r="C26" s="2" t="s">
        <v>68</v>
      </c>
      <c r="D26" s="2" t="s">
        <v>3</v>
      </c>
      <c r="E26" s="3">
        <v>1045790.85</v>
      </c>
      <c r="F26" s="3">
        <f t="shared" si="8"/>
        <v>1082550</v>
      </c>
      <c r="G26" s="3">
        <f t="shared" si="9"/>
        <v>1091740</v>
      </c>
      <c r="H26" s="3">
        <f t="shared" si="10"/>
        <v>1104606</v>
      </c>
      <c r="I26" s="3" t="s">
        <v>128</v>
      </c>
      <c r="J26" s="3">
        <v>871200</v>
      </c>
      <c r="K26" s="3">
        <f t="shared" ref="K26:K43" si="11">J26</f>
        <v>871200</v>
      </c>
      <c r="L26" s="3">
        <f t="shared" si="0"/>
        <v>890308</v>
      </c>
      <c r="M26" s="3">
        <f t="shared" si="1"/>
        <v>949756</v>
      </c>
      <c r="N26" s="3">
        <f t="shared" si="2"/>
        <v>1021235</v>
      </c>
      <c r="O26" s="3">
        <f t="shared" si="3"/>
        <v>1072191</v>
      </c>
      <c r="P26" s="3">
        <f t="shared" si="4"/>
        <v>1130931</v>
      </c>
      <c r="Q26" s="3">
        <v>133100</v>
      </c>
      <c r="R26" s="5">
        <f t="shared" si="5"/>
        <v>1264031</v>
      </c>
    </row>
    <row r="27" spans="1:20" x14ac:dyDescent="0.25">
      <c r="A27" s="2" t="s">
        <v>16</v>
      </c>
      <c r="B27" s="2" t="s">
        <v>114</v>
      </c>
      <c r="C27" s="2" t="s">
        <v>67</v>
      </c>
      <c r="D27" s="2" t="s">
        <v>3</v>
      </c>
      <c r="E27" s="3"/>
      <c r="F27" s="3">
        <f t="shared" si="8"/>
        <v>0</v>
      </c>
      <c r="G27" s="3">
        <f t="shared" si="9"/>
        <v>0</v>
      </c>
      <c r="H27" s="3">
        <f t="shared" si="10"/>
        <v>0</v>
      </c>
      <c r="I27" s="3" t="s">
        <v>127</v>
      </c>
      <c r="J27" s="3">
        <f>ROUND(H27/120.2*121,0)</f>
        <v>0</v>
      </c>
      <c r="K27" s="3">
        <f t="shared" si="11"/>
        <v>0</v>
      </c>
      <c r="L27" s="3">
        <f t="shared" si="0"/>
        <v>0</v>
      </c>
      <c r="M27" s="3">
        <f t="shared" si="1"/>
        <v>0</v>
      </c>
      <c r="N27" s="3">
        <f t="shared" si="2"/>
        <v>0</v>
      </c>
      <c r="O27" s="3">
        <f t="shared" si="3"/>
        <v>0</v>
      </c>
      <c r="P27" s="3">
        <f t="shared" si="4"/>
        <v>0</v>
      </c>
      <c r="Q27" s="3">
        <v>278300</v>
      </c>
      <c r="R27" s="5">
        <f t="shared" si="5"/>
        <v>278300</v>
      </c>
      <c r="T27" s="6"/>
    </row>
    <row r="28" spans="1:20" x14ac:dyDescent="0.25">
      <c r="A28" s="2" t="s">
        <v>108</v>
      </c>
      <c r="B28" s="2" t="s">
        <v>109</v>
      </c>
      <c r="C28" s="2" t="s">
        <v>56</v>
      </c>
      <c r="D28" s="2" t="s">
        <v>3</v>
      </c>
      <c r="E28" s="3">
        <v>9210810.4600000009</v>
      </c>
      <c r="F28" s="3"/>
      <c r="G28" s="3">
        <f t="shared" si="9"/>
        <v>0</v>
      </c>
      <c r="H28" s="3"/>
      <c r="I28" s="3" t="s">
        <v>128</v>
      </c>
      <c r="J28" s="3">
        <v>12039500</v>
      </c>
      <c r="K28" s="3">
        <f t="shared" si="11"/>
        <v>12039500</v>
      </c>
      <c r="L28" s="3">
        <f t="shared" si="0"/>
        <v>12303567</v>
      </c>
      <c r="M28" s="3">
        <f t="shared" si="1"/>
        <v>13125109</v>
      </c>
      <c r="N28" s="3">
        <f t="shared" si="2"/>
        <v>14112915</v>
      </c>
      <c r="O28" s="3">
        <f t="shared" si="3"/>
        <v>14817094</v>
      </c>
      <c r="P28" s="3">
        <f t="shared" si="4"/>
        <v>15628856</v>
      </c>
      <c r="Q28" s="3">
        <v>1687950</v>
      </c>
      <c r="R28" s="5">
        <f t="shared" si="5"/>
        <v>17316806</v>
      </c>
      <c r="T28" s="49" t="s">
        <v>131</v>
      </c>
    </row>
    <row r="29" spans="1:20" x14ac:dyDescent="0.25">
      <c r="A29" s="2" t="s">
        <v>6</v>
      </c>
      <c r="B29" s="2" t="s">
        <v>7</v>
      </c>
      <c r="C29" s="2" t="s">
        <v>58</v>
      </c>
      <c r="D29" s="2" t="s">
        <v>3</v>
      </c>
      <c r="E29" s="3">
        <v>367385.62</v>
      </c>
      <c r="F29" s="3">
        <f>ROUND(E29/113.8*117.8,0)</f>
        <v>380299</v>
      </c>
      <c r="G29" s="3">
        <f t="shared" si="9"/>
        <v>383527</v>
      </c>
      <c r="H29" s="3">
        <f t="shared" ref="H29:H36" si="12">ROUND(G29/118.8*120.2,0)</f>
        <v>388047</v>
      </c>
      <c r="I29" s="3" t="s">
        <v>126</v>
      </c>
      <c r="J29" s="3">
        <v>401720</v>
      </c>
      <c r="K29" s="3">
        <f t="shared" si="11"/>
        <v>401720</v>
      </c>
      <c r="L29" s="3">
        <f t="shared" si="0"/>
        <v>410531</v>
      </c>
      <c r="M29" s="3">
        <f t="shared" si="1"/>
        <v>437943</v>
      </c>
      <c r="N29" s="3">
        <f t="shared" si="2"/>
        <v>470903</v>
      </c>
      <c r="O29" s="3">
        <f t="shared" si="3"/>
        <v>494399</v>
      </c>
      <c r="P29" s="3">
        <f t="shared" si="4"/>
        <v>521485</v>
      </c>
      <c r="Q29" s="3">
        <v>37510</v>
      </c>
      <c r="R29" s="5">
        <f t="shared" si="5"/>
        <v>558995</v>
      </c>
      <c r="T29" s="6"/>
    </row>
    <row r="30" spans="1:20" x14ac:dyDescent="0.25">
      <c r="A30" s="2" t="s">
        <v>11</v>
      </c>
      <c r="B30" s="2" t="s">
        <v>112</v>
      </c>
      <c r="C30" s="2" t="s">
        <v>58</v>
      </c>
      <c r="D30" s="2" t="s">
        <v>3</v>
      </c>
      <c r="E30" s="3">
        <v>67437.91</v>
      </c>
      <c r="F30" s="3">
        <f>ROUND(E30/113.8*117.8,0)</f>
        <v>69808</v>
      </c>
      <c r="G30" s="3">
        <f t="shared" si="9"/>
        <v>70401</v>
      </c>
      <c r="H30" s="3">
        <f t="shared" si="12"/>
        <v>71231</v>
      </c>
      <c r="I30" s="3" t="s">
        <v>126</v>
      </c>
      <c r="J30" s="3">
        <v>139150</v>
      </c>
      <c r="K30" s="3">
        <f t="shared" si="11"/>
        <v>139150</v>
      </c>
      <c r="L30" s="3">
        <f t="shared" si="0"/>
        <v>142202</v>
      </c>
      <c r="M30" s="3">
        <f t="shared" si="1"/>
        <v>151697</v>
      </c>
      <c r="N30" s="3">
        <f t="shared" si="2"/>
        <v>163114</v>
      </c>
      <c r="O30" s="3">
        <f t="shared" si="3"/>
        <v>171253</v>
      </c>
      <c r="P30" s="3">
        <f t="shared" si="4"/>
        <v>180635</v>
      </c>
      <c r="Q30" s="3"/>
      <c r="R30" s="5">
        <f t="shared" si="5"/>
        <v>180635</v>
      </c>
      <c r="S30" s="44" t="s">
        <v>44</v>
      </c>
      <c r="T30" s="6"/>
    </row>
    <row r="31" spans="1:20" s="27" customFormat="1" x14ac:dyDescent="0.25">
      <c r="A31" s="29" t="s">
        <v>184</v>
      </c>
      <c r="B31" s="50" t="s">
        <v>155</v>
      </c>
      <c r="C31" s="29" t="s">
        <v>60</v>
      </c>
      <c r="D31" s="50" t="s">
        <v>3</v>
      </c>
      <c r="E31" s="51">
        <v>750875.82</v>
      </c>
      <c r="F31" s="52">
        <f>ROUND(E31/113.8*117.8,0)</f>
        <v>777269</v>
      </c>
      <c r="G31" s="52">
        <f t="shared" si="9"/>
        <v>783867</v>
      </c>
      <c r="H31" s="53">
        <f t="shared" si="12"/>
        <v>793104</v>
      </c>
      <c r="I31" s="53" t="s">
        <v>126</v>
      </c>
      <c r="J31" s="53">
        <v>865150</v>
      </c>
      <c r="K31" s="53">
        <f t="shared" si="11"/>
        <v>865150</v>
      </c>
      <c r="L31" s="53">
        <f t="shared" si="0"/>
        <v>884126</v>
      </c>
      <c r="M31" s="3">
        <f t="shared" si="1"/>
        <v>943161</v>
      </c>
      <c r="N31" s="3">
        <f t="shared" si="2"/>
        <v>1014144</v>
      </c>
      <c r="O31" s="3">
        <f t="shared" si="3"/>
        <v>1064746</v>
      </c>
      <c r="P31" s="3">
        <f t="shared" si="4"/>
        <v>1123079</v>
      </c>
      <c r="Q31" s="51"/>
      <c r="R31" s="5">
        <f t="shared" si="5"/>
        <v>1123079</v>
      </c>
      <c r="S31" s="45"/>
      <c r="T31" s="43" t="s">
        <v>164</v>
      </c>
    </row>
    <row r="32" spans="1:20" x14ac:dyDescent="0.25">
      <c r="A32" s="2" t="s">
        <v>8</v>
      </c>
      <c r="B32" s="2" t="s">
        <v>101</v>
      </c>
      <c r="C32" s="2" t="s">
        <v>60</v>
      </c>
      <c r="D32" s="2" t="s">
        <v>3</v>
      </c>
      <c r="E32" s="3"/>
      <c r="F32" s="3"/>
      <c r="G32" s="3">
        <v>1079749</v>
      </c>
      <c r="H32" s="3">
        <f t="shared" si="12"/>
        <v>1092473</v>
      </c>
      <c r="I32" s="3" t="s">
        <v>128</v>
      </c>
      <c r="J32" s="3">
        <v>2138070</v>
      </c>
      <c r="K32" s="3">
        <f t="shared" si="11"/>
        <v>2138070</v>
      </c>
      <c r="L32" s="3">
        <f t="shared" si="0"/>
        <v>2184965</v>
      </c>
      <c r="M32" s="3">
        <f t="shared" si="1"/>
        <v>2330861</v>
      </c>
      <c r="N32" s="3">
        <f t="shared" si="2"/>
        <v>2506283</v>
      </c>
      <c r="O32" s="3">
        <f t="shared" si="3"/>
        <v>2631337</v>
      </c>
      <c r="P32" s="3">
        <f t="shared" si="4"/>
        <v>2775496</v>
      </c>
      <c r="Q32" s="3">
        <v>430760</v>
      </c>
      <c r="R32" s="5">
        <f t="shared" si="5"/>
        <v>3206256</v>
      </c>
      <c r="T32" s="49" t="s">
        <v>132</v>
      </c>
    </row>
    <row r="33" spans="1:20" x14ac:dyDescent="0.25">
      <c r="A33" s="2" t="s">
        <v>103</v>
      </c>
      <c r="B33" s="2" t="s">
        <v>101</v>
      </c>
      <c r="C33" s="2" t="s">
        <v>60</v>
      </c>
      <c r="D33" s="2" t="s">
        <v>3</v>
      </c>
      <c r="E33" s="3"/>
      <c r="F33" s="3"/>
      <c r="G33" s="3">
        <v>661782</v>
      </c>
      <c r="H33" s="3">
        <f t="shared" si="12"/>
        <v>669581</v>
      </c>
      <c r="I33" s="3" t="s">
        <v>126</v>
      </c>
      <c r="J33" s="3">
        <v>1310430</v>
      </c>
      <c r="K33" s="3">
        <f t="shared" si="11"/>
        <v>1310430</v>
      </c>
      <c r="L33" s="3">
        <f t="shared" si="0"/>
        <v>1339172</v>
      </c>
      <c r="M33" s="3">
        <f t="shared" si="1"/>
        <v>1428592</v>
      </c>
      <c r="N33" s="3">
        <f t="shared" si="2"/>
        <v>1536109</v>
      </c>
      <c r="O33" s="3">
        <f t="shared" si="3"/>
        <v>1612755</v>
      </c>
      <c r="P33" s="3">
        <f t="shared" si="4"/>
        <v>1701111</v>
      </c>
      <c r="Q33" s="3"/>
      <c r="R33" s="5">
        <f t="shared" si="5"/>
        <v>1701111</v>
      </c>
      <c r="T33" s="49" t="s">
        <v>133</v>
      </c>
    </row>
    <row r="34" spans="1:20" x14ac:dyDescent="0.25">
      <c r="A34" s="2" t="s">
        <v>11</v>
      </c>
      <c r="B34" s="2" t="s">
        <v>40</v>
      </c>
      <c r="C34" s="2" t="s">
        <v>62</v>
      </c>
      <c r="D34" s="2" t="s">
        <v>3</v>
      </c>
      <c r="E34" s="3">
        <v>67437.91</v>
      </c>
      <c r="F34" s="3">
        <f>ROUND(E34/113.8*117.8,0)</f>
        <v>69808</v>
      </c>
      <c r="G34" s="3">
        <f>ROUND(F34/117.8*118.8,0)</f>
        <v>70401</v>
      </c>
      <c r="H34" s="3">
        <f t="shared" si="12"/>
        <v>71231</v>
      </c>
      <c r="I34" s="3" t="s">
        <v>126</v>
      </c>
      <c r="J34" s="3">
        <v>73810</v>
      </c>
      <c r="K34" s="3">
        <f t="shared" si="11"/>
        <v>73810</v>
      </c>
      <c r="L34" s="3">
        <f t="shared" si="0"/>
        <v>75429</v>
      </c>
      <c r="M34" s="3">
        <f t="shared" si="1"/>
        <v>80466</v>
      </c>
      <c r="N34" s="3">
        <f t="shared" si="2"/>
        <v>86522</v>
      </c>
      <c r="O34" s="3">
        <f t="shared" si="3"/>
        <v>90839</v>
      </c>
      <c r="P34" s="3">
        <f t="shared" si="4"/>
        <v>95816</v>
      </c>
      <c r="Q34" s="3"/>
      <c r="R34" s="5">
        <f t="shared" si="5"/>
        <v>95816</v>
      </c>
      <c r="S34" s="44" t="s">
        <v>44</v>
      </c>
    </row>
    <row r="35" spans="1:20" x14ac:dyDescent="0.25">
      <c r="A35" s="2" t="s">
        <v>10</v>
      </c>
      <c r="B35" s="2" t="s">
        <v>111</v>
      </c>
      <c r="C35" s="2" t="s">
        <v>61</v>
      </c>
      <c r="D35" s="2" t="s">
        <v>3</v>
      </c>
      <c r="E35" s="3">
        <v>550575.16</v>
      </c>
      <c r="F35" s="3">
        <f>ROUND(E35/113.8*117.8,0)</f>
        <v>569928</v>
      </c>
      <c r="G35" s="3">
        <f>ROUND(F35/117.8*118.8,0)</f>
        <v>574766</v>
      </c>
      <c r="H35" s="3">
        <f t="shared" si="12"/>
        <v>581539</v>
      </c>
      <c r="I35" s="3" t="s">
        <v>126</v>
      </c>
      <c r="J35" s="3">
        <v>750200</v>
      </c>
      <c r="K35" s="3">
        <f t="shared" si="11"/>
        <v>750200</v>
      </c>
      <c r="L35" s="3">
        <f t="shared" si="0"/>
        <v>766654</v>
      </c>
      <c r="M35" s="3">
        <f t="shared" si="1"/>
        <v>817846</v>
      </c>
      <c r="N35" s="3">
        <f t="shared" si="2"/>
        <v>879398</v>
      </c>
      <c r="O35" s="3">
        <f t="shared" si="3"/>
        <v>923276</v>
      </c>
      <c r="P35" s="3">
        <f t="shared" si="4"/>
        <v>973858</v>
      </c>
      <c r="Q35" s="3"/>
      <c r="R35" s="5">
        <f t="shared" si="5"/>
        <v>973858</v>
      </c>
    </row>
    <row r="36" spans="1:20" x14ac:dyDescent="0.25">
      <c r="A36" s="30" t="s">
        <v>115</v>
      </c>
      <c r="B36" s="30" t="s">
        <v>110</v>
      </c>
      <c r="C36" s="30" t="s">
        <v>64</v>
      </c>
      <c r="D36" s="30" t="s">
        <v>3</v>
      </c>
      <c r="E36" s="3">
        <v>2059372.55</v>
      </c>
      <c r="F36" s="28">
        <f>ROUND(E36/113.8*117.8,0)</f>
        <v>2131758</v>
      </c>
      <c r="G36" s="28">
        <f>ROUND(F36/117.8*118.8,0)</f>
        <v>2149854</v>
      </c>
      <c r="H36" s="28">
        <f t="shared" si="12"/>
        <v>2175189</v>
      </c>
      <c r="I36" s="3" t="s">
        <v>126</v>
      </c>
      <c r="J36" s="3">
        <v>4265250</v>
      </c>
      <c r="K36" s="3">
        <f t="shared" si="11"/>
        <v>4265250</v>
      </c>
      <c r="L36" s="3">
        <f t="shared" si="0"/>
        <v>4358801</v>
      </c>
      <c r="M36" s="3">
        <f t="shared" si="1"/>
        <v>4649850</v>
      </c>
      <c r="N36" s="3">
        <f t="shared" si="2"/>
        <v>4999801</v>
      </c>
      <c r="O36" s="3">
        <f t="shared" si="3"/>
        <v>5249271</v>
      </c>
      <c r="P36" s="3">
        <f t="shared" si="4"/>
        <v>5536855</v>
      </c>
      <c r="Q36" s="3"/>
      <c r="R36" s="5">
        <f t="shared" si="5"/>
        <v>5536855</v>
      </c>
      <c r="S36" s="44" t="s">
        <v>119</v>
      </c>
    </row>
    <row r="37" spans="1:20" s="33" customFormat="1" x14ac:dyDescent="0.25">
      <c r="A37" s="2" t="s">
        <v>196</v>
      </c>
      <c r="B37" s="2" t="s">
        <v>204</v>
      </c>
      <c r="C37" s="2" t="s">
        <v>197</v>
      </c>
      <c r="D37" s="2" t="s">
        <v>159</v>
      </c>
      <c r="E37" s="75"/>
      <c r="F37" s="75"/>
      <c r="G37" s="75"/>
      <c r="H37" s="75"/>
      <c r="I37" s="75"/>
      <c r="J37" s="75"/>
      <c r="K37" s="75"/>
      <c r="L37" s="75"/>
      <c r="M37" s="75"/>
      <c r="N37" s="75"/>
      <c r="O37" s="76">
        <v>849039</v>
      </c>
      <c r="P37" s="3">
        <f t="shared" si="4"/>
        <v>895554</v>
      </c>
      <c r="Q37" s="75"/>
      <c r="R37" s="5">
        <f t="shared" si="5"/>
        <v>895554</v>
      </c>
      <c r="T37" s="33" t="s">
        <v>198</v>
      </c>
    </row>
    <row r="38" spans="1:20" s="33" customFormat="1" x14ac:dyDescent="0.25">
      <c r="A38" s="2" t="s">
        <v>199</v>
      </c>
      <c r="B38" s="2" t="s">
        <v>204</v>
      </c>
      <c r="C38" s="2" t="s">
        <v>197</v>
      </c>
      <c r="D38" s="2" t="s">
        <v>159</v>
      </c>
      <c r="E38" s="75"/>
      <c r="F38" s="75"/>
      <c r="G38" s="75"/>
      <c r="H38" s="75"/>
      <c r="I38" s="75"/>
      <c r="J38" s="75"/>
      <c r="K38" s="75"/>
      <c r="L38" s="75"/>
      <c r="M38" s="75"/>
      <c r="N38" s="75"/>
      <c r="O38" s="76">
        <v>650181</v>
      </c>
      <c r="P38" s="3">
        <f t="shared" si="4"/>
        <v>685801</v>
      </c>
      <c r="Q38" s="75"/>
      <c r="R38" s="5">
        <f t="shared" si="5"/>
        <v>685801</v>
      </c>
    </row>
    <row r="39" spans="1:20" s="33" customFormat="1" x14ac:dyDescent="0.25">
      <c r="A39" s="2" t="s">
        <v>160</v>
      </c>
      <c r="B39" s="60" t="s">
        <v>158</v>
      </c>
      <c r="C39" s="2" t="s">
        <v>209</v>
      </c>
      <c r="D39" s="2" t="s">
        <v>159</v>
      </c>
      <c r="E39" s="2"/>
      <c r="F39" s="2"/>
      <c r="G39" s="2"/>
      <c r="H39" s="2"/>
      <c r="I39" s="2"/>
      <c r="J39" s="2"/>
      <c r="K39" s="2"/>
      <c r="L39" s="53">
        <v>971911</v>
      </c>
      <c r="M39" s="3">
        <f t="shared" si="1"/>
        <v>1036808</v>
      </c>
      <c r="N39" s="3">
        <f t="shared" si="2"/>
        <v>1114839</v>
      </c>
      <c r="O39" s="3">
        <f t="shared" si="3"/>
        <v>1170465</v>
      </c>
      <c r="P39" s="3">
        <f t="shared" si="4"/>
        <v>1234589</v>
      </c>
      <c r="Q39" s="2"/>
      <c r="R39" s="5">
        <f t="shared" si="5"/>
        <v>1234589</v>
      </c>
      <c r="S39" s="47"/>
      <c r="T39" s="56" t="s">
        <v>223</v>
      </c>
    </row>
    <row r="40" spans="1:20" x14ac:dyDescent="0.25">
      <c r="A40" s="2" t="s">
        <v>0</v>
      </c>
      <c r="B40" s="2" t="s">
        <v>39</v>
      </c>
      <c r="C40" s="2" t="s">
        <v>57</v>
      </c>
      <c r="D40" s="2" t="s">
        <v>3</v>
      </c>
      <c r="E40" s="3">
        <v>304980.39</v>
      </c>
      <c r="F40" s="3">
        <f>ROUND(E40/113.8*117.8,0)</f>
        <v>315700</v>
      </c>
      <c r="G40" s="3">
        <f>ROUND(F40/117.8*118.8,0)</f>
        <v>318380</v>
      </c>
      <c r="H40" s="3">
        <f>ROUND(G40/118.8*120.2,0)</f>
        <v>322132</v>
      </c>
      <c r="I40" s="3" t="s">
        <v>126</v>
      </c>
      <c r="J40" s="3">
        <v>332750</v>
      </c>
      <c r="K40" s="3">
        <f t="shared" si="11"/>
        <v>332750</v>
      </c>
      <c r="L40" s="3">
        <f t="shared" si="0"/>
        <v>340048</v>
      </c>
      <c r="M40" s="3">
        <f t="shared" si="1"/>
        <v>362754</v>
      </c>
      <c r="N40" s="3">
        <f t="shared" si="2"/>
        <v>390055</v>
      </c>
      <c r="O40" s="3">
        <f t="shared" si="3"/>
        <v>409517</v>
      </c>
      <c r="P40" s="3">
        <f t="shared" si="4"/>
        <v>431953</v>
      </c>
      <c r="Q40" s="3"/>
      <c r="R40" s="5">
        <f t="shared" si="5"/>
        <v>431953</v>
      </c>
    </row>
    <row r="41" spans="1:20" x14ac:dyDescent="0.25">
      <c r="A41" s="2" t="s">
        <v>134</v>
      </c>
      <c r="B41" s="2" t="s">
        <v>120</v>
      </c>
      <c r="C41" s="2" t="s">
        <v>56</v>
      </c>
      <c r="D41" s="29" t="s">
        <v>3</v>
      </c>
      <c r="E41" s="3"/>
      <c r="F41" s="3"/>
      <c r="G41" s="2"/>
      <c r="H41" s="3"/>
      <c r="I41" s="3" t="s">
        <v>127</v>
      </c>
      <c r="J41" s="3">
        <f>ROUND(H41/120.2*121,0)</f>
        <v>0</v>
      </c>
      <c r="K41" s="3">
        <f t="shared" si="11"/>
        <v>0</v>
      </c>
      <c r="L41" s="3">
        <f t="shared" si="0"/>
        <v>0</v>
      </c>
      <c r="M41" s="3">
        <f t="shared" si="1"/>
        <v>0</v>
      </c>
      <c r="N41" s="3">
        <f t="shared" si="2"/>
        <v>0</v>
      </c>
      <c r="O41" s="3">
        <f t="shared" si="3"/>
        <v>0</v>
      </c>
      <c r="P41" s="3">
        <f t="shared" si="4"/>
        <v>0</v>
      </c>
      <c r="Q41" s="3">
        <v>1343100</v>
      </c>
      <c r="R41" s="5">
        <f t="shared" si="5"/>
        <v>1343100</v>
      </c>
      <c r="T41" s="46" t="s">
        <v>138</v>
      </c>
    </row>
    <row r="42" spans="1:20" x14ac:dyDescent="0.25">
      <c r="A42" s="2" t="s">
        <v>97</v>
      </c>
      <c r="B42" s="2" t="s">
        <v>120</v>
      </c>
      <c r="C42" s="2" t="s">
        <v>56</v>
      </c>
      <c r="D42" s="2" t="s">
        <v>3</v>
      </c>
      <c r="E42" s="3"/>
      <c r="F42" s="3">
        <f>ROUND(E42/113.8*117.8,0)</f>
        <v>0</v>
      </c>
      <c r="G42" s="3">
        <f>ROUND(F42/117.8*118.8,0)</f>
        <v>0</v>
      </c>
      <c r="H42" s="3"/>
      <c r="I42" s="3"/>
      <c r="J42" s="3">
        <f>ROUND(H42/120.2*121,0)</f>
        <v>0</v>
      </c>
      <c r="K42" s="3">
        <f t="shared" si="11"/>
        <v>0</v>
      </c>
      <c r="L42" s="3">
        <f t="shared" si="0"/>
        <v>0</v>
      </c>
      <c r="M42" s="3">
        <f t="shared" si="1"/>
        <v>0</v>
      </c>
      <c r="N42" s="3">
        <f t="shared" si="2"/>
        <v>0</v>
      </c>
      <c r="O42" s="3">
        <f t="shared" si="3"/>
        <v>0</v>
      </c>
      <c r="P42" s="3">
        <f t="shared" si="4"/>
        <v>0</v>
      </c>
      <c r="Q42" s="3">
        <v>179400</v>
      </c>
      <c r="R42" s="5">
        <f t="shared" si="5"/>
        <v>179400</v>
      </c>
      <c r="T42" s="59" t="s">
        <v>165</v>
      </c>
    </row>
    <row r="43" spans="1:20" x14ac:dyDescent="0.25">
      <c r="A43" s="2" t="s">
        <v>47</v>
      </c>
      <c r="B43" s="2" t="s">
        <v>55</v>
      </c>
      <c r="C43" s="2" t="s">
        <v>74</v>
      </c>
      <c r="D43" s="2" t="s">
        <v>3</v>
      </c>
      <c r="E43" s="3">
        <v>106692.81</v>
      </c>
      <c r="F43" s="3">
        <f>ROUND(E43/113.8*117.8,0)</f>
        <v>110443</v>
      </c>
      <c r="G43" s="3">
        <f>ROUND(F43/117.8*118.8,0)</f>
        <v>111381</v>
      </c>
      <c r="H43" s="3">
        <f>ROUND(G43/118.8*120.2,0)</f>
        <v>112694</v>
      </c>
      <c r="I43" s="3" t="s">
        <v>126</v>
      </c>
      <c r="J43" s="3">
        <v>121000</v>
      </c>
      <c r="K43" s="3">
        <f t="shared" si="11"/>
        <v>121000</v>
      </c>
      <c r="L43" s="3">
        <f t="shared" si="0"/>
        <v>123654</v>
      </c>
      <c r="M43" s="3">
        <f t="shared" si="1"/>
        <v>131911</v>
      </c>
      <c r="N43" s="3">
        <f t="shared" si="2"/>
        <v>141839</v>
      </c>
      <c r="O43" s="3">
        <f t="shared" si="3"/>
        <v>148916</v>
      </c>
      <c r="P43" s="3">
        <f t="shared" si="4"/>
        <v>157074</v>
      </c>
      <c r="Q43" s="3"/>
      <c r="R43" s="5">
        <f t="shared" si="5"/>
        <v>157074</v>
      </c>
    </row>
    <row r="44" spans="1:20" x14ac:dyDescent="0.25">
      <c r="A44" s="2" t="s">
        <v>98</v>
      </c>
      <c r="B44" s="2" t="s">
        <v>166</v>
      </c>
      <c r="C44" s="2"/>
      <c r="D44" s="2"/>
      <c r="E44" s="3"/>
      <c r="F44" s="3"/>
      <c r="G44" s="3"/>
      <c r="H44" s="3">
        <v>545000</v>
      </c>
      <c r="I44" s="3"/>
      <c r="J44" s="3">
        <f>ROUND(H44/120.2*121,0)</f>
        <v>548627</v>
      </c>
      <c r="K44" s="3">
        <f>ROUND(J44/121*123.1,0)</f>
        <v>558149</v>
      </c>
      <c r="L44" s="3">
        <f t="shared" si="0"/>
        <v>570391</v>
      </c>
      <c r="M44" s="3">
        <f t="shared" si="1"/>
        <v>608478</v>
      </c>
      <c r="N44" s="3">
        <f t="shared" si="2"/>
        <v>654273</v>
      </c>
      <c r="O44" s="3">
        <f t="shared" si="3"/>
        <v>686919</v>
      </c>
      <c r="P44" s="3">
        <f t="shared" si="4"/>
        <v>724552</v>
      </c>
      <c r="Q44" s="2"/>
      <c r="R44" s="5">
        <f t="shared" si="5"/>
        <v>724552</v>
      </c>
    </row>
    <row r="45" spans="1:20" ht="15.75" thickBot="1" x14ac:dyDescent="0.3">
      <c r="A45" s="6"/>
      <c r="E45" s="31">
        <f>SUM(E5:E41)</f>
        <v>29938320.150000002</v>
      </c>
      <c r="F45" s="31">
        <f>SUM(F5:F41)</f>
        <v>21344945</v>
      </c>
      <c r="G45" s="31">
        <f>SUM(G5:G41)</f>
        <v>16991483</v>
      </c>
      <c r="H45" s="31">
        <f>SUM(H5:H41)</f>
        <v>22182970</v>
      </c>
      <c r="I45" s="31"/>
      <c r="J45" s="31">
        <f t="shared" ref="J45:R45" si="13">SUM(J5:J44)</f>
        <v>41618447</v>
      </c>
      <c r="K45" s="31">
        <f t="shared" si="13"/>
        <v>43239009</v>
      </c>
      <c r="L45" s="31">
        <f t="shared" si="13"/>
        <v>45159296</v>
      </c>
      <c r="M45" s="31">
        <f t="shared" si="13"/>
        <v>48203499</v>
      </c>
      <c r="N45" s="31">
        <f t="shared" si="13"/>
        <v>51831333</v>
      </c>
      <c r="O45" s="31">
        <f t="shared" si="13"/>
        <v>55916733</v>
      </c>
      <c r="P45" s="31">
        <f t="shared" si="13"/>
        <v>58980158</v>
      </c>
      <c r="Q45" s="31">
        <f t="shared" si="13"/>
        <v>4869090</v>
      </c>
      <c r="R45" s="31">
        <f t="shared" si="13"/>
        <v>63849248</v>
      </c>
    </row>
    <row r="46" spans="1:20" ht="15.75" thickTop="1" x14ac:dyDescent="0.25">
      <c r="A46" s="6"/>
      <c r="I46" s="1"/>
    </row>
    <row r="47" spans="1:20" s="27" customFormat="1" x14ac:dyDescent="0.25">
      <c r="A47" s="26" t="s">
        <v>45</v>
      </c>
      <c r="B47" s="26"/>
      <c r="C47" s="26"/>
      <c r="D47" s="26"/>
      <c r="E47" s="26"/>
      <c r="F47" s="26"/>
      <c r="G47" s="26"/>
      <c r="H47" s="26"/>
      <c r="I47" s="26"/>
      <c r="J47" s="26"/>
      <c r="K47" s="26"/>
      <c r="L47" s="26"/>
      <c r="M47" s="26"/>
      <c r="N47" s="26"/>
      <c r="O47" s="26"/>
      <c r="P47" s="26"/>
      <c r="Q47" s="26"/>
      <c r="R47" s="26"/>
      <c r="S47" s="45"/>
    </row>
    <row r="48" spans="1:20" x14ac:dyDescent="0.25">
      <c r="A48" s="2" t="s">
        <v>117</v>
      </c>
      <c r="B48" s="2" t="s">
        <v>32</v>
      </c>
      <c r="C48" s="2" t="s">
        <v>76</v>
      </c>
      <c r="D48" s="2" t="s">
        <v>9</v>
      </c>
      <c r="E48" s="3">
        <v>3245071.9</v>
      </c>
      <c r="F48" s="3">
        <f t="shared" ref="F48:F64" si="14">ROUND(E48/113.8*117.8,0)</f>
        <v>3359134</v>
      </c>
      <c r="G48" s="3">
        <f t="shared" ref="G48:G64" si="15">ROUND(F48/117.8*118.8,0)</f>
        <v>3387650</v>
      </c>
      <c r="H48" s="3">
        <f t="shared" ref="H48:H64" si="16">ROUND(G48/118.8*120.2,0)</f>
        <v>3427572</v>
      </c>
      <c r="I48" s="3" t="s">
        <v>128</v>
      </c>
      <c r="J48" s="3">
        <v>3496900</v>
      </c>
      <c r="K48" s="3">
        <f t="shared" ref="K48:K64" si="17">J48</f>
        <v>3496900</v>
      </c>
      <c r="L48" s="3">
        <f t="shared" ref="L48:L64" si="18">ROUND(K48/123.1*125.8,0)</f>
        <v>3573599</v>
      </c>
      <c r="M48" s="3">
        <f t="shared" ref="M48:M64" si="19">ROUND(L48/125.8*134.2,0)</f>
        <v>3812218</v>
      </c>
      <c r="N48" s="3">
        <f t="shared" ref="N48:N64" si="20">ROUND(M48/134.2*144.3,0)</f>
        <v>4099129</v>
      </c>
      <c r="O48" s="3">
        <f t="shared" ref="O48:O64" si="21">ROUND(N48/144.3*151.5,0)</f>
        <v>4303659</v>
      </c>
      <c r="P48" s="3">
        <f t="shared" ref="P48:P64" si="22">ROUND(O48/151.5*159.8,0)</f>
        <v>4539437</v>
      </c>
      <c r="Q48" s="3">
        <v>831270</v>
      </c>
      <c r="R48" s="5">
        <f t="shared" ref="R48:R64" si="23">P48+Q48</f>
        <v>5370707</v>
      </c>
      <c r="S48" s="47"/>
    </row>
    <row r="49" spans="1:21" x14ac:dyDescent="0.25">
      <c r="A49" s="2" t="s">
        <v>24</v>
      </c>
      <c r="B49" s="2" t="s">
        <v>26</v>
      </c>
      <c r="C49" s="2" t="s">
        <v>76</v>
      </c>
      <c r="D49" s="2" t="s">
        <v>9</v>
      </c>
      <c r="E49" s="3">
        <v>577751.63</v>
      </c>
      <c r="F49" s="3">
        <f t="shared" si="14"/>
        <v>598059</v>
      </c>
      <c r="G49" s="3">
        <f t="shared" si="15"/>
        <v>603136</v>
      </c>
      <c r="H49" s="3">
        <f t="shared" si="16"/>
        <v>610244</v>
      </c>
      <c r="I49" s="3" t="s">
        <v>128</v>
      </c>
      <c r="J49" s="3">
        <v>847000</v>
      </c>
      <c r="K49" s="3">
        <f t="shared" si="17"/>
        <v>847000</v>
      </c>
      <c r="L49" s="3">
        <f t="shared" si="18"/>
        <v>865578</v>
      </c>
      <c r="M49" s="3">
        <f t="shared" si="19"/>
        <v>923375</v>
      </c>
      <c r="N49" s="3">
        <f t="shared" si="20"/>
        <v>992869</v>
      </c>
      <c r="O49" s="3">
        <f t="shared" si="21"/>
        <v>1042409</v>
      </c>
      <c r="P49" s="3">
        <f t="shared" si="22"/>
        <v>1099518</v>
      </c>
      <c r="Q49" s="3">
        <v>82280</v>
      </c>
      <c r="R49" s="5">
        <f t="shared" si="23"/>
        <v>1181798</v>
      </c>
    </row>
    <row r="50" spans="1:21" x14ac:dyDescent="0.25">
      <c r="A50" s="2" t="s">
        <v>27</v>
      </c>
      <c r="B50" s="2" t="s">
        <v>42</v>
      </c>
      <c r="C50" s="2" t="s">
        <v>76</v>
      </c>
      <c r="D50" s="2" t="s">
        <v>9</v>
      </c>
      <c r="E50" s="3">
        <v>2821320.26</v>
      </c>
      <c r="F50" s="3">
        <f t="shared" si="14"/>
        <v>2920488</v>
      </c>
      <c r="G50" s="3">
        <f t="shared" si="15"/>
        <v>2945280</v>
      </c>
      <c r="H50" s="3">
        <f t="shared" si="16"/>
        <v>2979989</v>
      </c>
      <c r="I50" s="3" t="s">
        <v>128</v>
      </c>
      <c r="J50" s="3">
        <v>3327500</v>
      </c>
      <c r="K50" s="3">
        <f t="shared" si="17"/>
        <v>3327500</v>
      </c>
      <c r="L50" s="3">
        <f t="shared" si="18"/>
        <v>3400483</v>
      </c>
      <c r="M50" s="3">
        <f t="shared" si="19"/>
        <v>3627542</v>
      </c>
      <c r="N50" s="3">
        <f t="shared" si="20"/>
        <v>3900554</v>
      </c>
      <c r="O50" s="3">
        <f t="shared" si="21"/>
        <v>4095176</v>
      </c>
      <c r="P50" s="3">
        <f t="shared" si="22"/>
        <v>4319532</v>
      </c>
      <c r="Q50" s="3">
        <v>907500</v>
      </c>
      <c r="R50" s="5">
        <f t="shared" si="23"/>
        <v>5227032</v>
      </c>
    </row>
    <row r="51" spans="1:21" x14ac:dyDescent="0.25">
      <c r="A51" s="2" t="s">
        <v>24</v>
      </c>
      <c r="B51" s="2" t="s">
        <v>30</v>
      </c>
      <c r="C51" s="2" t="s">
        <v>62</v>
      </c>
      <c r="D51" s="2" t="s">
        <v>22</v>
      </c>
      <c r="E51" s="3">
        <v>734771.24</v>
      </c>
      <c r="F51" s="3">
        <f t="shared" si="14"/>
        <v>760598</v>
      </c>
      <c r="G51" s="3">
        <f t="shared" si="15"/>
        <v>767055</v>
      </c>
      <c r="H51" s="3">
        <f t="shared" si="16"/>
        <v>776094</v>
      </c>
      <c r="I51" s="3" t="s">
        <v>128</v>
      </c>
      <c r="J51" s="3">
        <v>889350</v>
      </c>
      <c r="K51" s="3">
        <f t="shared" si="17"/>
        <v>889350</v>
      </c>
      <c r="L51" s="3">
        <f t="shared" si="18"/>
        <v>908856</v>
      </c>
      <c r="M51" s="3">
        <f t="shared" si="19"/>
        <v>969543</v>
      </c>
      <c r="N51" s="3">
        <f t="shared" si="20"/>
        <v>1042512</v>
      </c>
      <c r="O51" s="3">
        <f t="shared" si="21"/>
        <v>1094529</v>
      </c>
      <c r="P51" s="3">
        <f t="shared" si="22"/>
        <v>1154493</v>
      </c>
      <c r="Q51" s="3">
        <v>82280</v>
      </c>
      <c r="R51" s="5">
        <f t="shared" si="23"/>
        <v>1236773</v>
      </c>
    </row>
    <row r="52" spans="1:21" x14ac:dyDescent="0.25">
      <c r="A52" s="2" t="s">
        <v>28</v>
      </c>
      <c r="B52" s="2" t="s">
        <v>29</v>
      </c>
      <c r="C52" s="2" t="s">
        <v>77</v>
      </c>
      <c r="D52" s="2" t="s">
        <v>23</v>
      </c>
      <c r="E52" s="3">
        <v>2655241.83</v>
      </c>
      <c r="F52" s="3">
        <f t="shared" si="14"/>
        <v>2748572</v>
      </c>
      <c r="G52" s="3">
        <f t="shared" si="15"/>
        <v>2771905</v>
      </c>
      <c r="H52" s="3">
        <f t="shared" si="16"/>
        <v>2804571</v>
      </c>
      <c r="I52" s="3" t="s">
        <v>128</v>
      </c>
      <c r="J52" s="3">
        <v>2873750</v>
      </c>
      <c r="K52" s="3">
        <f t="shared" si="17"/>
        <v>2873750</v>
      </c>
      <c r="L52" s="3">
        <f t="shared" si="18"/>
        <v>2936781</v>
      </c>
      <c r="M52" s="3">
        <f t="shared" si="19"/>
        <v>3132878</v>
      </c>
      <c r="N52" s="3">
        <f t="shared" si="20"/>
        <v>3368661</v>
      </c>
      <c r="O52" s="3">
        <f t="shared" si="21"/>
        <v>3536744</v>
      </c>
      <c r="P52" s="3">
        <f t="shared" si="22"/>
        <v>3730506</v>
      </c>
      <c r="Q52" s="3">
        <v>635250</v>
      </c>
      <c r="R52" s="5">
        <f t="shared" si="23"/>
        <v>4365756</v>
      </c>
      <c r="S52" s="1"/>
      <c r="T52" s="47" t="s">
        <v>135</v>
      </c>
    </row>
    <row r="53" spans="1:21" x14ac:dyDescent="0.25">
      <c r="A53" s="2" t="s">
        <v>33</v>
      </c>
      <c r="B53" s="2" t="s">
        <v>34</v>
      </c>
      <c r="C53" s="2" t="s">
        <v>80</v>
      </c>
      <c r="D53" s="2" t="s">
        <v>3</v>
      </c>
      <c r="E53" s="3">
        <v>2784078.43</v>
      </c>
      <c r="F53" s="3">
        <f t="shared" si="14"/>
        <v>2881937</v>
      </c>
      <c r="G53" s="3">
        <f t="shared" si="15"/>
        <v>2906402</v>
      </c>
      <c r="H53" s="3">
        <f t="shared" si="16"/>
        <v>2940653</v>
      </c>
      <c r="I53" s="3" t="s">
        <v>128</v>
      </c>
      <c r="J53" s="3">
        <v>2964500</v>
      </c>
      <c r="K53" s="3">
        <f t="shared" si="17"/>
        <v>2964500</v>
      </c>
      <c r="L53" s="3">
        <f t="shared" si="18"/>
        <v>3029522</v>
      </c>
      <c r="M53" s="3">
        <f t="shared" si="19"/>
        <v>3231811</v>
      </c>
      <c r="N53" s="3">
        <f t="shared" si="20"/>
        <v>3475040</v>
      </c>
      <c r="O53" s="3">
        <f t="shared" si="21"/>
        <v>3648431</v>
      </c>
      <c r="P53" s="3">
        <f t="shared" si="22"/>
        <v>3848312</v>
      </c>
      <c r="Q53" s="3">
        <v>619520</v>
      </c>
      <c r="R53" s="5">
        <f t="shared" si="23"/>
        <v>4467832</v>
      </c>
    </row>
    <row r="54" spans="1:21" x14ac:dyDescent="0.25">
      <c r="A54" s="2" t="s">
        <v>116</v>
      </c>
      <c r="B54" s="2" t="s">
        <v>192</v>
      </c>
      <c r="C54" s="2" t="s">
        <v>78</v>
      </c>
      <c r="D54" s="2" t="s">
        <v>3</v>
      </c>
      <c r="E54" s="3">
        <v>1970797.39</v>
      </c>
      <c r="F54" s="3">
        <f t="shared" si="14"/>
        <v>2040070</v>
      </c>
      <c r="G54" s="3">
        <f t="shared" si="15"/>
        <v>2057388</v>
      </c>
      <c r="H54" s="3">
        <f t="shared" si="16"/>
        <v>2081633</v>
      </c>
      <c r="I54" s="3" t="s">
        <v>128</v>
      </c>
      <c r="J54" s="3">
        <v>2105400</v>
      </c>
      <c r="K54" s="3">
        <f t="shared" si="17"/>
        <v>2105400</v>
      </c>
      <c r="L54" s="3">
        <f t="shared" si="18"/>
        <v>2151579</v>
      </c>
      <c r="M54" s="3">
        <f t="shared" si="19"/>
        <v>2295246</v>
      </c>
      <c r="N54" s="3">
        <f t="shared" si="20"/>
        <v>2467988</v>
      </c>
      <c r="O54" s="3">
        <f t="shared" si="21"/>
        <v>2591131</v>
      </c>
      <c r="P54" s="3">
        <f t="shared" si="22"/>
        <v>2733087</v>
      </c>
      <c r="Q54" s="3">
        <v>417450</v>
      </c>
      <c r="R54" s="5">
        <f t="shared" si="23"/>
        <v>3150537</v>
      </c>
    </row>
    <row r="55" spans="1:21" x14ac:dyDescent="0.25">
      <c r="A55" s="2" t="s">
        <v>24</v>
      </c>
      <c r="B55" s="2" t="s">
        <v>94</v>
      </c>
      <c r="C55" s="2" t="s">
        <v>75</v>
      </c>
      <c r="D55" s="2" t="s">
        <v>3</v>
      </c>
      <c r="E55" s="3">
        <v>745843.14</v>
      </c>
      <c r="F55" s="3">
        <f t="shared" si="14"/>
        <v>772059</v>
      </c>
      <c r="G55" s="3">
        <f t="shared" si="15"/>
        <v>778613</v>
      </c>
      <c r="H55" s="3">
        <f t="shared" si="16"/>
        <v>787789</v>
      </c>
      <c r="I55" s="3" t="s">
        <v>128</v>
      </c>
      <c r="J55" s="3">
        <v>853050</v>
      </c>
      <c r="K55" s="3">
        <f t="shared" si="17"/>
        <v>853050</v>
      </c>
      <c r="L55" s="3">
        <f t="shared" si="18"/>
        <v>871760</v>
      </c>
      <c r="M55" s="3">
        <f t="shared" si="19"/>
        <v>929970</v>
      </c>
      <c r="N55" s="3">
        <f t="shared" si="20"/>
        <v>999960</v>
      </c>
      <c r="O55" s="3">
        <f t="shared" si="21"/>
        <v>1049854</v>
      </c>
      <c r="P55" s="3">
        <f t="shared" si="22"/>
        <v>1107371</v>
      </c>
      <c r="Q55" s="3">
        <v>73810</v>
      </c>
      <c r="R55" s="5">
        <f t="shared" si="23"/>
        <v>1181181</v>
      </c>
    </row>
    <row r="56" spans="1:21" s="25" customFormat="1" x14ac:dyDescent="0.25">
      <c r="A56" s="2" t="s">
        <v>206</v>
      </c>
      <c r="B56" s="2" t="s">
        <v>205</v>
      </c>
      <c r="C56" s="2" t="s">
        <v>78</v>
      </c>
      <c r="D56" s="2" t="s">
        <v>3</v>
      </c>
      <c r="E56" s="3">
        <v>2794143.79</v>
      </c>
      <c r="F56" s="3">
        <f t="shared" si="14"/>
        <v>2892356</v>
      </c>
      <c r="G56" s="3">
        <f t="shared" si="15"/>
        <v>2916909</v>
      </c>
      <c r="H56" s="3">
        <f t="shared" si="16"/>
        <v>2951283</v>
      </c>
      <c r="I56" s="3" t="s">
        <v>128</v>
      </c>
      <c r="J56" s="3">
        <v>2698300</v>
      </c>
      <c r="K56" s="3">
        <f t="shared" si="17"/>
        <v>2698300</v>
      </c>
      <c r="L56" s="3">
        <f t="shared" si="18"/>
        <v>2757483</v>
      </c>
      <c r="M56" s="3">
        <f t="shared" si="19"/>
        <v>2941607</v>
      </c>
      <c r="N56" s="3">
        <f t="shared" si="20"/>
        <v>3162995</v>
      </c>
      <c r="O56" s="76">
        <f>ROUND(N56/144.3*151.5,0)+95000</f>
        <v>3415816</v>
      </c>
      <c r="P56" s="3">
        <f t="shared" si="22"/>
        <v>3602953</v>
      </c>
      <c r="Q56" s="3">
        <v>732050</v>
      </c>
      <c r="R56" s="5">
        <f t="shared" si="23"/>
        <v>4335003</v>
      </c>
      <c r="S56" s="44"/>
      <c r="T56" s="25" t="s">
        <v>203</v>
      </c>
    </row>
    <row r="57" spans="1:21" s="25" customFormat="1" x14ac:dyDescent="0.25">
      <c r="A57" s="2" t="s">
        <v>31</v>
      </c>
      <c r="B57" s="2" t="s">
        <v>136</v>
      </c>
      <c r="C57" s="2" t="s">
        <v>137</v>
      </c>
      <c r="D57" s="2" t="s">
        <v>3</v>
      </c>
      <c r="E57" s="3">
        <v>1081019.6100000001</v>
      </c>
      <c r="F57" s="3">
        <f t="shared" si="14"/>
        <v>1119017</v>
      </c>
      <c r="G57" s="3">
        <f t="shared" si="15"/>
        <v>1128516</v>
      </c>
      <c r="H57" s="3">
        <f t="shared" si="16"/>
        <v>1141815</v>
      </c>
      <c r="I57" s="3" t="s">
        <v>128</v>
      </c>
      <c r="J57" s="3">
        <v>1543960</v>
      </c>
      <c r="K57" s="3">
        <f t="shared" si="17"/>
        <v>1543960</v>
      </c>
      <c r="L57" s="3">
        <f t="shared" si="18"/>
        <v>1577824</v>
      </c>
      <c r="M57" s="3">
        <f t="shared" si="19"/>
        <v>1683179</v>
      </c>
      <c r="N57" s="3">
        <f t="shared" si="20"/>
        <v>1809856</v>
      </c>
      <c r="O57" s="3">
        <f t="shared" si="21"/>
        <v>1900161</v>
      </c>
      <c r="P57" s="3">
        <f t="shared" si="22"/>
        <v>2004262</v>
      </c>
      <c r="Q57" s="3">
        <v>369050</v>
      </c>
      <c r="R57" s="5">
        <f t="shared" si="23"/>
        <v>2373312</v>
      </c>
      <c r="S57" s="44"/>
    </row>
    <row r="58" spans="1:21" x14ac:dyDescent="0.25">
      <c r="A58" s="36" t="s">
        <v>107</v>
      </c>
      <c r="B58" s="2" t="s">
        <v>82</v>
      </c>
      <c r="C58" s="2" t="s">
        <v>81</v>
      </c>
      <c r="D58" s="38" t="s">
        <v>3</v>
      </c>
      <c r="E58" s="39">
        <v>17548954.25</v>
      </c>
      <c r="F58" s="40">
        <f t="shared" si="14"/>
        <v>18165789</v>
      </c>
      <c r="G58" s="40">
        <f t="shared" si="15"/>
        <v>18319998</v>
      </c>
      <c r="H58" s="3">
        <f t="shared" si="16"/>
        <v>18535890</v>
      </c>
      <c r="I58" s="3" t="s">
        <v>128</v>
      </c>
      <c r="J58" s="3">
        <v>20146500</v>
      </c>
      <c r="K58" s="3">
        <f t="shared" si="17"/>
        <v>20146500</v>
      </c>
      <c r="L58" s="3">
        <f t="shared" si="18"/>
        <v>20588381</v>
      </c>
      <c r="M58" s="3">
        <f t="shared" si="19"/>
        <v>21963122</v>
      </c>
      <c r="N58" s="3">
        <f t="shared" si="20"/>
        <v>23616084</v>
      </c>
      <c r="O58" s="3">
        <f t="shared" si="21"/>
        <v>24794433</v>
      </c>
      <c r="P58" s="3">
        <f t="shared" si="22"/>
        <v>26152808</v>
      </c>
      <c r="Q58" s="40">
        <f>5233250+218333</f>
        <v>5451583</v>
      </c>
      <c r="R58" s="5">
        <f t="shared" si="23"/>
        <v>31604391</v>
      </c>
      <c r="S58" s="1"/>
      <c r="T58" s="44" t="s">
        <v>139</v>
      </c>
      <c r="U58" s="56" t="s">
        <v>202</v>
      </c>
    </row>
    <row r="59" spans="1:21" s="33" customFormat="1" x14ac:dyDescent="0.25">
      <c r="A59" s="2" t="s">
        <v>180</v>
      </c>
      <c r="B59" s="29" t="s">
        <v>194</v>
      </c>
      <c r="C59" s="29" t="s">
        <v>81</v>
      </c>
      <c r="D59" s="29" t="s">
        <v>185</v>
      </c>
      <c r="E59" s="78"/>
      <c r="F59" s="78"/>
      <c r="G59" s="78"/>
      <c r="H59" s="78"/>
      <c r="I59" s="78"/>
      <c r="J59" s="78"/>
      <c r="K59" s="78"/>
      <c r="L59" s="78"/>
      <c r="M59" s="78"/>
      <c r="N59" s="78"/>
      <c r="O59" s="78"/>
      <c r="P59" s="3">
        <f t="shared" si="22"/>
        <v>0</v>
      </c>
      <c r="Q59" s="3">
        <v>170026</v>
      </c>
      <c r="R59" s="5">
        <f t="shared" si="23"/>
        <v>170026</v>
      </c>
      <c r="S59" s="47"/>
      <c r="T59" s="33" t="s">
        <v>186</v>
      </c>
    </row>
    <row r="60" spans="1:21" s="33" customFormat="1" x14ac:dyDescent="0.25">
      <c r="A60" s="2" t="s">
        <v>180</v>
      </c>
      <c r="B60" s="29" t="s">
        <v>194</v>
      </c>
      <c r="C60" s="29" t="s">
        <v>81</v>
      </c>
      <c r="D60" s="29" t="s">
        <v>185</v>
      </c>
      <c r="E60" s="78"/>
      <c r="F60" s="78"/>
      <c r="G60" s="78"/>
      <c r="H60" s="78"/>
      <c r="I60" s="78"/>
      <c r="J60" s="78"/>
      <c r="K60" s="78"/>
      <c r="L60" s="78"/>
      <c r="M60" s="78"/>
      <c r="N60" s="78"/>
      <c r="O60" s="78"/>
      <c r="P60" s="3">
        <f t="shared" si="22"/>
        <v>0</v>
      </c>
      <c r="Q60" s="3">
        <v>300000</v>
      </c>
      <c r="R60" s="5">
        <f t="shared" si="23"/>
        <v>300000</v>
      </c>
      <c r="S60" s="47"/>
      <c r="T60" s="33" t="s">
        <v>187</v>
      </c>
    </row>
    <row r="61" spans="1:21" s="33" customFormat="1" x14ac:dyDescent="0.25">
      <c r="A61" s="2" t="s">
        <v>180</v>
      </c>
      <c r="B61" s="29" t="s">
        <v>194</v>
      </c>
      <c r="C61" s="29" t="s">
        <v>81</v>
      </c>
      <c r="D61" s="89" t="s">
        <v>159</v>
      </c>
      <c r="E61" s="79"/>
      <c r="F61" s="80"/>
      <c r="G61" s="80"/>
      <c r="H61" s="81"/>
      <c r="I61" s="81"/>
      <c r="J61" s="81"/>
      <c r="K61" s="81"/>
      <c r="L61" s="81"/>
      <c r="M61" s="81"/>
      <c r="N61" s="81"/>
      <c r="O61" s="81">
        <v>4262244</v>
      </c>
      <c r="P61" s="3">
        <f t="shared" si="22"/>
        <v>4495753</v>
      </c>
      <c r="Q61" s="3"/>
      <c r="R61" s="5">
        <f t="shared" si="23"/>
        <v>4495753</v>
      </c>
      <c r="T61" s="47" t="s">
        <v>195</v>
      </c>
    </row>
    <row r="62" spans="1:21" s="66" customFormat="1" ht="30" x14ac:dyDescent="0.25">
      <c r="A62" s="57" t="s">
        <v>161</v>
      </c>
      <c r="B62" s="61" t="s">
        <v>43</v>
      </c>
      <c r="C62" s="61" t="s">
        <v>79</v>
      </c>
      <c r="D62" s="62" t="s">
        <v>3</v>
      </c>
      <c r="E62" s="63">
        <v>1448405.23</v>
      </c>
      <c r="F62" s="64">
        <f t="shared" si="14"/>
        <v>1499316</v>
      </c>
      <c r="G62" s="64">
        <f t="shared" si="15"/>
        <v>1512044</v>
      </c>
      <c r="H62" s="65">
        <f t="shared" si="16"/>
        <v>1529863</v>
      </c>
      <c r="I62" s="65" t="s">
        <v>126</v>
      </c>
      <c r="J62" s="65">
        <v>1331000</v>
      </c>
      <c r="K62" s="65">
        <f t="shared" si="17"/>
        <v>1331000</v>
      </c>
      <c r="L62" s="65">
        <f t="shared" si="18"/>
        <v>1360193</v>
      </c>
      <c r="M62" s="65">
        <f t="shared" si="19"/>
        <v>1451017</v>
      </c>
      <c r="N62" s="3">
        <f t="shared" si="20"/>
        <v>1560222</v>
      </c>
      <c r="O62" s="3">
        <f t="shared" si="21"/>
        <v>1638071</v>
      </c>
      <c r="P62" s="3">
        <f t="shared" si="22"/>
        <v>1727814</v>
      </c>
      <c r="Q62" s="65">
        <v>0</v>
      </c>
      <c r="R62" s="5">
        <f t="shared" si="23"/>
        <v>1727814</v>
      </c>
      <c r="T62" s="58" t="s">
        <v>162</v>
      </c>
    </row>
    <row r="63" spans="1:21" x14ac:dyDescent="0.25">
      <c r="A63" s="36" t="s">
        <v>24</v>
      </c>
      <c r="B63" s="2" t="s">
        <v>25</v>
      </c>
      <c r="C63" s="2" t="s">
        <v>71</v>
      </c>
      <c r="D63" s="38" t="s">
        <v>3</v>
      </c>
      <c r="E63" s="39">
        <v>607947.71</v>
      </c>
      <c r="F63" s="40">
        <f t="shared" si="14"/>
        <v>629317</v>
      </c>
      <c r="G63" s="40">
        <f t="shared" si="15"/>
        <v>634659</v>
      </c>
      <c r="H63" s="3">
        <f t="shared" si="16"/>
        <v>642138</v>
      </c>
      <c r="I63" s="3" t="s">
        <v>128</v>
      </c>
      <c r="J63" s="3">
        <v>840950</v>
      </c>
      <c r="K63" s="3">
        <f t="shared" si="17"/>
        <v>840950</v>
      </c>
      <c r="L63" s="3">
        <f t="shared" si="18"/>
        <v>859395</v>
      </c>
      <c r="M63" s="3">
        <f t="shared" si="19"/>
        <v>916779</v>
      </c>
      <c r="N63" s="3">
        <f t="shared" si="20"/>
        <v>985777</v>
      </c>
      <c r="O63" s="3">
        <f t="shared" si="21"/>
        <v>1034963</v>
      </c>
      <c r="P63" s="3">
        <f t="shared" si="22"/>
        <v>1091664</v>
      </c>
      <c r="Q63" s="3">
        <v>82280</v>
      </c>
      <c r="R63" s="5">
        <f t="shared" si="23"/>
        <v>1173944</v>
      </c>
    </row>
    <row r="64" spans="1:21" x14ac:dyDescent="0.25">
      <c r="A64" s="36" t="s">
        <v>35</v>
      </c>
      <c r="B64" s="2" t="s">
        <v>36</v>
      </c>
      <c r="C64" s="2" t="s">
        <v>57</v>
      </c>
      <c r="D64" s="38" t="s">
        <v>3</v>
      </c>
      <c r="E64" s="39">
        <v>3968771.24</v>
      </c>
      <c r="F64" s="40">
        <f t="shared" si="14"/>
        <v>4108271</v>
      </c>
      <c r="G64" s="40">
        <f t="shared" si="15"/>
        <v>4143146</v>
      </c>
      <c r="H64" s="3">
        <f t="shared" si="16"/>
        <v>4191971</v>
      </c>
      <c r="I64" s="3" t="s">
        <v>128</v>
      </c>
      <c r="J64" s="3">
        <v>3811500</v>
      </c>
      <c r="K64" s="3">
        <f t="shared" si="17"/>
        <v>3811500</v>
      </c>
      <c r="L64" s="3">
        <f t="shared" si="18"/>
        <v>3895099</v>
      </c>
      <c r="M64" s="3">
        <f t="shared" si="19"/>
        <v>4155185</v>
      </c>
      <c r="N64" s="3">
        <f t="shared" si="20"/>
        <v>4467908</v>
      </c>
      <c r="O64" s="3">
        <f t="shared" si="21"/>
        <v>4690839</v>
      </c>
      <c r="P64" s="3">
        <f t="shared" si="22"/>
        <v>4947829</v>
      </c>
      <c r="Q64" s="3">
        <v>724790</v>
      </c>
      <c r="R64" s="5">
        <f t="shared" si="23"/>
        <v>5672619</v>
      </c>
    </row>
    <row r="65" spans="1:20" ht="15.75" thickBot="1" x14ac:dyDescent="0.3">
      <c r="E65" s="34">
        <f>SUM(E48:E57)</f>
        <v>19410039.219999999</v>
      </c>
      <c r="F65" s="35">
        <f>SUM(F48:F57)</f>
        <v>20092290</v>
      </c>
      <c r="G65" s="35">
        <f>SUM(G48:G57)</f>
        <v>20262854</v>
      </c>
      <c r="H65" s="37">
        <f>SUM(H48:H64)</f>
        <v>45401505</v>
      </c>
      <c r="I65" s="37"/>
      <c r="J65" s="37">
        <f t="shared" ref="J65:R65" si="24">SUM(J48:J64)</f>
        <v>47729660</v>
      </c>
      <c r="K65" s="37">
        <f t="shared" si="24"/>
        <v>47729660</v>
      </c>
      <c r="L65" s="37">
        <f t="shared" si="24"/>
        <v>48776533</v>
      </c>
      <c r="M65" s="37">
        <f t="shared" si="24"/>
        <v>52033472</v>
      </c>
      <c r="N65" s="37">
        <f t="shared" si="24"/>
        <v>55949555</v>
      </c>
      <c r="O65" s="37">
        <f t="shared" ref="O65:P65" si="25">SUM(O48:O64)</f>
        <v>63098460</v>
      </c>
      <c r="P65" s="37">
        <f t="shared" si="25"/>
        <v>66555339</v>
      </c>
      <c r="Q65" s="37">
        <f t="shared" si="24"/>
        <v>11479139</v>
      </c>
      <c r="R65" s="37">
        <f t="shared" si="24"/>
        <v>78034478</v>
      </c>
    </row>
    <row r="66" spans="1:20" ht="15.75" thickTop="1" x14ac:dyDescent="0.25">
      <c r="I66" s="1"/>
    </row>
    <row r="67" spans="1:20" s="15" customFormat="1" x14ac:dyDescent="0.25">
      <c r="E67" s="16" t="s">
        <v>48</v>
      </c>
      <c r="F67" s="17">
        <f>SUM(F65+F45)</f>
        <v>41437235</v>
      </c>
      <c r="G67" s="17">
        <f>SUM(G65+G45)</f>
        <v>37254337</v>
      </c>
      <c r="H67" s="17">
        <f>SUM(H65+H45)</f>
        <v>67584475</v>
      </c>
      <c r="I67" s="17"/>
      <c r="J67" s="17">
        <f t="shared" ref="J67:R67" si="26">SUM(J65+J45)</f>
        <v>89348107</v>
      </c>
      <c r="K67" s="17">
        <f t="shared" si="26"/>
        <v>90968669</v>
      </c>
      <c r="L67" s="17">
        <f t="shared" si="26"/>
        <v>93935829</v>
      </c>
      <c r="M67" s="17">
        <f t="shared" si="26"/>
        <v>100236971</v>
      </c>
      <c r="N67" s="17">
        <f t="shared" ref="N67:O67" si="27">SUM(N65+N45)</f>
        <v>107780888</v>
      </c>
      <c r="O67" s="17">
        <f t="shared" si="27"/>
        <v>119015193</v>
      </c>
      <c r="P67" s="17">
        <f t="shared" ref="P67" si="28">SUM(P65+P45)</f>
        <v>125535497</v>
      </c>
      <c r="Q67" s="17">
        <f t="shared" si="26"/>
        <v>16348229</v>
      </c>
      <c r="R67" s="17">
        <f t="shared" si="26"/>
        <v>141883726</v>
      </c>
      <c r="S67" s="48"/>
    </row>
    <row r="68" spans="1:20" x14ac:dyDescent="0.25">
      <c r="A68" s="1" t="s">
        <v>141</v>
      </c>
    </row>
    <row r="69" spans="1:20" x14ac:dyDescent="0.25">
      <c r="A69" s="1" t="s">
        <v>142</v>
      </c>
      <c r="J69" s="41"/>
      <c r="Q69" s="41"/>
      <c r="R69" s="41"/>
    </row>
    <row r="70" spans="1:20" x14ac:dyDescent="0.25">
      <c r="J70" s="41"/>
      <c r="Q70" s="41"/>
      <c r="R70" s="41"/>
    </row>
    <row r="71" spans="1:20" x14ac:dyDescent="0.25">
      <c r="A71" s="56" t="s">
        <v>220</v>
      </c>
    </row>
    <row r="72" spans="1:20" x14ac:dyDescent="0.25">
      <c r="A72" s="2" t="s">
        <v>129</v>
      </c>
      <c r="B72" s="2" t="s">
        <v>19</v>
      </c>
      <c r="C72" s="2" t="s">
        <v>63</v>
      </c>
      <c r="D72" s="2" t="s">
        <v>9</v>
      </c>
      <c r="E72" s="3">
        <v>6012039.2199999997</v>
      </c>
      <c r="F72" s="3">
        <f>ROUND(E72/113.8*117.8,0)</f>
        <v>6223359</v>
      </c>
      <c r="G72" s="3"/>
      <c r="H72" s="3">
        <v>4991250</v>
      </c>
      <c r="I72" s="3" t="s">
        <v>128</v>
      </c>
      <c r="J72" s="3">
        <v>6594500</v>
      </c>
      <c r="K72" s="3">
        <f t="shared" ref="K72" si="29">J72</f>
        <v>6594500</v>
      </c>
      <c r="L72" s="3">
        <f t="shared" ref="L72" si="30">ROUND(K72/123.1*125.8,0)</f>
        <v>6739140</v>
      </c>
      <c r="M72" s="3">
        <f t="shared" ref="M72:M73" si="31">ROUND(L72/125.8*134.2,0)</f>
        <v>7189130</v>
      </c>
      <c r="N72" s="3">
        <f t="shared" ref="N72:N73" si="32">ROUND(M72/134.2*144.3,0)</f>
        <v>7730190</v>
      </c>
      <c r="O72" s="3">
        <f t="shared" ref="O72:O73" si="33">ROUND(N72/144.3*151.5,0)</f>
        <v>8115896</v>
      </c>
      <c r="P72" s="3">
        <f t="shared" ref="P72:P73" si="34">ROUND(O72/151.5*159.8,0)</f>
        <v>8560529</v>
      </c>
      <c r="Q72" s="3">
        <v>277090</v>
      </c>
      <c r="R72" s="5">
        <f t="shared" ref="R72:R73" si="35">P72+Q72</f>
        <v>8837619</v>
      </c>
      <c r="S72" s="44" t="s">
        <v>44</v>
      </c>
      <c r="T72" s="92" t="s">
        <v>219</v>
      </c>
    </row>
    <row r="73" spans="1:20" s="33" customFormat="1" x14ac:dyDescent="0.25">
      <c r="A73" s="2" t="s">
        <v>160</v>
      </c>
      <c r="B73" s="60" t="s">
        <v>158</v>
      </c>
      <c r="C73" s="2" t="s">
        <v>209</v>
      </c>
      <c r="D73" s="2" t="s">
        <v>159</v>
      </c>
      <c r="E73" s="2"/>
      <c r="F73" s="2"/>
      <c r="G73" s="2"/>
      <c r="H73" s="2"/>
      <c r="I73" s="2"/>
      <c r="J73" s="2"/>
      <c r="K73" s="2"/>
      <c r="L73" s="53">
        <v>971911</v>
      </c>
      <c r="M73" s="3">
        <f t="shared" si="31"/>
        <v>1036808</v>
      </c>
      <c r="N73" s="3">
        <f t="shared" si="32"/>
        <v>1114839</v>
      </c>
      <c r="O73" s="3">
        <f t="shared" si="33"/>
        <v>1170465</v>
      </c>
      <c r="P73" s="3">
        <f t="shared" si="34"/>
        <v>1234589</v>
      </c>
      <c r="Q73" s="2"/>
      <c r="R73" s="5">
        <f t="shared" si="35"/>
        <v>1234589</v>
      </c>
      <c r="S73" s="47"/>
      <c r="T73" s="56" t="s">
        <v>223</v>
      </c>
    </row>
  </sheetData>
  <sortState ref="A5:Q43">
    <sortCondition ref="D5:D43"/>
    <sortCondition ref="B5:B43"/>
  </sortState>
  <phoneticPr fontId="5" type="noConversion"/>
  <pageMargins left="0.39370078740157483" right="0.39370078740157483" top="1.5748031496062993" bottom="0.86614173228346458" header="0.31496062992125984" footer="0.70866141732283472"/>
  <pageSetup paperSize="9" scale="68" fitToHeight="5" orientation="landscape"/>
  <headerFooter>
    <oddFooter>&amp;L&amp;"Arial,Standaard"&amp;10&amp;F &amp;A&amp;C&amp;"Arial,Standaard"&amp;10&amp;P&amp;R&amp;"Arial,Standaard"&amp;10&amp;D</oddFooter>
  </headerFooter>
  <rowBreaks count="1" manualBreakCount="1">
    <brk id="46" max="13" man="1"/>
  </rowBreaks>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3</vt:i4>
      </vt:variant>
    </vt:vector>
  </HeadingPairs>
  <TitlesOfParts>
    <vt:vector size="5" baseType="lpstr">
      <vt:lpstr>premieberekening</vt:lpstr>
      <vt:lpstr>specificatie</vt:lpstr>
      <vt:lpstr>premieberekening!Afdrukbereik</vt:lpstr>
      <vt:lpstr>specificatie!Afdrukbereik</vt:lpstr>
      <vt:lpstr>specificatie!Afdruktitels</vt:lpstr>
    </vt:vector>
  </TitlesOfParts>
  <Company>Gemeente Geertruidenberg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Jeannette Lensvelt</dc:creator>
  <cp:lastModifiedBy>Lizette van der Laan</cp:lastModifiedBy>
  <cp:lastPrinted>2021-08-10T11:20:04Z</cp:lastPrinted>
  <dcterms:created xsi:type="dcterms:W3CDTF">2013-01-24T16:29:55Z</dcterms:created>
  <dcterms:modified xsi:type="dcterms:W3CDTF">2022-09-21T13:11:22Z</dcterms:modified>
</cp:coreProperties>
</file>