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DATA\Inkoop\1. Lopende aanbestedingen\2022 Schoonmaakdienstverlening\3. Nota van inlichtingen\Nota van Inlichtingen 1\"/>
    </mc:Choice>
  </mc:AlternateContent>
  <xr:revisionPtr revIDLastSave="0" documentId="8_{818886DE-F758-43C8-9229-B48F74E77D0B}" xr6:coauthVersionLast="47" xr6:coauthVersionMax="47" xr10:uidLastSave="{00000000-0000-0000-0000-000000000000}"/>
  <bookViews>
    <workbookView xWindow="-120" yWindow="-120" windowWidth="29040" windowHeight="15840" tabRatio="927" firstSheet="4" activeTab="9" xr2:uid="{00000000-000D-0000-FFFF-FFFF00000000}"/>
  </bookViews>
  <sheets>
    <sheet name="Info blad" sheetId="11" r:id="rId1"/>
    <sheet name="1-Contractblad totaal" sheetId="32" r:id="rId2"/>
    <sheet name="2-Kosten per locatie" sheetId="37" r:id="rId3"/>
    <sheet name="3-Productie normen" sheetId="28" r:id="rId4"/>
    <sheet name="4-Basis ruimtestaat" sheetId="2" r:id="rId5"/>
    <sheet name="5-Premies en opslagen" sheetId="17" r:id="rId6"/>
    <sheet name="6a-Opbouw uurtarief productie" sheetId="18" r:id="rId7"/>
    <sheet name="6b-Opbouw uurtarief specialist" sheetId="40" r:id="rId8"/>
    <sheet name="7-Opbouw uurtarief toezicht" sheetId="38" r:id="rId9"/>
    <sheet name="8-Additionele werkzaamheden" sheetId="31" r:id="rId10"/>
    <sheet name="9-Afroepprijs" sheetId="5" r:id="rId11"/>
    <sheet name="10-Glasbewassing" sheetId="35" r:id="rId12"/>
    <sheet name="11-Machinekosten" sheetId="34" r:id="rId13"/>
    <sheet name="12-Sanitaire voorzieningen" sheetId="36"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F" hidden="1">[1]Psychiatrie!#REF!</definedName>
    <definedName name="__2_0_F" hidden="1">[1]Psychiatrie!#REF!</definedName>
    <definedName name="_1_________F" hidden="1">[1]Psychiatrie!#REF!</definedName>
    <definedName name="_1F" localSheetId="2"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1" hidden="1">'[2]#REF'!#REF!</definedName>
    <definedName name="_Fill" localSheetId="12" hidden="1">'[3]#REF'!#REF!</definedName>
    <definedName name="_Fill" localSheetId="13" hidden="1">'[3]#REF'!#REF!</definedName>
    <definedName name="_Fill" localSheetId="1" hidden="1">'[3]#REF'!#REF!</definedName>
    <definedName name="_Fill" localSheetId="2" hidden="1">'[4]#REF'!#REF!</definedName>
    <definedName name="_Fill" localSheetId="0" hidden="1">'[4]#REF'!#REF!</definedName>
    <definedName name="_Fill" hidden="1">'[4]#REF'!#REF!</definedName>
    <definedName name="_filll" hidden="1">'[5]#REF'!#REF!</definedName>
    <definedName name="_xlnm._FilterDatabase" localSheetId="11" hidden="1">'10-Glasbewassing'!$A$12:$J$19</definedName>
    <definedName name="_xlnm._FilterDatabase" localSheetId="2" hidden="1">'2-Kosten per locatie'!$A$10:$E$21</definedName>
    <definedName name="_xlnm._FilterDatabase" localSheetId="4" hidden="1">'4-Basis ruimtestaat'!$B$9:$T$48</definedName>
    <definedName name="_Key1" localSheetId="11" hidden="1">'[2]#REF'!#REF!</definedName>
    <definedName name="_Key1" localSheetId="12" hidden="1">'[3]#REF'!#REF!</definedName>
    <definedName name="_Key1" localSheetId="13" hidden="1">'[3]#REF'!#REF!</definedName>
    <definedName name="_Key1" localSheetId="1" hidden="1">'[3]#REF'!#REF!</definedName>
    <definedName name="_Key1" localSheetId="2" hidden="1">'[4]#REF'!#REF!</definedName>
    <definedName name="_Key1" localSheetId="0" hidden="1">'[4]#REF'!#REF!</definedName>
    <definedName name="_Key1" hidden="1">'[4]#REF'!#REF!</definedName>
    <definedName name="_Key2" localSheetId="13" hidden="1">#REF!</definedName>
    <definedName name="_Key2" localSheetId="2" hidden="1">#REF!</definedName>
    <definedName name="_Key2" hidden="1">#REF!</definedName>
    <definedName name="_Order1" hidden="1">255</definedName>
    <definedName name="_Order2" hidden="1">255</definedName>
    <definedName name="_Sort" localSheetId="13" hidden="1">#REF!</definedName>
    <definedName name="_Sort" localSheetId="2" hidden="1">#REF!</definedName>
    <definedName name="_Sort" hidden="1">#REF!</definedName>
    <definedName name="_Table1_In1" hidden="1">#REF!</definedName>
    <definedName name="_Table1_Out" hidden="1">#REF!</definedName>
    <definedName name="AccessDatabase" hidden="1">"C:\data\excel\BASISWP.mdb"</definedName>
    <definedName name="Additioneel" hidden="1">'[2]#REF'!#REF!</definedName>
    <definedName name="_xlnm.Print_Area" localSheetId="13">'12-Sanitaire voorzieningen'!$A$3:$F$31</definedName>
    <definedName name="_xlnm.Print_Area" localSheetId="1">'1-Contractblad totaal'!$A$1:$I$57</definedName>
    <definedName name="_xlnm.Print_Area" localSheetId="2">'2-Kosten per locatie'!$A$1:$R$22</definedName>
    <definedName name="_xlnm.Print_Area" localSheetId="4">'4-Basis ruimtestaat'!$B$3:$T$48</definedName>
    <definedName name="_xlnm.Print_Area" localSheetId="5">'5-Premies en opslagen'!$A$3:$E$55</definedName>
    <definedName name="_xlnm.Print_Area" localSheetId="6">'6a-Opbouw uurtarief productie'!$A$1:$R$63</definedName>
    <definedName name="_xlnm.Print_Area" localSheetId="7">'6b-Opbouw uurtarief specialist'!$A$1:$R$63</definedName>
    <definedName name="_xlnm.Print_Area" localSheetId="10">'9-Afroepprijs'!$A$3:$F$50</definedName>
    <definedName name="_xlnm.Print_Area" localSheetId="0">'Info blad'!$A$1:$F$20</definedName>
    <definedName name="_xlnm.Print_Titles" localSheetId="11">'10-Glasbewassing'!$12:$12</definedName>
    <definedName name="_xlnm.Print_Titles" localSheetId="2">'2-Kosten per locatie'!$10:$10</definedName>
    <definedName name="_xlnm.Print_Titles" localSheetId="4">'4-Basis ruimtestaat'!$9:$9</definedName>
    <definedName name="_xlnm.Print_Titles" localSheetId="6">'6a-Opbouw uurtarief productie'!$A:$C</definedName>
    <definedName name="_xlnm.Print_Titles" localSheetId="7">'6b-Opbouw uurtarief specialist'!$A:$C</definedName>
    <definedName name="_xlnm.Print_Titles" localSheetId="10">'9-Afroepprijs'!$6:$10</definedName>
    <definedName name="berichtok" localSheetId="2">'2-Kosten per locatie'!berichtok</definedName>
    <definedName name="berichtok">'2-Kosten per locatie'!berichtok</definedName>
    <definedName name="berichtoke" localSheetId="2">'2-Kosten per locatie'!berichtoke</definedName>
    <definedName name="berichtoke">'2-Kosten per locatie'!berichtoke</definedName>
    <definedName name="berichtoke1" localSheetId="2">'2-Kosten per locatie'!berichtoke1</definedName>
    <definedName name="berichtoke1">'2-Kosten per locatie'!berichtoke1</definedName>
    <definedName name="Berkt" localSheetId="2">'2-Kosten per locatie'!Berkt</definedName>
    <definedName name="Berkt">'2-Kosten per locatie'!Berkt</definedName>
    <definedName name="dffdf" localSheetId="13" hidden="1">'[6]#REF'!#REF!</definedName>
    <definedName name="dffdf" hidden="1">'[6]#REF'!#REF!</definedName>
    <definedName name="einde" localSheetId="2">'2-Kosten per locatie'!einde</definedName>
    <definedName name="einde">'2-Kosten per locatie'!einde</definedName>
    <definedName name="fghf" hidden="1">'[3]#REF'!#REF!</definedName>
    <definedName name="Gan_R" localSheetId="2">'2-Kosten per locatie'!Gan_R</definedName>
    <definedName name="Gan_R">'2-Kosten per locatie'!Gan_R</definedName>
    <definedName name="gebouw" localSheetId="2">'2-Kosten per locatie'!$A:$A</definedName>
    <definedName name="gebouw">'4-Basis ruimtestaat'!$B:$B</definedName>
    <definedName name="glas" localSheetId="2">'2-Kosten per locatie'!glas</definedName>
    <definedName name="glas">'2-Kosten per locatie'!glas</definedName>
    <definedName name="glassoort">'[7]10-Glasstaat'!$I$2:$J$14</definedName>
    <definedName name="Glassoort2">'[8]10-Glasstaat'!$I$2:$J$14</definedName>
    <definedName name="gs" hidden="1">'[6]#REF'!#REF!</definedName>
    <definedName name="han" localSheetId="11" hidden="1">'[2]#REF'!#REF!</definedName>
    <definedName name="han" localSheetId="12" hidden="1">'[3]#REF'!#REF!</definedName>
    <definedName name="han" localSheetId="13" hidden="1">'[3]#REF'!#REF!</definedName>
    <definedName name="han" localSheetId="1" hidden="1">'[3]#REF'!#REF!</definedName>
    <definedName name="han" localSheetId="2" hidden="1">'[4]#REF'!#REF!</definedName>
    <definedName name="han" hidden="1">'[4]#REF'!#REF!</definedName>
    <definedName name="hjkjhkj">[9]Totaaloverzicht!$A$10:$L$37</definedName>
    <definedName name="HTML_CodePage" hidden="1">1252</definedName>
    <definedName name="HTML_Control" localSheetId="13" hidden="1">{"'ma_vr'!$A$1:$AA$42"}</definedName>
    <definedName name="HTML_Control" localSheetId="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'[10]2-Kengetal'!$A$9:$M$56</definedName>
    <definedName name="Kengetal">'[7]4-Kengetal'!$A$12:$S$64</definedName>
    <definedName name="Kentalnvb">[11]Kengetal!$A$10:$H$58</definedName>
    <definedName name="kjh" hidden="1">'[3]#REF'!#REF!</definedName>
    <definedName name="Lijn">'[10]3-Basis ruimtestaat'!$C:$C</definedName>
    <definedName name="lll">'[12]3-Basis ruimtestaat'!$O:$O</definedName>
    <definedName name="mavr">'[13]3-Basis ruimtestaat'!$M:$M</definedName>
    <definedName name="Mutatiederdekwartaal" localSheetId="2" hidden="1">{"'ma_vr'!$A$1:$AA$42"}</definedName>
    <definedName name="Mutatiederdekwartaal" hidden="1">{"'ma_vr'!$A$1:$AA$42"}</definedName>
    <definedName name="naloop">'[13]3-Basis ruimtestaat'!$N:$N</definedName>
    <definedName name="NvB" hidden="1">'[5]#REF'!#REF!</definedName>
    <definedName name="uren_mavr">'4-Basis ruimtestaat'!$M:$M</definedName>
    <definedName name="uren_zazofe">'[14]4-Basis ruimtestaat'!$O:$O</definedName>
    <definedName name="uurt">[15]Uurtarieven!$F$57</definedName>
    <definedName name="VloerK">'[16]Basis ruimtestaat'!$W:$W</definedName>
    <definedName name="VloerM">'[16]Basis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37" l="1"/>
  <c r="I13" i="37"/>
  <c r="I14" i="37"/>
  <c r="I16" i="37"/>
  <c r="I17" i="37"/>
  <c r="I18" i="37"/>
  <c r="I19" i="37"/>
  <c r="I20" i="37"/>
  <c r="H21" i="37"/>
  <c r="F21" i="37" l="1"/>
  <c r="K16" i="28"/>
  <c r="K15" i="28"/>
  <c r="K14" i="28"/>
  <c r="K13" i="28"/>
  <c r="G11" i="31" l="1"/>
  <c r="G14" i="31"/>
  <c r="G19" i="31"/>
  <c r="G21" i="31"/>
  <c r="G27" i="31"/>
  <c r="G38" i="31"/>
  <c r="G40" i="31"/>
  <c r="G42" i="31"/>
  <c r="G44" i="31"/>
  <c r="G49" i="31"/>
  <c r="G51" i="31"/>
  <c r="G53" i="31"/>
  <c r="G55" i="31"/>
  <c r="G57" i="31"/>
  <c r="G59" i="31"/>
  <c r="G33" i="31"/>
  <c r="K21" i="28" l="1"/>
  <c r="K20" i="28"/>
  <c r="I27" i="36" l="1"/>
  <c r="E14" i="32" l="1"/>
  <c r="D19" i="35"/>
  <c r="H35" i="32" l="1"/>
  <c r="D11" i="31" l="1"/>
  <c r="G61" i="31"/>
  <c r="D30" i="31"/>
  <c r="G30" i="31"/>
  <c r="G36" i="31"/>
  <c r="G32" i="31"/>
  <c r="K22" i="28"/>
  <c r="A5" i="37"/>
  <c r="B5" i="37"/>
  <c r="A5" i="28"/>
  <c r="B5" i="28"/>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G24" i="31"/>
  <c r="G18" i="31"/>
  <c r="G35" i="31"/>
  <c r="G31" i="31"/>
  <c r="G26" i="31"/>
  <c r="G23" i="31"/>
  <c r="G17" i="31"/>
  <c r="D15" i="31"/>
  <c r="N42" i="40" l="1"/>
  <c r="M42" i="40"/>
  <c r="L42" i="40"/>
  <c r="K42" i="40"/>
  <c r="J42" i="40"/>
  <c r="I42" i="40"/>
  <c r="N41" i="40"/>
  <c r="M41" i="40"/>
  <c r="L41" i="40"/>
  <c r="K41" i="40"/>
  <c r="J41" i="40"/>
  <c r="I41" i="40"/>
  <c r="N40" i="40"/>
  <c r="M40" i="40"/>
  <c r="L40" i="40"/>
  <c r="K40" i="40"/>
  <c r="J40" i="40"/>
  <c r="I40" i="40"/>
  <c r="N39" i="40"/>
  <c r="M39" i="40"/>
  <c r="L39" i="40"/>
  <c r="K39" i="40"/>
  <c r="J39" i="40"/>
  <c r="I39" i="40"/>
  <c r="N38" i="40"/>
  <c r="M38" i="40"/>
  <c r="L38" i="40"/>
  <c r="K38" i="40"/>
  <c r="J38" i="40"/>
  <c r="I38" i="40"/>
  <c r="N37" i="40"/>
  <c r="M37" i="40"/>
  <c r="L37" i="40"/>
  <c r="K37" i="40"/>
  <c r="J37" i="40"/>
  <c r="I37" i="40"/>
  <c r="N36" i="40"/>
  <c r="M36" i="40"/>
  <c r="L36" i="40"/>
  <c r="K36" i="40"/>
  <c r="J36" i="40"/>
  <c r="I36" i="40"/>
  <c r="N35" i="40"/>
  <c r="M35" i="40"/>
  <c r="L35" i="40"/>
  <c r="K35" i="40"/>
  <c r="J35" i="40"/>
  <c r="I35" i="40"/>
  <c r="N31" i="40"/>
  <c r="M31" i="40"/>
  <c r="L31" i="40"/>
  <c r="K31" i="40"/>
  <c r="J31" i="40"/>
  <c r="I31" i="40"/>
  <c r="B8" i="40"/>
  <c r="A8" i="40"/>
  <c r="B7" i="40"/>
  <c r="A7" i="40"/>
  <c r="B6" i="40"/>
  <c r="A6" i="40"/>
  <c r="B5" i="40"/>
  <c r="A5" i="40"/>
  <c r="B4" i="40"/>
  <c r="A4" i="40"/>
  <c r="B3" i="40"/>
  <c r="A3" i="40"/>
  <c r="E15" i="32"/>
  <c r="G13" i="31"/>
  <c r="G16" i="31"/>
  <c r="G25" i="31"/>
  <c r="G29" i="31"/>
  <c r="G37" i="31"/>
  <c r="G46" i="31"/>
  <c r="G47" i="31"/>
  <c r="G48" i="31"/>
  <c r="N43" i="40" l="1"/>
  <c r="J43" i="40"/>
  <c r="M43" i="40"/>
  <c r="L43" i="40"/>
  <c r="K43" i="40"/>
  <c r="O31" i="40"/>
  <c r="I43" i="40"/>
  <c r="N36" i="18"/>
  <c r="N37" i="18"/>
  <c r="J37"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M37" i="18"/>
  <c r="L37" i="18"/>
  <c r="K37" i="18"/>
  <c r="I37" i="18"/>
  <c r="M36" i="18"/>
  <c r="L36" i="18"/>
  <c r="K36" i="18"/>
  <c r="J36" i="18"/>
  <c r="I36" i="18"/>
  <c r="E12" i="40" l="1"/>
  <c r="F19" i="35"/>
  <c r="E15" i="40" l="1"/>
  <c r="A6" i="28"/>
  <c r="A3" i="28"/>
  <c r="Q24" i="2" l="1"/>
  <c r="Q32" i="2"/>
  <c r="Q25" i="2"/>
  <c r="Q35" i="2"/>
  <c r="Q47" i="2"/>
  <c r="Q13" i="2"/>
  <c r="Q23" i="2"/>
  <c r="Q26" i="2"/>
  <c r="Q29" i="2"/>
  <c r="Q27" i="2"/>
  <c r="Q46" i="2"/>
  <c r="Q19" i="2"/>
  <c r="Q28" i="2"/>
  <c r="Q37" i="2"/>
  <c r="Q38" i="2"/>
  <c r="Q39" i="2"/>
  <c r="Q40" i="2"/>
  <c r="Q41" i="2"/>
  <c r="Q48" i="2"/>
  <c r="Q22" i="2"/>
  <c r="Q34" i="2"/>
  <c r="Q30" i="2"/>
  <c r="Q31" i="2"/>
  <c r="Q36" i="2"/>
  <c r="Q45" i="2"/>
  <c r="Q16" i="2"/>
  <c r="Q44" i="2"/>
  <c r="Q42" i="2"/>
  <c r="Q10" i="2"/>
  <c r="Q21" i="2"/>
  <c r="Q33" i="2"/>
  <c r="Q43" i="2"/>
  <c r="Q20" i="2"/>
  <c r="Q11" i="2"/>
  <c r="Q15" i="2"/>
  <c r="Q12" i="2"/>
  <c r="Q18" i="2"/>
  <c r="Q14" i="2"/>
  <c r="Q17" i="2"/>
  <c r="E17" i="40"/>
  <c r="E18" i="40"/>
  <c r="I33" i="38"/>
  <c r="I29" i="38"/>
  <c r="J29" i="38"/>
  <c r="K29" i="38"/>
  <c r="L29" i="38"/>
  <c r="M29" i="38"/>
  <c r="N29" i="38"/>
  <c r="I30" i="38"/>
  <c r="J30" i="38"/>
  <c r="K30" i="38"/>
  <c r="L30" i="38"/>
  <c r="M30" i="38"/>
  <c r="N30" i="38"/>
  <c r="I31" i="38"/>
  <c r="J31" i="38"/>
  <c r="K31" i="38"/>
  <c r="L31" i="38"/>
  <c r="M31" i="38"/>
  <c r="N31" i="38"/>
  <c r="I32" i="38"/>
  <c r="J32" i="38"/>
  <c r="K32" i="38"/>
  <c r="L32" i="38"/>
  <c r="M32" i="38"/>
  <c r="N32" i="38"/>
  <c r="E19" i="40" l="1"/>
  <c r="E21" i="40" s="1"/>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C16" i="17" l="1"/>
  <c r="N35" i="18" l="1"/>
  <c r="M35" i="18"/>
  <c r="L35" i="18"/>
  <c r="K35" i="18"/>
  <c r="J35" i="18"/>
  <c r="I35" i="18"/>
  <c r="N33" i="38"/>
  <c r="M33" i="38"/>
  <c r="L33" i="38"/>
  <c r="K33" i="38"/>
  <c r="J33" i="38"/>
  <c r="O10" i="2" l="1"/>
  <c r="M10" i="2" s="1"/>
  <c r="O11" i="2"/>
  <c r="M11" i="2" s="1"/>
  <c r="O12" i="2"/>
  <c r="M12" i="2" s="1"/>
  <c r="O13" i="2"/>
  <c r="M13" i="2" s="1"/>
  <c r="O14" i="2"/>
  <c r="M14" i="2" s="1"/>
  <c r="O15" i="2"/>
  <c r="M15" i="2" s="1"/>
  <c r="O16" i="2"/>
  <c r="M16" i="2" s="1"/>
  <c r="O17" i="2"/>
  <c r="M17" i="2" s="1"/>
  <c r="O18" i="2"/>
  <c r="M18" i="2" s="1"/>
  <c r="O19" i="2"/>
  <c r="M19" i="2" s="1"/>
  <c r="O20" i="2"/>
  <c r="M20" i="2" s="1"/>
  <c r="O21" i="2"/>
  <c r="M21" i="2" s="1"/>
  <c r="O22" i="2"/>
  <c r="M22" i="2" s="1"/>
  <c r="O23" i="2"/>
  <c r="M23" i="2" s="1"/>
  <c r="O24" i="2"/>
  <c r="M24" i="2" s="1"/>
  <c r="O25" i="2"/>
  <c r="M25" i="2" s="1"/>
  <c r="O26" i="2"/>
  <c r="M26" i="2" s="1"/>
  <c r="O27" i="2"/>
  <c r="M27" i="2" s="1"/>
  <c r="O28" i="2"/>
  <c r="M28" i="2" s="1"/>
  <c r="O29" i="2"/>
  <c r="M29" i="2" s="1"/>
  <c r="O30" i="2"/>
  <c r="M30" i="2" s="1"/>
  <c r="O31" i="2"/>
  <c r="M31" i="2" s="1"/>
  <c r="O32" i="2"/>
  <c r="M32" i="2" s="1"/>
  <c r="O33" i="2"/>
  <c r="M33" i="2" s="1"/>
  <c r="O34" i="2"/>
  <c r="M34" i="2" s="1"/>
  <c r="O35" i="2"/>
  <c r="M35" i="2" s="1"/>
  <c r="O36" i="2"/>
  <c r="M36" i="2" s="1"/>
  <c r="O37" i="2"/>
  <c r="M37" i="2" s="1"/>
  <c r="O38" i="2"/>
  <c r="M38" i="2" s="1"/>
  <c r="O39" i="2"/>
  <c r="M39" i="2" s="1"/>
  <c r="O40" i="2"/>
  <c r="M40" i="2" s="1"/>
  <c r="O41" i="2"/>
  <c r="M41" i="2" s="1"/>
  <c r="O42" i="2"/>
  <c r="M42" i="2" s="1"/>
  <c r="O43" i="2"/>
  <c r="M43" i="2" s="1"/>
  <c r="O44" i="2"/>
  <c r="M44" i="2" s="1"/>
  <c r="O45" i="2"/>
  <c r="M45" i="2" s="1"/>
  <c r="O46" i="2"/>
  <c r="M46" i="2" s="1"/>
  <c r="O47" i="2"/>
  <c r="M47" i="2" s="1"/>
  <c r="O48" i="2"/>
  <c r="M48" i="2" s="1"/>
  <c r="J34" i="38"/>
  <c r="I34" i="38"/>
  <c r="M34" i="38"/>
  <c r="L34" i="38"/>
  <c r="I43" i="18"/>
  <c r="N43" i="18"/>
  <c r="M43" i="18"/>
  <c r="K11" i="28"/>
  <c r="K12" i="28"/>
  <c r="K10" i="28"/>
  <c r="N25" i="38"/>
  <c r="M25" i="38"/>
  <c r="L25" i="38"/>
  <c r="K25" i="38"/>
  <c r="J25" i="38"/>
  <c r="I25" i="38"/>
  <c r="B8" i="38"/>
  <c r="A8" i="38"/>
  <c r="B7" i="38"/>
  <c r="A7" i="38"/>
  <c r="B6" i="38"/>
  <c r="A6" i="38"/>
  <c r="B5" i="38"/>
  <c r="A5" i="38"/>
  <c r="B4" i="38"/>
  <c r="A4" i="38"/>
  <c r="B3" i="38"/>
  <c r="A3" i="38"/>
  <c r="E13" i="35"/>
  <c r="E14" i="35"/>
  <c r="E15" i="35"/>
  <c r="E16" i="35"/>
  <c r="E17" i="35"/>
  <c r="P8" i="2"/>
  <c r="C7" i="2"/>
  <c r="C6" i="2"/>
  <c r="C5" i="2"/>
  <c r="C3" i="2"/>
  <c r="B4" i="2"/>
  <c r="B5" i="2"/>
  <c r="B6" i="2"/>
  <c r="B7" i="2"/>
  <c r="B3"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B6" i="28"/>
  <c r="B3" i="28"/>
  <c r="A8" i="36"/>
  <c r="A7" i="36"/>
  <c r="A6" i="36"/>
  <c r="A5" i="36"/>
  <c r="A4" i="36"/>
  <c r="A3" i="36"/>
  <c r="A7" i="34"/>
  <c r="A6" i="34"/>
  <c r="A5" i="34"/>
  <c r="A4" i="34"/>
  <c r="A3" i="34"/>
  <c r="A2" i="34"/>
  <c r="A8" i="35"/>
  <c r="A7" i="35"/>
  <c r="A6" i="35"/>
  <c r="A5" i="35"/>
  <c r="A4" i="35"/>
  <c r="A3" i="35"/>
  <c r="A8" i="31"/>
  <c r="A7" i="31"/>
  <c r="A6" i="31"/>
  <c r="A5" i="31"/>
  <c r="A4" i="31"/>
  <c r="A3" i="31"/>
  <c r="A8" i="18"/>
  <c r="A7" i="18"/>
  <c r="A6" i="18"/>
  <c r="A5" i="18"/>
  <c r="A4" i="18"/>
  <c r="A3" i="18"/>
  <c r="A8" i="17"/>
  <c r="A7" i="17"/>
  <c r="A6" i="17"/>
  <c r="A5" i="17"/>
  <c r="A4" i="17"/>
  <c r="A3" i="17"/>
  <c r="B4" i="37"/>
  <c r="B8" i="37"/>
  <c r="B7" i="37"/>
  <c r="B6" i="37"/>
  <c r="B3" i="37"/>
  <c r="A8" i="37"/>
  <c r="A7" i="37"/>
  <c r="A6" i="37"/>
  <c r="A4" i="37"/>
  <c r="A3" i="37"/>
  <c r="B8" i="5"/>
  <c r="B7" i="5"/>
  <c r="B6" i="5"/>
  <c r="B5" i="5"/>
  <c r="B4" i="5"/>
  <c r="B3" i="5"/>
  <c r="A8" i="5"/>
  <c r="A7" i="5"/>
  <c r="A6" i="5"/>
  <c r="A5" i="5"/>
  <c r="A4" i="5"/>
  <c r="A3" i="5"/>
  <c r="B8" i="36"/>
  <c r="B7" i="36"/>
  <c r="B6" i="36"/>
  <c r="B5" i="36"/>
  <c r="B3" i="36"/>
  <c r="B4" i="36"/>
  <c r="A35" i="32" s="1"/>
  <c r="B4" i="31"/>
  <c r="A29" i="32" s="1"/>
  <c r="B8" i="31"/>
  <c r="B7" i="31"/>
  <c r="B6" i="31"/>
  <c r="B5" i="31"/>
  <c r="B3" i="31"/>
  <c r="B4" i="35"/>
  <c r="B4" i="32"/>
  <c r="B8" i="35"/>
  <c r="B7" i="35"/>
  <c r="B6" i="35"/>
  <c r="B5" i="35"/>
  <c r="B3" i="35"/>
  <c r="L26" i="34"/>
  <c r="K26" i="34"/>
  <c r="J26" i="34"/>
  <c r="I26" i="34"/>
  <c r="F26" i="34"/>
  <c r="L25" i="34"/>
  <c r="K25" i="34"/>
  <c r="J25" i="34"/>
  <c r="I25" i="34"/>
  <c r="F25" i="34"/>
  <c r="L24" i="34"/>
  <c r="K24" i="34"/>
  <c r="J24" i="34"/>
  <c r="I24" i="34"/>
  <c r="F24" i="34"/>
  <c r="L23" i="34"/>
  <c r="K23" i="34"/>
  <c r="J23" i="34"/>
  <c r="I23" i="34"/>
  <c r="F23" i="34"/>
  <c r="L22" i="34"/>
  <c r="K22" i="34"/>
  <c r="J22" i="34"/>
  <c r="I22" i="34"/>
  <c r="F22" i="34"/>
  <c r="L21" i="34"/>
  <c r="K21" i="34"/>
  <c r="J21" i="34"/>
  <c r="I21" i="34"/>
  <c r="F21" i="34"/>
  <c r="L20" i="34"/>
  <c r="K20" i="34"/>
  <c r="J20" i="34"/>
  <c r="I20" i="34"/>
  <c r="F20" i="34"/>
  <c r="L19" i="34"/>
  <c r="K19" i="34"/>
  <c r="J19" i="34"/>
  <c r="I19" i="34"/>
  <c r="F19" i="34"/>
  <c r="L18" i="34"/>
  <c r="K18" i="34"/>
  <c r="J18" i="34"/>
  <c r="I18" i="34"/>
  <c r="F18" i="34"/>
  <c r="L17" i="34"/>
  <c r="K17" i="34"/>
  <c r="J17" i="34"/>
  <c r="I17" i="34"/>
  <c r="F17" i="34"/>
  <c r="L16" i="34"/>
  <c r="K16" i="34"/>
  <c r="J16" i="34"/>
  <c r="I16" i="34"/>
  <c r="F16" i="34"/>
  <c r="B7" i="34"/>
  <c r="B6" i="34"/>
  <c r="B5" i="34"/>
  <c r="B4" i="34"/>
  <c r="B3" i="34"/>
  <c r="A33" i="32" s="1"/>
  <c r="B2" i="34"/>
  <c r="P28" i="34"/>
  <c r="L15" i="34"/>
  <c r="K15" i="34"/>
  <c r="J15" i="34"/>
  <c r="I15" i="34"/>
  <c r="F15" i="34"/>
  <c r="L14" i="34"/>
  <c r="K14" i="34"/>
  <c r="J14" i="34"/>
  <c r="I14" i="34"/>
  <c r="F14" i="34"/>
  <c r="L13" i="34"/>
  <c r="K13" i="34"/>
  <c r="J13" i="34"/>
  <c r="I13" i="34"/>
  <c r="F13" i="34"/>
  <c r="L12" i="34"/>
  <c r="K12" i="34"/>
  <c r="J12" i="34"/>
  <c r="I12" i="34"/>
  <c r="F12" i="34"/>
  <c r="B8" i="17"/>
  <c r="B7" i="17"/>
  <c r="B6" i="17"/>
  <c r="B5" i="17"/>
  <c r="B3" i="17"/>
  <c r="B7" i="18"/>
  <c r="B6" i="18"/>
  <c r="B5" i="18"/>
  <c r="B3" i="18"/>
  <c r="N31" i="18"/>
  <c r="M31" i="18"/>
  <c r="L31" i="18"/>
  <c r="K31" i="18"/>
  <c r="J31" i="18"/>
  <c r="I31" i="18"/>
  <c r="B8" i="18"/>
  <c r="E16" i="32"/>
  <c r="B4" i="28"/>
  <c r="C4" i="2"/>
  <c r="B4" i="18"/>
  <c r="B4" i="17"/>
  <c r="B41" i="17"/>
  <c r="B47" i="17" s="1"/>
  <c r="B51" i="17" s="1"/>
  <c r="B52" i="17"/>
  <c r="N17" i="37" l="1"/>
  <c r="N20" i="37"/>
  <c r="N12" i="37"/>
  <c r="N19" i="37"/>
  <c r="N18" i="37"/>
  <c r="N16" i="37"/>
  <c r="N13" i="37"/>
  <c r="P14" i="37"/>
  <c r="P17" i="37"/>
  <c r="P20" i="37"/>
  <c r="P18" i="37"/>
  <c r="P13" i="37"/>
  <c r="P19" i="37"/>
  <c r="P12" i="37"/>
  <c r="P16" i="37"/>
  <c r="O19" i="37"/>
  <c r="O20" i="37"/>
  <c r="O12" i="37"/>
  <c r="O14" i="37"/>
  <c r="O13" i="37"/>
  <c r="M17" i="37"/>
  <c r="M20" i="37"/>
  <c r="M12" i="37"/>
  <c r="M19" i="37"/>
  <c r="M18" i="37"/>
  <c r="M13" i="37"/>
  <c r="M16" i="37"/>
  <c r="C12" i="37"/>
  <c r="D12" i="37"/>
  <c r="D19" i="37"/>
  <c r="C14" i="37"/>
  <c r="E20" i="37"/>
  <c r="D17" i="37"/>
  <c r="E12" i="37"/>
  <c r="D14" i="37"/>
  <c r="G12" i="37"/>
  <c r="G17" i="37"/>
  <c r="C20" i="37"/>
  <c r="C18" i="37"/>
  <c r="E18" i="37"/>
  <c r="G18" i="37"/>
  <c r="C13" i="37"/>
  <c r="E13" i="37"/>
  <c r="C19" i="37"/>
  <c r="E19" i="37"/>
  <c r="D18" i="37"/>
  <c r="C16" i="37"/>
  <c r="E17" i="37"/>
  <c r="E16" i="37"/>
  <c r="G20" i="37"/>
  <c r="C17" i="37"/>
  <c r="D13" i="37"/>
  <c r="G14" i="37"/>
  <c r="G13" i="37"/>
  <c r="G19" i="37"/>
  <c r="J19" i="37" s="1"/>
  <c r="E14" i="37"/>
  <c r="G16" i="37"/>
  <c r="J16" i="37" s="1"/>
  <c r="D16" i="37"/>
  <c r="D20" i="37"/>
  <c r="N22" i="34"/>
  <c r="Q22" i="34" s="1"/>
  <c r="N12" i="34"/>
  <c r="Q12" i="34" s="1"/>
  <c r="M14" i="37" s="1"/>
  <c r="K24" i="28"/>
  <c r="A31" i="32"/>
  <c r="G64" i="31"/>
  <c r="N23" i="34"/>
  <c r="Q23" i="34" s="1"/>
  <c r="G17" i="35"/>
  <c r="I17" i="35" s="1"/>
  <c r="G16" i="35"/>
  <c r="I16" i="35" s="1"/>
  <c r="O18" i="37" s="1"/>
  <c r="G15" i="35"/>
  <c r="I15" i="35" s="1"/>
  <c r="O17" i="37" s="1"/>
  <c r="G14" i="35"/>
  <c r="I14" i="35" s="1"/>
  <c r="O16" i="37" s="1"/>
  <c r="G13" i="35"/>
  <c r="I13" i="35" s="1"/>
  <c r="N20" i="34"/>
  <c r="Q20" i="34" s="1"/>
  <c r="N21" i="34"/>
  <c r="Q21" i="34" s="1"/>
  <c r="N16" i="34"/>
  <c r="Q16" i="34" s="1"/>
  <c r="N17" i="34"/>
  <c r="Q17" i="34" s="1"/>
  <c r="N18" i="34"/>
  <c r="Q18" i="34" s="1"/>
  <c r="N13" i="34"/>
  <c r="Q13" i="34" s="1"/>
  <c r="N25" i="34"/>
  <c r="Q25" i="34" s="1"/>
  <c r="N26" i="34"/>
  <c r="Q26" i="34" s="1"/>
  <c r="O31" i="18"/>
  <c r="N14" i="34"/>
  <c r="Q14" i="34" s="1"/>
  <c r="N24" i="34"/>
  <c r="Q24" i="34" s="1"/>
  <c r="N19" i="34"/>
  <c r="Q19" i="34" s="1"/>
  <c r="N15" i="34"/>
  <c r="Q15" i="34" s="1"/>
  <c r="B49" i="17"/>
  <c r="B50" i="17"/>
  <c r="O25" i="38"/>
  <c r="K34" i="38"/>
  <c r="J43" i="18"/>
  <c r="N34" i="38"/>
  <c r="L43" i="18"/>
  <c r="K43" i="18"/>
  <c r="O21" i="37" l="1"/>
  <c r="P21" i="37"/>
  <c r="E21" i="37"/>
  <c r="J13" i="37"/>
  <c r="C21" i="37"/>
  <c r="M21" i="37"/>
  <c r="J14" i="37"/>
  <c r="J17" i="37"/>
  <c r="J18" i="37"/>
  <c r="J20" i="37"/>
  <c r="J12" i="37"/>
  <c r="G21" i="37"/>
  <c r="E12" i="18"/>
  <c r="E15" i="18" s="1"/>
  <c r="E18" i="18" s="1"/>
  <c r="I19" i="35"/>
  <c r="H31" i="32" s="1"/>
  <c r="B53" i="17"/>
  <c r="E12" i="38"/>
  <c r="E15" i="38" s="1"/>
  <c r="E17" i="38" s="1"/>
  <c r="J21" i="37" l="1"/>
  <c r="F15" i="32"/>
  <c r="F14" i="32"/>
  <c r="G6" i="28"/>
  <c r="E18" i="38"/>
  <c r="E19" i="38" s="1"/>
  <c r="E21" i="38" s="1"/>
  <c r="E17" i="18"/>
  <c r="E19" i="18" s="1"/>
  <c r="E21" i="18" s="1"/>
  <c r="F18" i="32" l="1"/>
  <c r="C29" i="17"/>
  <c r="C31" i="17" s="1"/>
  <c r="C34" i="17" s="1"/>
  <c r="C21" i="17" s="1"/>
  <c r="C24" i="17" s="1"/>
  <c r="E19" i="32" l="1"/>
  <c r="Q28" i="34"/>
  <c r="H33" i="32" s="1"/>
  <c r="E22" i="38"/>
  <c r="E23" i="38" s="1"/>
  <c r="E22" i="40"/>
  <c r="E23" i="40" s="1"/>
  <c r="E25" i="38"/>
  <c r="E26" i="38" s="1"/>
  <c r="E22" i="18"/>
  <c r="E23" i="18" s="1"/>
  <c r="E25" i="40" l="1"/>
  <c r="E26" i="40" s="1"/>
  <c r="E25" i="18"/>
  <c r="E26" i="18" s="1"/>
  <c r="E32" i="38"/>
  <c r="E43" i="38" s="1"/>
  <c r="E32" i="40" l="1"/>
  <c r="E32" i="18"/>
  <c r="E47" i="38"/>
  <c r="E43" i="40" l="1"/>
  <c r="F35" i="38"/>
  <c r="F36" i="38"/>
  <c r="F37" i="38"/>
  <c r="F38" i="38"/>
  <c r="F39" i="38"/>
  <c r="F40" i="38"/>
  <c r="F41" i="38"/>
  <c r="E49" i="38"/>
  <c r="F34" i="38"/>
  <c r="E53" i="38"/>
  <c r="F19" i="38"/>
  <c r="F45" i="38"/>
  <c r="F26" i="38"/>
  <c r="E51" i="38"/>
  <c r="G18" i="32"/>
  <c r="F23" i="38"/>
  <c r="F32" i="38"/>
  <c r="F43" i="38"/>
  <c r="E43" i="18"/>
  <c r="L16" i="37" l="1"/>
  <c r="L19" i="37"/>
  <c r="L14" i="37"/>
  <c r="L20" i="37"/>
  <c r="L18" i="37"/>
  <c r="L12" i="37"/>
  <c r="L21" i="37" s="1"/>
  <c r="L17" i="37"/>
  <c r="L13" i="37"/>
  <c r="H18" i="32"/>
  <c r="F47" i="38"/>
  <c r="E47" i="18"/>
  <c r="G14" i="32" l="1"/>
  <c r="H14" i="32" s="1"/>
  <c r="E47" i="40"/>
  <c r="E49" i="18"/>
  <c r="F35" i="18"/>
  <c r="F36" i="18"/>
  <c r="F37" i="18"/>
  <c r="F38" i="18"/>
  <c r="F39" i="18"/>
  <c r="F40" i="18"/>
  <c r="F41" i="18"/>
  <c r="F34" i="18"/>
  <c r="F42" i="18"/>
  <c r="E51" i="18"/>
  <c r="F45" i="18"/>
  <c r="F19" i="18"/>
  <c r="G15" i="32"/>
  <c r="F23" i="18"/>
  <c r="F26" i="18"/>
  <c r="E53" i="18"/>
  <c r="F32" i="18"/>
  <c r="F43" i="18"/>
  <c r="K12" i="37" l="1"/>
  <c r="K16" i="37"/>
  <c r="Q16" i="37" s="1"/>
  <c r="R16" i="37" s="1"/>
  <c r="K18" i="37"/>
  <c r="Q18" i="37" s="1"/>
  <c r="R18" i="37" s="1"/>
  <c r="K19" i="37"/>
  <c r="Q19" i="37" s="1"/>
  <c r="R19" i="37" s="1"/>
  <c r="K13" i="37"/>
  <c r="Q13" i="37" s="1"/>
  <c r="R13" i="37" s="1"/>
  <c r="K14" i="37"/>
  <c r="Q14" i="37" s="1"/>
  <c r="R14" i="37" s="1"/>
  <c r="K17" i="37"/>
  <c r="Q17" i="37" s="1"/>
  <c r="R17" i="37" s="1"/>
  <c r="K20" i="37"/>
  <c r="Q20" i="37" s="1"/>
  <c r="R20" i="37" s="1"/>
  <c r="F45" i="40"/>
  <c r="I59" i="31"/>
  <c r="I33" i="31"/>
  <c r="I27" i="31"/>
  <c r="I49" i="31"/>
  <c r="I55" i="31"/>
  <c r="I11" i="31"/>
  <c r="I42" i="31"/>
  <c r="I53" i="31"/>
  <c r="I40" i="31"/>
  <c r="I44" i="31"/>
  <c r="I14" i="31"/>
  <c r="I19" i="31"/>
  <c r="I21" i="31"/>
  <c r="I38" i="31"/>
  <c r="I51" i="31"/>
  <c r="I57" i="31"/>
  <c r="I26" i="31"/>
  <c r="I32" i="31"/>
  <c r="I24" i="31"/>
  <c r="I35" i="31"/>
  <c r="I30" i="31"/>
  <c r="I36" i="31"/>
  <c r="I61" i="31"/>
  <c r="I31" i="31"/>
  <c r="I17" i="31"/>
  <c r="I18" i="31"/>
  <c r="I23" i="31"/>
  <c r="I25" i="31"/>
  <c r="I16" i="31"/>
  <c r="I46" i="31"/>
  <c r="I13" i="31"/>
  <c r="I37" i="31"/>
  <c r="I29" i="31"/>
  <c r="I47" i="31"/>
  <c r="I48" i="31"/>
  <c r="F37" i="40"/>
  <c r="F35" i="40"/>
  <c r="F40" i="40"/>
  <c r="F34" i="40"/>
  <c r="F39" i="40"/>
  <c r="F42" i="40"/>
  <c r="F36" i="40"/>
  <c r="F19" i="40"/>
  <c r="F41" i="40"/>
  <c r="F23" i="40"/>
  <c r="F26" i="40"/>
  <c r="E49" i="40"/>
  <c r="E51" i="40"/>
  <c r="E53" i="40"/>
  <c r="F32" i="40"/>
  <c r="F43" i="40"/>
  <c r="F47" i="40" s="1"/>
  <c r="H15" i="32"/>
  <c r="F47" i="18"/>
  <c r="N14" i="37" l="1"/>
  <c r="N21" i="37" s="1"/>
  <c r="K21" i="37"/>
  <c r="Q12" i="37"/>
  <c r="H23" i="32"/>
  <c r="H24" i="32" s="1"/>
  <c r="H25" i="32" s="1"/>
  <c r="G21" i="32"/>
  <c r="I64" i="31"/>
  <c r="Q21" i="37" l="1"/>
  <c r="R12" i="37"/>
  <c r="R21" i="37" s="1"/>
  <c r="H29" i="32"/>
  <c r="H37" i="32" l="1"/>
  <c r="H41" i="32" s="1"/>
  <c r="H38" i="32" l="1"/>
  <c r="H39" i="32" s="1"/>
  <c r="H42" i="32"/>
  <c r="H43" i="32" s="1"/>
</calcChain>
</file>

<file path=xl/sharedStrings.xml><?xml version="1.0" encoding="utf-8"?>
<sst xmlns="http://schemas.openxmlformats.org/spreadsheetml/2006/main" count="1019" uniqueCount="400">
  <si>
    <t>Premie Ouderdomspensioen (OP)</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</si>
  <si>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</si>
  <si>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</si>
  <si>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</si>
  <si>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</si>
  <si>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</si>
  <si>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</si>
  <si>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</si>
  <si>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</si>
  <si>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</si>
  <si>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</si>
  <si>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</si>
  <si>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</si>
  <si>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</si>
  <si>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</si>
  <si>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</si>
  <si>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</si>
  <si>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</si>
  <si>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</si>
  <si>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</si>
  <si>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</si>
  <si>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</si>
  <si>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</si>
  <si>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</si>
  <si>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</si>
  <si>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</si>
  <si>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Inzet van het aantal machines [stuks]</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</si>
  <si>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</si>
  <si>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</si>
  <si>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</si>
  <si>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</si>
  <si>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</si>
  <si>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</si>
  <si>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</si>
  <si>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</si>
  <si>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</si>
  <si>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</si>
  <si>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</si>
  <si>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2 lagen</t>
  </si>
  <si>
    <t>geheel</t>
  </si>
  <si>
    <t>Basisuurloon</t>
  </si>
  <si>
    <t>Bedrijfsgemiddelde</t>
  </si>
  <si>
    <t>Korting</t>
  </si>
  <si>
    <t>Alle prijzen inclusief materialen en middelen, voorrijkosten en overige bijkomende kosten.</t>
  </si>
  <si>
    <t>Ziektedagen</t>
  </si>
  <si>
    <t>Prijs per jaar</t>
  </si>
  <si>
    <t>[zie premies en opslagen]</t>
  </si>
  <si>
    <t>Totaal eindtarief normale werktijden [06.00-21.30 uur]</t>
  </si>
  <si>
    <t xml:space="preserve">Renteverlies per jaar </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</si>
  <si>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</si>
  <si>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</si>
  <si>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</si>
  <si>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</si>
  <si>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</si>
  <si>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</si>
  <si>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</si>
  <si>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</si>
  <si>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</si>
  <si>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 xml:space="preserve">Vakantietoeslag </t>
  </si>
  <si>
    <t>SV-loon grondslag voor berekening sociale verzekeringen</t>
  </si>
  <si>
    <t>Materiaal/- en middelen</t>
  </si>
  <si>
    <t>Ruimtecategorie</t>
  </si>
  <si>
    <t xml:space="preserve"> </t>
  </si>
  <si>
    <t>Restwaarde</t>
  </si>
  <si>
    <t>Info Blad</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</si>
  <si>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</si>
  <si>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</si>
  <si>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</si>
  <si>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</si>
  <si>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</si>
  <si>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</si>
  <si>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</si>
  <si>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</si>
  <si>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</si>
  <si>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</si>
  <si>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</si>
  <si>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</si>
  <si>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</si>
  <si>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</si>
  <si>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</si>
  <si>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</si>
  <si>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</si>
  <si>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</si>
  <si>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</si>
  <si>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</si>
  <si>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</si>
  <si>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Machine</t>
  </si>
  <si>
    <t>Omschrijving</t>
  </si>
  <si>
    <t>Gebouw/plaats</t>
  </si>
  <si>
    <t>Kosten verzuimbegeleiding</t>
  </si>
  <si>
    <t xml:space="preserve">Structurele eindejaarsuitkering </t>
  </si>
  <si>
    <t>Gebouw</t>
  </si>
  <si>
    <t>WIA Basispremie</t>
  </si>
  <si>
    <t>ZW-flex</t>
  </si>
  <si>
    <t>WW premie- Algemeen Werkeloosheidsfonds (Awf)</t>
  </si>
  <si>
    <t>Zorgverzekeringswet (Zvw)</t>
  </si>
  <si>
    <t>Ruimteomschrijving opdrachtgever</t>
  </si>
  <si>
    <t>Ruimte categorie</t>
  </si>
  <si>
    <t>Vloer soort</t>
  </si>
  <si>
    <t xml:space="preserve">M2 vloer </t>
  </si>
  <si>
    <t>Uren p/j ma t/m vrij</t>
  </si>
  <si>
    <t>VSR code</t>
  </si>
  <si>
    <t>M2 per jaar</t>
  </si>
  <si>
    <t>BG</t>
  </si>
  <si>
    <t>Entree</t>
  </si>
  <si>
    <t>Linoleum</t>
  </si>
  <si>
    <t>Locatie</t>
  </si>
  <si>
    <t>frequentie per jaar</t>
  </si>
  <si>
    <t>Kosten per beurt</t>
  </si>
  <si>
    <t>Totaal kosten per jaar</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</si>
  <si>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</si>
  <si>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</si>
  <si>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</si>
  <si>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</si>
  <si>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</si>
  <si>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</si>
  <si>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</si>
  <si>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</si>
  <si>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</si>
  <si>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</si>
  <si>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</si>
  <si>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</si>
  <si>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</si>
  <si>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</si>
  <si>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</si>
  <si>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</si>
  <si>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</si>
  <si>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</si>
  <si>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</si>
  <si>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</si>
  <si>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</si>
  <si>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</si>
  <si>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</si>
  <si>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</si>
  <si>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</si>
  <si>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</si>
  <si>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</si>
  <si>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</si>
  <si>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 t.o.v. productie</t>
  </si>
  <si>
    <t>Medewerker leiding</t>
  </si>
  <si>
    <t>TOTAAL KOSTEN PER JAAR EXCLUSIEF BTW (REGULIER ONDERHOUD)</t>
  </si>
  <si>
    <t>TOTAAL KOSTEN PER JAAR EXCLUSIEF BTW (AANVULLENDE WERKZAAMHEDEN / EXTRA KOSTEN)</t>
  </si>
  <si>
    <t>EINDTOTAAL KOSTEN PER JAAR  EXCLUSIEF BTW</t>
  </si>
  <si>
    <t>Invoer</t>
  </si>
  <si>
    <t>Jaarprijs regulier schoonmaakonderhoud</t>
  </si>
  <si>
    <t>BEOORDELINGSBEDRAG</t>
  </si>
  <si>
    <t>18 jaar</t>
  </si>
  <si>
    <t>19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</si>
  <si>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</si>
  <si>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</si>
  <si>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</si>
  <si>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</si>
  <si>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</si>
  <si>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</si>
  <si>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</si>
  <si>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</si>
  <si>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</si>
  <si>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</si>
  <si>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</si>
  <si>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Catalogus prijs</t>
  </si>
  <si>
    <t>Netto aanschaf prijs</t>
  </si>
  <si>
    <t>Totaal kosten per jaar per machine</t>
  </si>
  <si>
    <t>Glassoort</t>
  </si>
  <si>
    <t>Aantal m2</t>
  </si>
  <si>
    <t>Totaalkosten per jaar</t>
  </si>
  <si>
    <t>Aantal of m2</t>
  </si>
  <si>
    <t>uren per m2/ beurt</t>
  </si>
  <si>
    <t>uren per jaar</t>
  </si>
  <si>
    <t>uurtarief</t>
  </si>
  <si>
    <t>kosten per jaar</t>
  </si>
  <si>
    <t>Omschrijving werkzaamheden</t>
  </si>
  <si>
    <t>Merk en productlijn</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</si>
  <si>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</si>
  <si>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</si>
  <si>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</si>
  <si>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</si>
  <si>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</si>
  <si>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</si>
  <si>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</si>
  <si>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</si>
  <si>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</si>
  <si>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</si>
  <si>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</si>
  <si>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</si>
  <si>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</si>
  <si>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Regietarieven</t>
  </si>
  <si>
    <t>Schoonmaakonderhoud</t>
  </si>
  <si>
    <t>Mits anders aangegeven is de uitvoering op reguliere werktijden: maandag t/m vrijdag [06.00 en 21.30 uur]</t>
  </si>
  <si>
    <t>Totaal m2</t>
  </si>
  <si>
    <t>Toezicht uren per jaar ma t/m vr</t>
  </si>
  <si>
    <t>Kosten Additioneel per jaar</t>
  </si>
  <si>
    <t>Kosten glasbewassing per jaar</t>
  </si>
  <si>
    <t>Totaal kosten per jaar excl. btw</t>
  </si>
  <si>
    <t>Totaal kosten per maand excl. btw</t>
  </si>
  <si>
    <t>Freq. ma-vr naloop</t>
  </si>
  <si>
    <t>Freq. ma-vr</t>
  </si>
  <si>
    <t>Norm ma t/m vr naloop</t>
  </si>
  <si>
    <t>Kolom</t>
  </si>
  <si>
    <t>Uren p/j ma t/m vrij naloop</t>
  </si>
  <si>
    <t>Naloop opslag</t>
  </si>
  <si>
    <t>Kolom voor matrix</t>
  </si>
  <si>
    <t>Gewogen prestatie</t>
  </si>
  <si>
    <t>m2/uur</t>
  </si>
  <si>
    <t>Gemiddeld tarief inclusief toezicht</t>
  </si>
  <si>
    <t>M2 Totaal</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</si>
  <si>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</si>
  <si>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</si>
  <si>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</si>
  <si>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</si>
  <si>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</si>
  <si>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</si>
  <si>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</si>
  <si>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</si>
  <si>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Administratieve ruimten</t>
  </si>
  <si>
    <t>Pantry/keuken</t>
  </si>
  <si>
    <t>Toezicht percentage per jaar ma t/m vr</t>
  </si>
  <si>
    <t>Toezicht kosten per jaar ma t/m vr</t>
  </si>
  <si>
    <t>Machine kosten</t>
  </si>
  <si>
    <t>Gemiddeld tarief  ma t/m vr</t>
  </si>
  <si>
    <t>Tariefopbouw toezicht</t>
  </si>
  <si>
    <t>Tariefopbouw schoonmaak</t>
  </si>
  <si>
    <t>Gemiddeld tarief ma t/m vr</t>
  </si>
  <si>
    <t>Correctie factor ma t/m vr</t>
  </si>
  <si>
    <t>Correctie factor naloop</t>
  </si>
  <si>
    <t>MAXIMALE ONDERGRENS INSCHRIJVINGSBEDRAG *</t>
  </si>
  <si>
    <t>* De inschrijver draagt er zorg voor dat de totstandkoming van het inschrijvingsbedrag overeenkomt met de onderliggende tabbladen. Indien dit niet het geval is wordt de inschrijving ongeldig verklaard.</t>
  </si>
  <si>
    <t>PRODUCTIE UREN PER JAAR</t>
  </si>
  <si>
    <t>Kleinschalig heids uren ma t/m vrij</t>
  </si>
  <si>
    <t>ma t/m vr</t>
  </si>
  <si>
    <t>ma t/m vr naloop</t>
  </si>
  <si>
    <t>Kleinschalig heids uren ma t/m vrij naloop</t>
  </si>
  <si>
    <t>RAS premie</t>
  </si>
  <si>
    <t>Frequentie verklaring</t>
  </si>
  <si>
    <t>1 x per week (52 weken)</t>
  </si>
  <si>
    <t>5 x per week (52 weken)</t>
  </si>
  <si>
    <t>2 x per week (52 weken)</t>
  </si>
  <si>
    <t>MAXIMALE BOVENGRENS PLAFONDBEDRAG</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</si>
  <si>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</si>
  <si>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</si>
  <si>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</si>
  <si>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</si>
  <si>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 Het door de inschrijver ingediende inschrijfbedrag is de maximale vergoeding voor het gevraagde in de aanbestedingsdocumenten.</t>
  </si>
  <si>
    <t>Jaarprijs aanvullende werkzaamheden / extra kosten</t>
  </si>
  <si>
    <t>Frequentie per jaar</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</si>
  <si>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</si>
  <si>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</si>
  <si>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Reinigen bureau-elektronica reinigen</t>
  </si>
  <si>
    <t>Verticale lamellen metaal/kunststof</t>
  </si>
  <si>
    <t>Horizontale lamellen</t>
  </si>
  <si>
    <t xml:space="preserve">Afschrijvings- termijn in jaren </t>
  </si>
  <si>
    <t>Afschrijvings- kosten per jaar</t>
  </si>
  <si>
    <t>Onderhouds- kosten per jaar</t>
  </si>
  <si>
    <t xml:space="preserve">Verzekerings- kosten per jaar </t>
  </si>
  <si>
    <t>Berekening werkbare dagen</t>
  </si>
  <si>
    <t xml:space="preserve">Het aantal werkbare dagen per jaar is een gemiddelde over 5 jaar. Er vindt geen periodieke verrekening plaats in verband met schrikkeljaren. </t>
  </si>
  <si>
    <t>Kosten klimmateriaal per beurt</t>
  </si>
  <si>
    <t>Hoogste frequentie</t>
  </si>
  <si>
    <t>Hoogheemraadschap De Stichtse Rijnlanden</t>
  </si>
  <si>
    <t>Divers</t>
  </si>
  <si>
    <t>Laboratorium</t>
  </si>
  <si>
    <t>Kantine/keuken</t>
  </si>
  <si>
    <t>Gang</t>
  </si>
  <si>
    <t>1e</t>
  </si>
  <si>
    <t>Bi-Bu-Sep</t>
  </si>
  <si>
    <t>Bi-Bu-sep</t>
  </si>
  <si>
    <t>Kantine</t>
  </si>
  <si>
    <t>Hal</t>
  </si>
  <si>
    <t>Kantoor</t>
  </si>
  <si>
    <t>tegels</t>
  </si>
  <si>
    <t>Trappenhuis</t>
  </si>
  <si>
    <t>op afroep</t>
  </si>
  <si>
    <t>Toilet</t>
  </si>
  <si>
    <t>Keulsevaart 6</t>
  </si>
  <si>
    <t>toilet</t>
  </si>
  <si>
    <t>vloerbedekking</t>
  </si>
  <si>
    <t>Toiletten</t>
  </si>
  <si>
    <t>entree</t>
  </si>
  <si>
    <t>Keuken</t>
  </si>
  <si>
    <t>Gemaal Kromme Rijn</t>
  </si>
  <si>
    <t>Watermolenweg 2, Wijk bij Duurstede</t>
  </si>
  <si>
    <t>toilet/urinoir/douche</t>
  </si>
  <si>
    <t>Vergaderruimte + keukenblok</t>
  </si>
  <si>
    <t>trappen (huis)</t>
  </si>
  <si>
    <t>marmer+matten</t>
  </si>
  <si>
    <t>tegels/hout</t>
  </si>
  <si>
    <t>Dependance werkplaats Utrecht</t>
  </si>
  <si>
    <t>Atoomweg 500</t>
  </si>
  <si>
    <t>Overloop</t>
  </si>
  <si>
    <t>Kantoor 1</t>
  </si>
  <si>
    <t>Kantoor 2</t>
  </si>
  <si>
    <t>Toilet ruimte</t>
  </si>
  <si>
    <t>Kantine+keukenblok</t>
  </si>
  <si>
    <t>vergaderruimte (achter kantine)</t>
  </si>
  <si>
    <t>vloerbedekking/ linoleum</t>
  </si>
  <si>
    <t>1</t>
  </si>
  <si>
    <t>Gemaal Hoograven</t>
  </si>
  <si>
    <t>Gemaal Overvecht</t>
  </si>
  <si>
    <t>Gemaal Galecop</t>
  </si>
  <si>
    <t>Gemaal De Aanvoerder</t>
  </si>
  <si>
    <t>Gemaal Beileveld</t>
  </si>
  <si>
    <t>Gemaal Vleuterweide</t>
  </si>
  <si>
    <t>Gemaal Terweide</t>
  </si>
  <si>
    <t>Gemaal Maarssenbroek</t>
  </si>
  <si>
    <t>Gemaal Haarrijnweg</t>
  </si>
  <si>
    <t>Gemaal De Tol</t>
  </si>
  <si>
    <t>Gemaal Noordergemaal</t>
  </si>
  <si>
    <t>Gemaal De Koekoek</t>
  </si>
  <si>
    <t>Gemaal De Pleyt</t>
  </si>
  <si>
    <t>Gemaal De Keulevaart</t>
  </si>
  <si>
    <t>Gemaal Snel en Polanen</t>
  </si>
  <si>
    <t>Gemaal Meijepolder</t>
  </si>
  <si>
    <t>Gemaal Oud Kamerik</t>
  </si>
  <si>
    <t>Gemaal Kockengen</t>
  </si>
  <si>
    <t>Gemaal Gerverscop</t>
  </si>
  <si>
    <t>Gemaal Kamerik Teylingen</t>
  </si>
  <si>
    <t>Gemaal Molenvliet</t>
  </si>
  <si>
    <t>Gemaal Rietveld</t>
  </si>
  <si>
    <t>Gemaal Zegveld</t>
  </si>
  <si>
    <t>Gemaal Westeinder van Waarder</t>
  </si>
  <si>
    <t>Gemaal Lange Weide</t>
  </si>
  <si>
    <t>Gemaal Waardsedijk</t>
  </si>
  <si>
    <t>MRB Trappershome Houten</t>
  </si>
  <si>
    <t>De Brug 13</t>
  </si>
  <si>
    <t>Werkplaats</t>
  </si>
  <si>
    <t>Opslag</t>
  </si>
  <si>
    <t>Magazijn zolder</t>
  </si>
  <si>
    <t>flexplek/kantoor ( zolder)</t>
  </si>
  <si>
    <t>hout</t>
  </si>
  <si>
    <t>2</t>
  </si>
  <si>
    <t>MRB Montfoort</t>
  </si>
  <si>
    <t>Waardsedijk 14a</t>
  </si>
  <si>
    <t>vergaderruimte / keuken</t>
  </si>
  <si>
    <t>hal+toilet</t>
  </si>
  <si>
    <t xml:space="preserve">zolderruimte </t>
  </si>
  <si>
    <t>loods</t>
  </si>
  <si>
    <t>Marmer tegels/deurmat</t>
  </si>
  <si>
    <t>Marmer tegels</t>
  </si>
  <si>
    <t>tegels, deurmat</t>
  </si>
  <si>
    <t>beton/tegels</t>
  </si>
  <si>
    <t>MRB Breukelen</t>
  </si>
  <si>
    <t>Loods</t>
  </si>
  <si>
    <t>Halletje</t>
  </si>
  <si>
    <t>kantoor</t>
  </si>
  <si>
    <t>MRB Woerden</t>
  </si>
  <si>
    <t>Barwoutsewaarder</t>
  </si>
  <si>
    <t>Verkeersruimten</t>
  </si>
  <si>
    <t>TOEZICHT UREN PER JAAR</t>
  </si>
  <si>
    <t>Kosten productie per jaarincl kleinschaligheid ma t/m vr</t>
  </si>
  <si>
    <t>KOSTEN PER JAAR</t>
  </si>
  <si>
    <t>Uurlonen per 1 april 2023</t>
  </si>
  <si>
    <t>Sp</t>
  </si>
  <si>
    <t>Waterbeheer</t>
  </si>
  <si>
    <t>MRB</t>
  </si>
  <si>
    <t xml:space="preserve">Werkruimte </t>
  </si>
  <si>
    <t>Schoonmaakonderhoud inclusief toilet</t>
  </si>
  <si>
    <t>Glasbewassing</t>
  </si>
  <si>
    <t>Schoonmaakonderhoud inclusief keuken/werkruimte en toilet</t>
  </si>
  <si>
    <t>Schoonmaakonderhoud inclusief keuken en toilet</t>
  </si>
  <si>
    <t xml:space="preserve">Schoonmaakonderhoud inclusief toilet </t>
  </si>
  <si>
    <t>Schoonmaakonderhoud werkruimte</t>
  </si>
  <si>
    <t>Schoonmaakonderhoud keukenblok + werkruimte</t>
  </si>
  <si>
    <t>Zie aditionele werkzaamheden</t>
  </si>
  <si>
    <t>nio</t>
  </si>
  <si>
    <t>Versie 1</t>
  </si>
  <si>
    <t>Schoonmaakonderhoud inclusief hekwerk buiten</t>
  </si>
  <si>
    <t>Garagedeuren en loodsdeuren en ramen afnemen</t>
  </si>
  <si>
    <t>Schoonmaakonderhoud werkruimte + toilet</t>
  </si>
  <si>
    <t>Gemaal Noord Linschoten</t>
  </si>
  <si>
    <t>Gemaal Groot Hekendorp</t>
  </si>
  <si>
    <t xml:space="preserve">Gemaal Papekop en Diemerbroek </t>
  </si>
  <si>
    <t>nvt</t>
  </si>
  <si>
    <t>Beton</t>
  </si>
  <si>
    <t>Badkamer</t>
  </si>
  <si>
    <t>Omschrijving artikel</t>
  </si>
  <si>
    <t>Omschrijving eenheden</t>
  </si>
  <si>
    <t>verwacht verbruik (eenheid) per jaar</t>
  </si>
  <si>
    <t>Aantal dispensers</t>
  </si>
  <si>
    <t>Zeepdispenser</t>
  </si>
  <si>
    <t>Toiletborstelgarnituur</t>
  </si>
  <si>
    <t>Gemalen Waterbeheer</t>
  </si>
  <si>
    <t xml:space="preserve">Muskusrattenbeheer </t>
  </si>
  <si>
    <t>Toiletpapier</t>
  </si>
  <si>
    <t>Kosten sanitaire voorzieningen per jaar</t>
  </si>
  <si>
    <t>Papieren handdoekjes</t>
  </si>
  <si>
    <t>Kleinschaligheid</t>
  </si>
  <si>
    <t>Waterbeheer (perceel 2)</t>
  </si>
  <si>
    <t>Muskusrattenbeheer (perceel 2)</t>
  </si>
  <si>
    <t>door cateraar</t>
  </si>
  <si>
    <t>Hygienebox</t>
  </si>
  <si>
    <t>Afvalbak</t>
  </si>
  <si>
    <t>Toiletbril reiniger</t>
  </si>
  <si>
    <t>Prijs per eenheid</t>
  </si>
  <si>
    <t>All-in huurprijs per eenheid per maand inclusief verbruik</t>
  </si>
  <si>
    <t>Op afroep</t>
  </si>
  <si>
    <t>Verdieping/ Gebouw/ruimtenummer</t>
  </si>
  <si>
    <t>Perceel</t>
  </si>
  <si>
    <t xml:space="preserve">1 x per 2 weken </t>
  </si>
  <si>
    <t>3 x per week (52 weken)</t>
  </si>
  <si>
    <t>4 x per week (52 weken)</t>
  </si>
  <si>
    <t xml:space="preserve">Op de rioolgemalen zuiver en gemalen waterbeheer  is het werkprogramma industriele ruimten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</si>
</sst>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quot;€&quot;* #,##0.00_);_(&quot;€&quot;* \(#,##0.00\);_(&quot;€&quot;* &quot;-&quot;??_);_(@_)"/>
    <numFmt numFmtId="43" formatCode="_(* #,##0.00_);_(* \(#,##0.00\);_(* &quot;-&quot;??_);_(@_)"/>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
    <numFmt numFmtId="175" formatCode="0.0"/>
    <numFmt numFmtId="176" formatCode="0.000%"/>
    <numFmt numFmtId="177" formatCode="_-[$€-2]\ * #,##0.00_ ;_-[$€-2]\ * \-#,##0.00\ ;_-[$€-2]\ * &quot;-&quot;??_ ;_-@_ "/>
    <numFmt numFmtId="178" formatCode="_([$€-2]\ * #,##0.00_);_([$€-2]\ * \(#,##0.00\);_([$€-2]\ * &quot;-&quot;??_);_(@_)"/>
    <numFmt numFmtId="179" formatCode="_ [$€-413]\ * #,##0.00_ ;_ [$€-413]\ * \-#,##0.00_ ;_ [$€-413]\ * &quot;-&quot;??_ ;_ @_ "/>
    <numFmt numFmtId="180" formatCode="0.0000000"/>
    <numFmt numFmtId="181" formatCode="_-* #,##0.0_-;_-* #,##0.0\-;_-* &quot;-&quot;??_-;_-@_-"/>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_ [$€-2]\ * #,##0.00_ ;_ [$€-2]\ * \-#,##0.00_ ;_ [$€-2]\ * &quot;-&quot;??_ ;_ @_ "/>
    <numFmt numFmtId="189" formatCode="[$-413]d\-mmm\-yy;@"/>
    <numFmt numFmtId="190" formatCode="&quot;Fl.&quot;#,##0.00;[Red]\-&quot;Fl.&quot;#,##0.00"/>
    <numFmt numFmtId="191" formatCode="&quot;Fl.&quot;#,##0_);[Red]\(&quot;Fl.&quot;#,##0\)"/>
    <numFmt numFmtId="192" formatCode="_-\F* #,##0.00_-;\-\F* #,##0.00_-;_-\F* &quot;-&quot;??_-;_-@_-"/>
    <numFmt numFmtId="193" formatCode="&quot;fl&quot;\ #,##0_-;[Red]&quot;fl&quot;\ #,##0\-"/>
    <numFmt numFmtId="194" formatCode="_-\€\ * #,##0.00"/>
    <numFmt numFmtId="195" formatCode="0\ &quot;m2&quot;"/>
    <numFmt numFmtId="196" formatCode="_-&quot;F&quot;\ * #,##0.00_-;_-&quot;F&quot;\ * #,##0.00\-;_-&quot;F&quot;\ * &quot;-&quot;??_-;_-@_-"/>
    <numFmt numFmtId="197" formatCode="#,##0.00_ ;\-#,##0.00\ "/>
    <numFmt numFmtId="198" formatCode="#,##0.00_ ;[Red]\-#,##0.00\ "/>
  </numFmts>
  <fonts count="111">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indexed="10"/>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sz val="12"/>
      <color theme="1"/>
      <name val="Century Gothic"/>
      <family val="2"/>
    </font>
    <font>
      <b/>
      <vertAlign val="superscript"/>
      <sz val="10"/>
      <color theme="0"/>
      <name val="Century Gothic"/>
      <family val="2"/>
    </font>
    <font>
      <sz val="10"/>
      <color theme="0" tint="-0.499984740745262"/>
      <name val="Century Gothic"/>
      <family val="2"/>
    </font>
    <font>
      <sz val="8"/>
      <name val="MS Sans Serif"/>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FFFF00"/>
        <bgColor indexed="64"/>
      </patternFill>
    </fill>
    <fill>
      <patternFill patternType="solid">
        <fgColor theme="0" tint="-0.14999847407452621"/>
        <bgColor indexed="64"/>
      </patternFill>
    </fill>
    <fill>
      <patternFill patternType="solid">
        <fgColor theme="2" tint="-0.249977111117893"/>
        <bgColor rgb="FF000000"/>
      </patternFill>
    </fill>
  </fills>
  <borders count="6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rgb="FF0AAAFF"/>
      </bottom>
      <diagonal/>
    </border>
    <border>
      <left/>
      <right style="medium">
        <color rgb="FF0AAAFF"/>
      </right>
      <top style="medium">
        <color rgb="FF0AAAFF"/>
      </top>
      <bottom/>
      <diagonal/>
    </border>
    <border>
      <left/>
      <right style="medium">
        <color rgb="FF0AAAFF"/>
      </right>
      <top/>
      <bottom/>
      <diagonal/>
    </border>
    <border>
      <left/>
      <right style="medium">
        <color rgb="FF0AAAFF"/>
      </right>
      <top/>
      <bottom style="medium">
        <color rgb="FF0AAAF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ck">
        <color rgb="FF0AAAFF"/>
      </right>
      <top style="thick">
        <color rgb="FF0AAAFF"/>
      </top>
      <bottom/>
      <diagonal/>
    </border>
    <border>
      <left/>
      <right style="thick">
        <color rgb="FF0AAAFF"/>
      </right>
      <top style="thin">
        <color indexed="64"/>
      </top>
      <bottom style="thin">
        <color indexed="64"/>
      </bottom>
      <diagonal/>
    </border>
    <border>
      <left/>
      <right style="thick">
        <color rgb="FF0AAAFF"/>
      </right>
      <top/>
      <bottom/>
      <diagonal/>
    </border>
    <border>
      <left/>
      <right style="thick">
        <color rgb="FF0AAAFF"/>
      </right>
      <top/>
      <bottom style="thick">
        <color rgb="FF0AAA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5" applyNumberFormat="0" applyAlignment="0" applyProtection="0"/>
    <xf numFmtId="0" fontId="22" fillId="7" borderId="16" applyNumberFormat="0" applyAlignment="0" applyProtection="0"/>
    <xf numFmtId="0" fontId="23" fillId="7" borderId="15" applyNumberFormat="0" applyAlignment="0" applyProtection="0"/>
    <xf numFmtId="0" fontId="24" fillId="0" borderId="17" applyNumberFormat="0" applyFill="0" applyAlignment="0" applyProtection="0"/>
    <xf numFmtId="0" fontId="25" fillId="8" borderId="1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0"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9"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2"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3" fontId="31" fillId="0" borderId="0" applyFont="0" applyFill="0" applyBorder="0" applyAlignment="0" applyProtection="0"/>
    <xf numFmtId="183" fontId="31" fillId="0" borderId="0" applyFont="0" applyFill="0" applyBorder="0" applyAlignment="0" applyProtection="0"/>
    <xf numFmtId="184" fontId="7" fillId="0" borderId="0" applyFont="0" applyFill="0" applyBorder="0" applyAlignment="0" applyProtection="0"/>
    <xf numFmtId="182"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5"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6"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1" applyNumberFormat="0" applyAlignment="0" applyProtection="0"/>
    <xf numFmtId="0" fontId="7" fillId="0" borderId="0"/>
    <xf numFmtId="0" fontId="40" fillId="55" borderId="21" applyNumberFormat="0" applyAlignment="0" applyProtection="0"/>
    <xf numFmtId="0" fontId="41" fillId="56" borderId="22" applyNumberFormat="0" applyAlignment="0" applyProtection="0"/>
    <xf numFmtId="0" fontId="41" fillId="56"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4" applyNumberFormat="0" applyFill="0" applyAlignment="0" applyProtection="0"/>
    <xf numFmtId="0" fontId="46" fillId="0" borderId="25" applyNumberFormat="0" applyFill="0" applyAlignment="0" applyProtection="0"/>
    <xf numFmtId="0" fontId="47" fillId="0" borderId="26" applyNumberFormat="0" applyFill="0" applyAlignment="0" applyProtection="0"/>
    <xf numFmtId="0" fontId="47" fillId="0" borderId="0" applyNumberFormat="0" applyFill="0" applyBorder="0" applyAlignment="0" applyProtection="0"/>
    <xf numFmtId="0" fontId="48" fillId="57" borderId="21" applyNumberFormat="0" applyAlignment="0" applyProtection="0"/>
    <xf numFmtId="0" fontId="35" fillId="58" borderId="1"/>
    <xf numFmtId="0" fontId="49" fillId="0" borderId="27" applyNumberFormat="0" applyFill="0" applyAlignment="0" applyProtection="0"/>
    <xf numFmtId="0" fontId="50" fillId="0" borderId="28" applyNumberFormat="0" applyFill="0" applyAlignment="0" applyProtection="0"/>
    <xf numFmtId="0" fontId="51" fillId="0" borderId="29"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0"/>
    <xf numFmtId="0" fontId="54" fillId="0" borderId="31" applyNumberFormat="0" applyFill="0" applyAlignment="0" applyProtection="0"/>
    <xf numFmtId="190"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2" applyNumberFormat="0" applyFont="0" applyAlignment="0" applyProtection="0"/>
    <xf numFmtId="0" fontId="34" fillId="59" borderId="32" applyNumberFormat="0" applyFont="0" applyAlignment="0" applyProtection="0"/>
    <xf numFmtId="0" fontId="56" fillId="37" borderId="0" applyNumberFormat="0" applyBorder="0" applyAlignment="0" applyProtection="0"/>
    <xf numFmtId="0" fontId="57" fillId="55" borderId="33" applyNumberFormat="0" applyAlignment="0" applyProtection="0"/>
    <xf numFmtId="0" fontId="53" fillId="60" borderId="34"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5" applyNumberFormat="0" applyFill="0" applyAlignment="0" applyProtection="0"/>
    <xf numFmtId="0" fontId="60" fillId="0" borderId="36" applyNumberFormat="0" applyFill="0" applyAlignment="0" applyProtection="0"/>
    <xf numFmtId="0" fontId="57" fillId="54" borderId="33" applyNumberFormat="0" applyAlignment="0" applyProtection="0"/>
    <xf numFmtId="191" fontId="3" fillId="0" borderId="0"/>
    <xf numFmtId="192"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3" fontId="5"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94" fontId="35" fillId="0" borderId="0"/>
    <xf numFmtId="194"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0"/>
    <xf numFmtId="195"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6" fontId="7" fillId="0" borderId="0" applyFont="0" applyFill="0" applyBorder="0" applyAlignment="0" applyProtection="0"/>
  </cellStyleXfs>
  <cellXfs count="642">
    <xf numFmtId="0" fontId="0" fillId="0" borderId="0" xfId="0"/>
    <xf numFmtId="0" fontId="64" fillId="0" borderId="0" xfId="0" applyFont="1"/>
    <xf numFmtId="0" fontId="66" fillId="0" borderId="0" xfId="14" applyFont="1" applyProtection="1">
      <protection hidden="1"/>
    </xf>
    <xf numFmtId="0" fontId="66" fillId="0" borderId="0" xfId="0" applyFont="1"/>
    <xf numFmtId="2" fontId="66" fillId="0" borderId="0" xfId="12" applyNumberFormat="1" applyFont="1" applyProtection="1">
      <protection hidden="1"/>
    </xf>
    <xf numFmtId="0" fontId="66" fillId="0" borderId="0" xfId="14" applyFont="1" applyAlignment="1" applyProtection="1">
      <alignment vertical="center"/>
      <protection hidden="1"/>
    </xf>
    <xf numFmtId="0" fontId="67" fillId="0" borderId="0" xfId="14" applyFont="1" applyAlignment="1" applyProtection="1">
      <alignment horizontal="center" vertical="center"/>
      <protection hidden="1"/>
    </xf>
    <xf numFmtId="0" fontId="67" fillId="0" borderId="0" xfId="14" applyFont="1" applyAlignment="1" applyProtection="1">
      <alignment horizontal="right" vertical="center"/>
      <protection hidden="1"/>
    </xf>
    <xf numFmtId="176" fontId="66" fillId="0" borderId="0" xfId="12" applyNumberFormat="1" applyFont="1" applyAlignment="1" applyProtection="1">
      <alignment vertical="center"/>
      <protection hidden="1"/>
    </xf>
    <xf numFmtId="175" fontId="70" fillId="0" borderId="0" xfId="14" applyNumberFormat="1" applyFont="1" applyAlignment="1" applyProtection="1">
      <alignment vertical="center"/>
      <protection hidden="1"/>
    </xf>
    <xf numFmtId="175" fontId="66"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locked="0"/>
    </xf>
    <xf numFmtId="176" fontId="66" fillId="0" borderId="0" xfId="12" applyNumberFormat="1" applyFont="1" applyAlignment="1" applyProtection="1">
      <alignment horizontal="center" vertical="center"/>
      <protection hidden="1"/>
    </xf>
    <xf numFmtId="176" fontId="66" fillId="0" borderId="0" xfId="12" applyNumberFormat="1" applyFont="1" applyAlignment="1" applyProtection="1">
      <alignment horizontal="right" vertical="center"/>
      <protection hidden="1"/>
    </xf>
    <xf numFmtId="9" fontId="71" fillId="0" borderId="0" xfId="12" applyNumberFormat="1" applyFont="1" applyAlignment="1" applyProtection="1">
      <alignment horizontal="center" vertical="center"/>
      <protection hidden="1"/>
    </xf>
    <xf numFmtId="176" fontId="71" fillId="0" borderId="0" xfId="12" applyNumberFormat="1" applyFont="1" applyAlignment="1" applyProtection="1">
      <alignment vertical="center"/>
      <protection hidden="1"/>
    </xf>
    <xf numFmtId="0" fontId="65" fillId="0" borderId="0" xfId="14" applyFont="1" applyAlignment="1" applyProtection="1">
      <alignment horizontal="left" vertical="center"/>
      <protection hidden="1"/>
    </xf>
    <xf numFmtId="0" fontId="70" fillId="0" borderId="0" xfId="14" applyFont="1" applyAlignment="1" applyProtection="1">
      <alignment vertical="center"/>
      <protection hidden="1"/>
    </xf>
    <xf numFmtId="0" fontId="70" fillId="0" borderId="0" xfId="14" applyFont="1" applyAlignment="1" applyProtection="1">
      <alignment horizontal="left" vertical="center"/>
      <protection hidden="1"/>
    </xf>
    <xf numFmtId="2" fontId="70" fillId="0" borderId="0" xfId="14" applyNumberFormat="1" applyFont="1" applyAlignment="1" applyProtection="1">
      <alignment horizontal="right" vertical="center"/>
      <protection hidden="1"/>
    </xf>
    <xf numFmtId="2" fontId="66" fillId="0" borderId="0" xfId="0" applyNumberFormat="1" applyFont="1" applyAlignment="1">
      <alignment vertical="center"/>
    </xf>
    <xf numFmtId="175" fontId="70" fillId="0" borderId="0" xfId="14" applyNumberFormat="1" applyFont="1" applyAlignment="1" applyProtection="1">
      <alignment vertical="center"/>
      <protection locked="0"/>
    </xf>
    <xf numFmtId="175" fontId="72" fillId="0" borderId="0" xfId="14" applyNumberFormat="1" applyFont="1" applyAlignment="1" applyProtection="1">
      <alignment vertical="center"/>
      <protection hidden="1"/>
    </xf>
    <xf numFmtId="0" fontId="65" fillId="0" borderId="0" xfId="14" applyFont="1" applyAlignment="1" applyProtection="1">
      <alignment vertical="center"/>
      <protection hidden="1"/>
    </xf>
    <xf numFmtId="2" fontId="65" fillId="0" borderId="0" xfId="14" applyNumberFormat="1" applyFont="1" applyAlignment="1" applyProtection="1">
      <alignment vertical="center"/>
      <protection hidden="1"/>
    </xf>
    <xf numFmtId="0" fontId="66" fillId="0" borderId="0" xfId="0" applyFont="1" applyAlignment="1">
      <alignment vertical="center"/>
    </xf>
    <xf numFmtId="0" fontId="73" fillId="0" borderId="0" xfId="14" applyFont="1" applyAlignment="1" applyProtection="1">
      <alignment vertical="center"/>
      <protection hidden="1"/>
    </xf>
    <xf numFmtId="10" fontId="70" fillId="0" borderId="0" xfId="17" applyNumberFormat="1" applyFont="1" applyFill="1" applyBorder="1" applyAlignment="1" applyProtection="1">
      <alignment vertical="center"/>
      <protection hidden="1"/>
    </xf>
    <xf numFmtId="176" fontId="70" fillId="0" borderId="0" xfId="17" applyNumberFormat="1" applyFont="1" applyFill="1" applyBorder="1" applyAlignment="1" applyProtection="1">
      <alignment vertical="center"/>
      <protection hidden="1"/>
    </xf>
    <xf numFmtId="176" fontId="70"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hidden="1"/>
    </xf>
    <xf numFmtId="176" fontId="66" fillId="0" borderId="0" xfId="14" applyNumberFormat="1" applyFont="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6" fontId="65" fillId="0" borderId="0" xfId="0" applyNumberFormat="1" applyFont="1"/>
    <xf numFmtId="0" fontId="66" fillId="0" borderId="0" xfId="14" applyFont="1" applyAlignment="1" applyProtection="1">
      <alignment horizontal="right" vertical="center"/>
      <protection hidden="1"/>
    </xf>
    <xf numFmtId="0" fontId="71" fillId="0" borderId="0" xfId="14" applyFont="1" applyAlignment="1" applyProtection="1">
      <alignment vertical="center"/>
      <protection hidden="1"/>
    </xf>
    <xf numFmtId="176" fontId="65" fillId="0" borderId="0" xfId="14" applyNumberFormat="1" applyFont="1" applyAlignment="1" applyProtection="1">
      <alignment vertical="center"/>
      <protection hidden="1"/>
    </xf>
    <xf numFmtId="10" fontId="65" fillId="0" borderId="0" xfId="0" applyNumberFormat="1" applyFont="1"/>
    <xf numFmtId="0" fontId="74" fillId="0" borderId="0" xfId="14" applyFont="1" applyProtection="1">
      <protection hidden="1"/>
    </xf>
    <xf numFmtId="0" fontId="68" fillId="0" borderId="0" xfId="14" applyFont="1" applyProtection="1">
      <protection hidden="1"/>
    </xf>
    <xf numFmtId="2" fontId="75" fillId="0" borderId="0" xfId="0" applyNumberFormat="1" applyFont="1"/>
    <xf numFmtId="0" fontId="74" fillId="0" borderId="0" xfId="64" applyFont="1"/>
    <xf numFmtId="0" fontId="66" fillId="0" borderId="0" xfId="64" applyFont="1"/>
    <xf numFmtId="49" fontId="76" fillId="0" borderId="0" xfId="63" applyNumberFormat="1" applyFont="1" applyAlignment="1" applyProtection="1">
      <alignment horizontal="left" vertical="top"/>
      <protection hidden="1"/>
    </xf>
    <xf numFmtId="2" fontId="78" fillId="0" borderId="0" xfId="64" applyNumberFormat="1" applyFont="1"/>
    <xf numFmtId="0" fontId="78" fillId="0" borderId="0" xfId="64" applyFont="1"/>
    <xf numFmtId="2" fontId="78" fillId="0" borderId="0" xfId="64" applyNumberFormat="1" applyFont="1" applyAlignment="1">
      <alignment horizontal="left"/>
    </xf>
    <xf numFmtId="49" fontId="78" fillId="0" borderId="0" xfId="64" applyNumberFormat="1" applyFont="1"/>
    <xf numFmtId="0" fontId="78" fillId="0" borderId="0" xfId="64" applyFont="1" applyAlignment="1">
      <alignment horizontal="left"/>
    </xf>
    <xf numFmtId="0" fontId="80" fillId="61" borderId="5" xfId="64" applyFont="1" applyFill="1" applyBorder="1"/>
    <xf numFmtId="0" fontId="77" fillId="61" borderId="6" xfId="64" applyFont="1" applyFill="1" applyBorder="1"/>
    <xf numFmtId="0" fontId="77" fillId="61" borderId="6" xfId="64" applyFont="1" applyFill="1" applyBorder="1" applyAlignment="1">
      <alignment horizontal="left"/>
    </xf>
    <xf numFmtId="0" fontId="78" fillId="61" borderId="7" xfId="64" applyFont="1" applyFill="1" applyBorder="1" applyAlignment="1">
      <alignment horizontal="left"/>
    </xf>
    <xf numFmtId="0" fontId="66" fillId="0" borderId="0" xfId="64" applyFont="1" applyAlignment="1">
      <alignment horizontal="left"/>
    </xf>
    <xf numFmtId="165" fontId="66" fillId="2" borderId="0" xfId="3" applyFont="1" applyFill="1" applyAlignment="1"/>
    <xf numFmtId="179" fontId="66" fillId="2" borderId="1" xfId="66" applyNumberFormat="1" applyFont="1" applyFill="1" applyBorder="1" applyAlignment="1">
      <alignment horizontal="center"/>
    </xf>
    <xf numFmtId="177" fontId="66" fillId="0" borderId="0" xfId="7" applyNumberFormat="1" applyFont="1" applyFill="1" applyAlignment="1">
      <alignment horizontal="left"/>
    </xf>
    <xf numFmtId="9" fontId="71" fillId="2" borderId="1" xfId="66" applyFont="1" applyFill="1" applyBorder="1" applyAlignment="1">
      <alignment horizontal="center"/>
    </xf>
    <xf numFmtId="165" fontId="66" fillId="0" borderId="0" xfId="3" applyFont="1" applyFill="1" applyAlignment="1"/>
    <xf numFmtId="43" fontId="66" fillId="2" borderId="0" xfId="64" applyNumberFormat="1" applyFont="1" applyFill="1"/>
    <xf numFmtId="0" fontId="66" fillId="0" borderId="6" xfId="64" applyFont="1" applyBorder="1"/>
    <xf numFmtId="0" fontId="71" fillId="0" borderId="0" xfId="63" applyFont="1" applyAlignment="1" applyProtection="1">
      <alignment horizontal="left"/>
      <protection hidden="1"/>
    </xf>
    <xf numFmtId="0" fontId="65" fillId="0" borderId="0" xfId="63" applyFont="1" applyAlignment="1" applyProtection="1">
      <alignment horizontal="left"/>
      <protection hidden="1"/>
    </xf>
    <xf numFmtId="49" fontId="66" fillId="0" borderId="0" xfId="64" applyNumberFormat="1" applyFont="1"/>
    <xf numFmtId="10" fontId="66" fillId="0" borderId="0" xfId="64" applyNumberFormat="1" applyFont="1" applyAlignment="1">
      <alignment horizontal="left"/>
    </xf>
    <xf numFmtId="177" fontId="66" fillId="0" borderId="2" xfId="7" applyNumberFormat="1" applyFont="1" applyFill="1" applyBorder="1" applyAlignment="1">
      <alignment horizontal="left"/>
    </xf>
    <xf numFmtId="0" fontId="66" fillId="2" borderId="0" xfId="64" applyFont="1" applyFill="1"/>
    <xf numFmtId="44" fontId="66" fillId="2" borderId="0" xfId="64" applyNumberFormat="1" applyFont="1" applyFill="1"/>
    <xf numFmtId="44" fontId="66" fillId="0" borderId="0" xfId="64" applyNumberFormat="1" applyFont="1"/>
    <xf numFmtId="49" fontId="81" fillId="61" borderId="5" xfId="64" applyNumberFormat="1" applyFont="1" applyFill="1" applyBorder="1"/>
    <xf numFmtId="0" fontId="81" fillId="61" borderId="6" xfId="64" applyFont="1" applyFill="1" applyBorder="1"/>
    <xf numFmtId="9" fontId="81" fillId="61" borderId="6" xfId="17" applyFont="1" applyFill="1" applyBorder="1" applyAlignment="1">
      <alignment horizontal="center"/>
    </xf>
    <xf numFmtId="44" fontId="81" fillId="61" borderId="7" xfId="64" applyNumberFormat="1" applyFont="1" applyFill="1" applyBorder="1"/>
    <xf numFmtId="49" fontId="82" fillId="0" borderId="0" xfId="64" applyNumberFormat="1" applyFont="1"/>
    <xf numFmtId="2" fontId="83" fillId="0" borderId="0" xfId="64" applyNumberFormat="1" applyFont="1"/>
    <xf numFmtId="1" fontId="82" fillId="0" borderId="0" xfId="64" applyNumberFormat="1" applyFont="1" applyAlignment="1">
      <alignment horizontal="left"/>
    </xf>
    <xf numFmtId="49" fontId="66" fillId="0" borderId="0" xfId="63" applyNumberFormat="1" applyFont="1" applyAlignment="1" applyProtection="1">
      <alignment horizontal="left" vertical="top"/>
      <protection hidden="1"/>
    </xf>
    <xf numFmtId="0" fontId="66" fillId="0" borderId="0" xfId="63" applyFont="1" applyAlignment="1" applyProtection="1">
      <alignment horizontal="center" vertical="justify"/>
      <protection hidden="1"/>
    </xf>
    <xf numFmtId="0" fontId="66" fillId="0" borderId="0" xfId="63" applyFont="1" applyAlignment="1" applyProtection="1">
      <alignment horizontal="left" vertical="justify"/>
      <protection hidden="1"/>
    </xf>
    <xf numFmtId="49" fontId="66" fillId="0" borderId="0" xfId="63" applyNumberFormat="1" applyFont="1" applyAlignment="1" applyProtection="1">
      <alignment horizontal="left"/>
      <protection hidden="1"/>
    </xf>
    <xf numFmtId="0" fontId="71" fillId="0" borderId="0" xfId="63" applyFont="1" applyAlignment="1" applyProtection="1">
      <alignment horizontal="left" vertical="top"/>
      <protection hidden="1"/>
    </xf>
    <xf numFmtId="49" fontId="71" fillId="0" borderId="5" xfId="63" applyNumberFormat="1" applyFont="1" applyBorder="1" applyAlignment="1" applyProtection="1">
      <alignment horizontal="left"/>
      <protection hidden="1"/>
    </xf>
    <xf numFmtId="0" fontId="71" fillId="0" borderId="6" xfId="63" applyFont="1" applyBorder="1" applyAlignment="1" applyProtection="1">
      <alignment horizontal="left" vertical="top"/>
      <protection hidden="1"/>
    </xf>
    <xf numFmtId="174" fontId="71" fillId="0" borderId="0" xfId="66" applyNumberFormat="1" applyFont="1" applyFill="1" applyBorder="1" applyAlignment="1" applyProtection="1">
      <alignment horizontal="center"/>
      <protection hidden="1"/>
    </xf>
    <xf numFmtId="174" fontId="71" fillId="2" borderId="0" xfId="66" applyNumberFormat="1" applyFont="1" applyFill="1" applyBorder="1" applyAlignment="1" applyProtection="1">
      <alignment horizontal="center"/>
      <protection hidden="1"/>
    </xf>
    <xf numFmtId="49" fontId="66" fillId="0" borderId="6" xfId="63" applyNumberFormat="1" applyFont="1" applyBorder="1" applyAlignment="1" applyProtection="1">
      <alignment horizontal="left"/>
      <protection hidden="1"/>
    </xf>
    <xf numFmtId="9" fontId="71" fillId="0" borderId="1" xfId="66" applyFont="1" applyFill="1" applyBorder="1" applyAlignment="1" applyProtection="1">
      <alignment horizontal="center" vertical="center"/>
      <protection hidden="1"/>
    </xf>
    <xf numFmtId="49" fontId="66" fillId="2" borderId="0" xfId="63" applyNumberFormat="1" applyFont="1" applyFill="1" applyAlignment="1" applyProtection="1">
      <alignment horizontal="left"/>
      <protection hidden="1"/>
    </xf>
    <xf numFmtId="49" fontId="71" fillId="0" borderId="0" xfId="63" applyNumberFormat="1" applyFont="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173" fontId="66" fillId="0" borderId="0" xfId="63" applyNumberFormat="1" applyFont="1" applyAlignment="1" applyProtection="1">
      <alignment horizontal="left" vertical="top"/>
      <protection hidden="1"/>
    </xf>
    <xf numFmtId="165" fontId="71" fillId="2" borderId="0" xfId="3" applyFont="1" applyFill="1" applyBorder="1" applyAlignment="1" applyProtection="1">
      <alignment horizontal="left"/>
      <protection hidden="1"/>
    </xf>
    <xf numFmtId="177" fontId="71" fillId="0" borderId="0" xfId="63" applyNumberFormat="1" applyFont="1" applyAlignment="1" applyProtection="1">
      <alignment horizontal="left"/>
      <protection hidden="1"/>
    </xf>
    <xf numFmtId="49" fontId="71" fillId="0" borderId="0" xfId="64" applyNumberFormat="1" applyFont="1"/>
    <xf numFmtId="178" fontId="71" fillId="0" borderId="0" xfId="63" applyNumberFormat="1" applyFont="1" applyAlignment="1" applyProtection="1">
      <alignment horizontal="left"/>
      <protection hidden="1"/>
    </xf>
    <xf numFmtId="49" fontId="71" fillId="0" borderId="5" xfId="64" applyNumberFormat="1" applyFont="1" applyBorder="1"/>
    <xf numFmtId="49" fontId="71" fillId="0" borderId="6" xfId="64" applyNumberFormat="1" applyFont="1" applyBorder="1"/>
    <xf numFmtId="166" fontId="71" fillId="2" borderId="7" xfId="19" applyFont="1" applyFill="1" applyBorder="1" applyAlignment="1"/>
    <xf numFmtId="0" fontId="66" fillId="0" borderId="0" xfId="90" applyFont="1"/>
    <xf numFmtId="173" fontId="71" fillId="0" borderId="0" xfId="9" applyNumberFormat="1" applyFont="1" applyAlignment="1">
      <alignment horizontal="center"/>
    </xf>
    <xf numFmtId="2" fontId="77" fillId="0" borderId="0" xfId="13" applyNumberFormat="1" applyFont="1"/>
    <xf numFmtId="2" fontId="71" fillId="0" borderId="0" xfId="90" applyNumberFormat="1" applyFont="1"/>
    <xf numFmtId="0" fontId="68" fillId="0" borderId="0" xfId="90" applyFont="1"/>
    <xf numFmtId="0" fontId="71" fillId="0" borderId="1" xfId="90" applyFont="1" applyBorder="1"/>
    <xf numFmtId="0" fontId="71" fillId="0" borderId="0" xfId="90" applyFont="1"/>
    <xf numFmtId="167" fontId="66" fillId="0" borderId="0" xfId="9" applyFont="1"/>
    <xf numFmtId="2" fontId="82" fillId="0" borderId="0" xfId="13" applyNumberFormat="1" applyFont="1"/>
    <xf numFmtId="187" fontId="84" fillId="0" borderId="0" xfId="64" applyNumberFormat="1" applyFont="1" applyAlignment="1">
      <alignment horizontal="left"/>
    </xf>
    <xf numFmtId="0" fontId="66" fillId="0" borderId="0" xfId="0" applyFont="1" applyAlignment="1">
      <alignment horizontal="center" vertical="center"/>
    </xf>
    <xf numFmtId="0" fontId="66" fillId="0" borderId="0" xfId="18" applyFont="1" applyAlignment="1">
      <alignment horizontal="center"/>
    </xf>
    <xf numFmtId="2" fontId="66" fillId="0" borderId="0" xfId="9" applyNumberFormat="1" applyFont="1" applyAlignment="1">
      <alignment horizontal="left"/>
    </xf>
    <xf numFmtId="172" fontId="66" fillId="0" borderId="0" xfId="18" applyNumberFormat="1" applyFont="1" applyAlignment="1">
      <alignment horizontal="center"/>
    </xf>
    <xf numFmtId="172" fontId="72" fillId="0" borderId="0" xfId="13" applyNumberFormat="1" applyFont="1"/>
    <xf numFmtId="3" fontId="72" fillId="0" borderId="0" xfId="13" applyNumberFormat="1" applyFont="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Border="1" applyAlignment="1">
      <alignment horizontal="center" vertical="center"/>
    </xf>
    <xf numFmtId="49" fontId="66" fillId="0" borderId="1" xfId="0" applyNumberFormat="1" applyFont="1" applyBorder="1" applyAlignment="1">
      <alignment horizontal="center"/>
    </xf>
    <xf numFmtId="0" fontId="66" fillId="0" borderId="1" xfId="0" applyFont="1" applyBorder="1"/>
    <xf numFmtId="1" fontId="66" fillId="0" borderId="1" xfId="62" applyNumberFormat="1" applyFont="1" applyBorder="1" applyAlignment="1">
      <alignment horizontal="center"/>
    </xf>
    <xf numFmtId="1" fontId="70" fillId="0" borderId="1" xfId="62" applyNumberFormat="1" applyFont="1" applyBorder="1" applyAlignment="1">
      <alignment horizontal="center"/>
    </xf>
    <xf numFmtId="173" fontId="68" fillId="0" borderId="1" xfId="9" applyNumberFormat="1" applyFont="1" applyFill="1" applyBorder="1" applyAlignment="1">
      <alignment horizontal="center"/>
    </xf>
    <xf numFmtId="1" fontId="66" fillId="0" borderId="1" xfId="0" applyNumberFormat="1" applyFont="1" applyBorder="1" applyAlignment="1">
      <alignment horizontal="center"/>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5" fillId="0" borderId="1" xfId="0" applyNumberFormat="1" applyFont="1" applyBorder="1" applyAlignment="1">
      <alignment horizontal="center" vertical="center" wrapText="1"/>
    </xf>
    <xf numFmtId="1" fontId="75" fillId="0" borderId="6" xfId="0" applyNumberFormat="1" applyFont="1" applyBorder="1" applyAlignment="1">
      <alignment horizontal="center" vertical="center" wrapText="1"/>
    </xf>
    <xf numFmtId="1" fontId="75" fillId="0" borderId="7" xfId="0" applyNumberFormat="1" applyFont="1" applyBorder="1" applyAlignment="1">
      <alignment horizontal="center" vertical="center" wrapText="1"/>
    </xf>
    <xf numFmtId="49" fontId="82" fillId="0" borderId="0" xfId="13" applyNumberFormat="1" applyFont="1"/>
    <xf numFmtId="2" fontId="83" fillId="0" borderId="0" xfId="13" applyNumberFormat="1" applyFont="1"/>
    <xf numFmtId="0" fontId="81" fillId="61" borderId="1" xfId="0" applyFont="1" applyFill="1" applyBorder="1" applyAlignment="1">
      <alignment wrapText="1"/>
    </xf>
    <xf numFmtId="0" fontId="81" fillId="61" borderId="1" xfId="0" applyFont="1" applyFill="1" applyBorder="1"/>
    <xf numFmtId="1" fontId="75" fillId="0" borderId="1" xfId="62" applyNumberFormat="1" applyFont="1" applyBorder="1" applyAlignment="1">
      <alignment horizontal="center"/>
    </xf>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xf numFmtId="0" fontId="71" fillId="0" borderId="0" xfId="0" applyFont="1"/>
    <xf numFmtId="1" fontId="71" fillId="0" borderId="0" xfId="0" applyNumberFormat="1" applyFont="1" applyAlignment="1">
      <alignment horizontal="center"/>
    </xf>
    <xf numFmtId="0" fontId="87" fillId="0" borderId="0" xfId="0" applyFont="1"/>
    <xf numFmtId="167" fontId="71" fillId="0" borderId="0" xfId="9" applyFont="1"/>
    <xf numFmtId="9" fontId="88" fillId="61" borderId="4" xfId="17"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0" fontId="81" fillId="61" borderId="4" xfId="0" applyFont="1" applyFill="1" applyBorder="1" applyAlignment="1">
      <alignment horizontal="left" vertical="top" wrapText="1"/>
    </xf>
    <xf numFmtId="181" fontId="81" fillId="61" borderId="4" xfId="9" applyNumberFormat="1" applyFont="1" applyFill="1" applyBorder="1" applyAlignment="1">
      <alignment horizontal="left" vertical="top" wrapText="1"/>
    </xf>
    <xf numFmtId="167" fontId="81" fillId="61" borderId="4" xfId="9" applyFont="1" applyFill="1" applyBorder="1" applyAlignment="1">
      <alignment horizontal="center" vertical="top" wrapText="1"/>
    </xf>
    <xf numFmtId="167" fontId="88" fillId="61" borderId="4" xfId="9" applyFont="1" applyFill="1" applyBorder="1" applyAlignment="1">
      <alignment horizontal="center" vertical="top" wrapText="1"/>
    </xf>
    <xf numFmtId="2" fontId="66" fillId="0" borderId="1" xfId="0" applyNumberFormat="1" applyFont="1" applyBorder="1"/>
    <xf numFmtId="1" fontId="86" fillId="0" borderId="1" xfId="0" applyNumberFormat="1" applyFont="1" applyBorder="1" applyAlignment="1">
      <alignment horizontal="center"/>
    </xf>
    <xf numFmtId="43" fontId="68" fillId="0" borderId="1" xfId="9" applyNumberFormat="1" applyFont="1" applyFill="1" applyBorder="1" applyAlignment="1">
      <alignment horizontal="center"/>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4" xfId="0" applyFont="1" applyBorder="1"/>
    <xf numFmtId="0" fontId="66" fillId="0" borderId="7" xfId="0" applyFont="1" applyBorder="1"/>
    <xf numFmtId="0" fontId="66" fillId="0" borderId="9" xfId="0" applyFont="1" applyBorder="1"/>
    <xf numFmtId="2" fontId="66" fillId="0" borderId="0" xfId="0" applyNumberFormat="1" applyFont="1"/>
    <xf numFmtId="1" fontId="66" fillId="0" borderId="0" xfId="0" applyNumberFormat="1" applyFont="1" applyAlignment="1">
      <alignment horizontal="center"/>
    </xf>
    <xf numFmtId="0" fontId="66" fillId="0" borderId="0" xfId="9" applyNumberFormat="1" applyFont="1" applyFill="1" applyBorder="1" applyAlignment="1"/>
    <xf numFmtId="2" fontId="66" fillId="0" borderId="0" xfId="0" applyNumberFormat="1" applyFont="1" applyAlignment="1">
      <alignment horizontal="right"/>
    </xf>
    <xf numFmtId="1" fontId="86" fillId="0" borderId="0" xfId="0" applyNumberFormat="1" applyFont="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86" fillId="0" borderId="0" xfId="0" applyFont="1"/>
    <xf numFmtId="0" fontId="71" fillId="0" borderId="0" xfId="0" applyFont="1" applyAlignment="1">
      <alignment horizontal="center"/>
    </xf>
    <xf numFmtId="2" fontId="66" fillId="0" borderId="0" xfId="14" applyNumberFormat="1" applyFont="1" applyAlignment="1" applyProtection="1">
      <alignment vertical="center"/>
      <protection hidden="1"/>
    </xf>
    <xf numFmtId="2" fontId="77" fillId="0" borderId="0" xfId="14" applyNumberFormat="1" applyFont="1" applyAlignment="1" applyProtection="1">
      <alignment vertical="center"/>
      <protection locked="0"/>
    </xf>
    <xf numFmtId="2" fontId="66" fillId="0" borderId="3" xfId="12" applyNumberFormat="1" applyFont="1" applyBorder="1" applyProtection="1">
      <protection hidden="1"/>
    </xf>
    <xf numFmtId="2" fontId="66" fillId="0" borderId="5" xfId="12" applyNumberFormat="1" applyFont="1" applyBorder="1" applyProtection="1">
      <protection hidden="1"/>
    </xf>
    <xf numFmtId="2" fontId="66" fillId="0" borderId="7" xfId="12" applyNumberFormat="1" applyFont="1" applyBorder="1" applyProtection="1">
      <protection hidden="1"/>
    </xf>
    <xf numFmtId="0" fontId="66" fillId="0" borderId="5" xfId="0" applyFont="1" applyBorder="1"/>
    <xf numFmtId="176" fontId="66" fillId="2" borderId="0" xfId="12" applyNumberFormat="1" applyFont="1" applyFill="1" applyAlignment="1" applyProtection="1">
      <alignment vertical="center"/>
      <protection hidden="1"/>
    </xf>
    <xf numFmtId="0" fontId="71" fillId="0" borderId="5" xfId="0" applyFont="1" applyBorder="1"/>
    <xf numFmtId="0" fontId="71" fillId="0" borderId="7" xfId="0" applyFont="1" applyBorder="1"/>
    <xf numFmtId="176" fontId="71" fillId="0" borderId="1" xfId="12" applyNumberFormat="1" applyFont="1" applyBorder="1" applyAlignment="1" applyProtection="1">
      <alignment vertical="center"/>
      <protection hidden="1"/>
    </xf>
    <xf numFmtId="176" fontId="66" fillId="0" borderId="1" xfId="12" applyNumberFormat="1" applyFont="1" applyBorder="1" applyAlignment="1" applyProtection="1">
      <alignment vertical="center"/>
      <protection hidden="1"/>
    </xf>
    <xf numFmtId="10" fontId="71" fillId="0" borderId="7" xfId="0" applyNumberFormat="1" applyFont="1" applyBorder="1"/>
    <xf numFmtId="0" fontId="65" fillId="0" borderId="3" xfId="14" applyFont="1" applyBorder="1" applyAlignment="1" applyProtection="1">
      <alignment horizontal="left" vertical="center"/>
      <protection hidden="1"/>
    </xf>
    <xf numFmtId="2" fontId="71" fillId="0" borderId="1" xfId="12" applyNumberFormat="1" applyFont="1" applyBorder="1" applyAlignment="1" applyProtection="1">
      <alignment horizontal="center"/>
      <protection hidden="1"/>
    </xf>
    <xf numFmtId="178" fontId="70" fillId="0" borderId="1" xfId="14" applyNumberFormat="1" applyFont="1" applyBorder="1" applyAlignment="1" applyProtection="1">
      <alignment horizontal="left" vertical="center"/>
      <protection hidden="1"/>
    </xf>
    <xf numFmtId="178" fontId="70" fillId="0" borderId="11" xfId="14" applyNumberFormat="1" applyFont="1" applyBorder="1" applyAlignment="1" applyProtection="1">
      <alignment horizontal="left" vertical="center"/>
      <protection hidden="1"/>
    </xf>
    <xf numFmtId="0" fontId="66" fillId="0" borderId="5" xfId="12" applyFont="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0" fontId="66" fillId="0" borderId="0" xfId="12" applyNumberFormat="1" applyFont="1" applyProtection="1">
      <protection hidden="1"/>
    </xf>
    <xf numFmtId="10" fontId="65" fillId="0" borderId="0" xfId="17" applyNumberFormat="1" applyFont="1" applyFill="1" applyBorder="1" applyAlignment="1"/>
    <xf numFmtId="178" fontId="66" fillId="0" borderId="0" xfId="14" applyNumberFormat="1" applyFont="1" applyAlignment="1" applyProtection="1">
      <alignment vertical="center"/>
      <protection hidden="1"/>
    </xf>
    <xf numFmtId="0" fontId="70" fillId="0" borderId="1" xfId="14" applyFont="1" applyBorder="1" applyAlignment="1" applyProtection="1">
      <alignment horizontal="left" vertical="center"/>
      <protection hidden="1"/>
    </xf>
    <xf numFmtId="0" fontId="65" fillId="0" borderId="1" xfId="14" applyFont="1" applyBorder="1" applyAlignment="1" applyProtection="1">
      <alignment vertical="center"/>
      <protection hidden="1"/>
    </xf>
    <xf numFmtId="0" fontId="73" fillId="0" borderId="1" xfId="14" applyFont="1" applyBorder="1" applyAlignment="1" applyProtection="1">
      <alignment vertical="center"/>
      <protection hidden="1"/>
    </xf>
    <xf numFmtId="0" fontId="66" fillId="0" borderId="1" xfId="14" applyFont="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Alignment="1">
      <alignment horizontal="left" indent="3"/>
    </xf>
    <xf numFmtId="0" fontId="64" fillId="0" borderId="0" xfId="0" applyFont="1" applyAlignment="1">
      <alignment horizontal="left" indent="1"/>
    </xf>
    <xf numFmtId="179" fontId="64" fillId="0" borderId="0" xfId="0" applyNumberFormat="1" applyFont="1"/>
    <xf numFmtId="178" fontId="64" fillId="0" borderId="0" xfId="0" applyNumberFormat="1" applyFont="1"/>
    <xf numFmtId="2" fontId="89" fillId="61" borderId="5" xfId="14" applyNumberFormat="1" applyFont="1" applyFill="1" applyBorder="1" applyAlignment="1" applyProtection="1">
      <alignment horizontal="left" vertical="center"/>
      <protection hidden="1"/>
    </xf>
    <xf numFmtId="2" fontId="85" fillId="61" borderId="6" xfId="12" applyNumberFormat="1" applyFont="1" applyFill="1" applyBorder="1" applyProtection="1">
      <protection hidden="1"/>
    </xf>
    <xf numFmtId="2" fontId="85" fillId="61" borderId="7" xfId="12" applyNumberFormat="1" applyFont="1" applyFill="1" applyBorder="1" applyProtection="1">
      <protection hidden="1"/>
    </xf>
    <xf numFmtId="0" fontId="89" fillId="61" borderId="5" xfId="14" applyFont="1" applyFill="1" applyBorder="1" applyAlignment="1" applyProtection="1">
      <alignment horizontal="left" vertical="center"/>
      <protection hidden="1"/>
    </xf>
    <xf numFmtId="0" fontId="80" fillId="61" borderId="6" xfId="14" applyFont="1" applyFill="1" applyBorder="1" applyAlignment="1" applyProtection="1">
      <alignment horizontal="left" vertical="center"/>
      <protection hidden="1"/>
    </xf>
    <xf numFmtId="9" fontId="85" fillId="61" borderId="7" xfId="14" applyNumberFormat="1" applyFont="1" applyFill="1" applyBorder="1" applyAlignment="1" applyProtection="1">
      <alignment vertical="center"/>
      <protection hidden="1"/>
    </xf>
    <xf numFmtId="0" fontId="90" fillId="0" borderId="0" xfId="14" applyFont="1" applyProtection="1">
      <protection hidden="1"/>
    </xf>
    <xf numFmtId="0" fontId="90" fillId="0" borderId="0" xfId="14" applyFont="1" applyAlignment="1" applyProtection="1">
      <alignment horizontal="center"/>
      <protection hidden="1"/>
    </xf>
    <xf numFmtId="0" fontId="90" fillId="0" borderId="0" xfId="14" applyFont="1" applyAlignment="1" applyProtection="1">
      <alignment horizontal="right"/>
      <protection hidden="1"/>
    </xf>
    <xf numFmtId="169" fontId="90" fillId="0" borderId="0" xfId="4" applyFont="1" applyFill="1" applyBorder="1" applyAlignment="1" applyProtection="1">
      <alignment horizontal="center"/>
      <protection hidden="1"/>
    </xf>
    <xf numFmtId="174" fontId="90" fillId="0" borderId="0" xfId="4" applyNumberFormat="1" applyFont="1" applyFill="1" applyBorder="1" applyAlignment="1" applyProtection="1">
      <alignment horizontal="center"/>
      <protection hidden="1"/>
    </xf>
    <xf numFmtId="2" fontId="77" fillId="0" borderId="0" xfId="0" applyNumberFormat="1" applyFont="1"/>
    <xf numFmtId="174" fontId="91" fillId="0" borderId="0" xfId="0" applyNumberFormat="1" applyFont="1" applyAlignment="1">
      <alignment horizontal="center" vertical="center"/>
    </xf>
    <xf numFmtId="1" fontId="78" fillId="0" borderId="0" xfId="0" applyNumberFormat="1" applyFont="1" applyAlignment="1">
      <alignment horizontal="left"/>
    </xf>
    <xf numFmtId="2" fontId="92" fillId="0" borderId="0" xfId="14" applyNumberFormat="1" applyFont="1" applyAlignment="1" applyProtection="1">
      <alignment horizontal="right"/>
      <protection hidden="1"/>
    </xf>
    <xf numFmtId="2" fontId="92" fillId="0" borderId="0" xfId="14" applyNumberFormat="1" applyFont="1" applyAlignment="1" applyProtection="1">
      <alignment horizontal="center"/>
      <protection hidden="1"/>
    </xf>
    <xf numFmtId="0" fontId="66" fillId="0" borderId="0" xfId="0" applyFont="1" applyAlignment="1">
      <alignment vertical="top" wrapText="1"/>
    </xf>
    <xf numFmtId="174" fontId="72" fillId="0" borderId="0" xfId="0" applyNumberFormat="1" applyFont="1" applyAlignment="1">
      <alignment horizontal="center" vertical="center"/>
    </xf>
    <xf numFmtId="2" fontId="92" fillId="0" borderId="0" xfId="14" applyNumberFormat="1" applyFont="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Border="1" applyProtection="1">
      <protection hidden="1"/>
    </xf>
    <xf numFmtId="2" fontId="93" fillId="0" borderId="6" xfId="4" applyNumberFormat="1" applyFont="1" applyFill="1" applyBorder="1" applyAlignment="1" applyProtection="1">
      <alignment horizontal="center" vertical="center"/>
      <protection hidden="1"/>
    </xf>
    <xf numFmtId="2" fontId="93" fillId="0" borderId="7" xfId="4" applyNumberFormat="1" applyFont="1" applyFill="1" applyBorder="1" applyAlignment="1" applyProtection="1">
      <alignment horizontal="right" vertical="center"/>
      <protection hidden="1"/>
    </xf>
    <xf numFmtId="174" fontId="72" fillId="0" borderId="8" xfId="0" applyNumberFormat="1" applyFont="1" applyBorder="1" applyAlignment="1">
      <alignment horizontal="center" vertical="center"/>
    </xf>
    <xf numFmtId="1" fontId="71" fillId="0" borderId="1" xfId="14" applyNumberFormat="1" applyFont="1" applyBorder="1" applyAlignment="1" applyProtection="1">
      <alignment horizontal="center"/>
      <protection hidden="1"/>
    </xf>
    <xf numFmtId="2" fontId="94" fillId="0" borderId="6" xfId="4" applyNumberFormat="1" applyFont="1" applyFill="1" applyBorder="1" applyAlignment="1" applyProtection="1">
      <alignment horizontal="left" vertical="center"/>
      <protection hidden="1"/>
    </xf>
    <xf numFmtId="2" fontId="90" fillId="0" borderId="7" xfId="4" applyNumberFormat="1" applyFont="1" applyFill="1" applyBorder="1" applyAlignment="1" applyProtection="1">
      <alignment horizontal="right" vertical="center"/>
      <protection hidden="1"/>
    </xf>
    <xf numFmtId="174" fontId="72" fillId="0" borderId="10" xfId="0" applyNumberFormat="1" applyFont="1" applyBorder="1" applyAlignment="1">
      <alignment horizontal="center" vertical="center"/>
    </xf>
    <xf numFmtId="2" fontId="95" fillId="0" borderId="6" xfId="14" applyNumberFormat="1" applyFont="1" applyBorder="1" applyProtection="1">
      <protection hidden="1"/>
    </xf>
    <xf numFmtId="10" fontId="96" fillId="0" borderId="7" xfId="17" applyNumberFormat="1" applyFont="1" applyFill="1" applyBorder="1" applyAlignment="1" applyProtection="1">
      <alignment horizontal="right"/>
      <protection hidden="1"/>
    </xf>
    <xf numFmtId="0" fontId="66" fillId="0" borderId="5" xfId="14" applyFont="1" applyBorder="1" applyProtection="1">
      <protection hidden="1"/>
    </xf>
    <xf numFmtId="0" fontId="95" fillId="0" borderId="6" xfId="14" applyFont="1" applyBorder="1" applyProtection="1">
      <protection hidden="1"/>
    </xf>
    <xf numFmtId="0" fontId="95" fillId="0" borderId="7" xfId="14" applyFont="1" applyBorder="1" applyAlignment="1" applyProtection="1">
      <alignment horizontal="right"/>
      <protection hidden="1"/>
    </xf>
    <xf numFmtId="0" fontId="96" fillId="0" borderId="6" xfId="14" applyFont="1" applyBorder="1" applyAlignment="1" applyProtection="1">
      <alignment horizontal="right"/>
      <protection hidden="1"/>
    </xf>
    <xf numFmtId="0" fontId="96" fillId="0" borderId="7" xfId="14" applyFont="1" applyBorder="1" applyAlignment="1" applyProtection="1">
      <alignment horizontal="right"/>
      <protection hidden="1"/>
    </xf>
    <xf numFmtId="0" fontId="70" fillId="0" borderId="5" xfId="14" applyFont="1" applyBorder="1" applyProtection="1">
      <protection hidden="1"/>
    </xf>
    <xf numFmtId="10" fontId="96" fillId="0" borderId="6" xfId="14" applyNumberFormat="1" applyFont="1" applyBorder="1" applyAlignment="1" applyProtection="1">
      <alignment horizontal="right"/>
      <protection hidden="1"/>
    </xf>
    <xf numFmtId="0" fontId="95" fillId="0" borderId="6" xfId="14" applyFont="1" applyBorder="1" applyAlignment="1" applyProtection="1">
      <alignment horizontal="center"/>
      <protection hidden="1"/>
    </xf>
    <xf numFmtId="174" fontId="97" fillId="0" borderId="1" xfId="17" applyNumberFormat="1" applyFont="1" applyFill="1" applyBorder="1" applyAlignment="1" applyProtection="1">
      <alignment horizontal="center"/>
      <protection hidden="1"/>
    </xf>
    <xf numFmtId="0" fontId="98" fillId="0" borderId="5" xfId="14" applyFont="1" applyBorder="1" applyProtection="1">
      <protection hidden="1"/>
    </xf>
    <xf numFmtId="2" fontId="99" fillId="0" borderId="0" xfId="14" applyNumberFormat="1" applyFont="1" applyAlignment="1" applyProtection="1">
      <alignment horizontal="center"/>
      <protection hidden="1"/>
    </xf>
    <xf numFmtId="174" fontId="68" fillId="0" borderId="10" xfId="0" applyNumberFormat="1" applyFont="1" applyBorder="1" applyAlignment="1">
      <alignment horizontal="center" vertical="center"/>
    </xf>
    <xf numFmtId="174" fontId="95" fillId="0" borderId="7" xfId="17" applyNumberFormat="1" applyFont="1" applyFill="1" applyBorder="1" applyAlignment="1" applyProtection="1">
      <alignment horizontal="right"/>
      <protection hidden="1"/>
    </xf>
    <xf numFmtId="169" fontId="95" fillId="0" borderId="6" xfId="14" applyNumberFormat="1" applyFont="1" applyBorder="1" applyAlignment="1" applyProtection="1">
      <alignment horizontal="center"/>
      <protection hidden="1"/>
    </xf>
    <xf numFmtId="165" fontId="95" fillId="0" borderId="6" xfId="14" applyNumberFormat="1" applyFont="1" applyBorder="1" applyAlignment="1" applyProtection="1">
      <alignment horizontal="center"/>
      <protection hidden="1"/>
    </xf>
    <xf numFmtId="167" fontId="95" fillId="0" borderId="7" xfId="9" applyFont="1" applyFill="1" applyBorder="1" applyAlignment="1" applyProtection="1">
      <alignment horizontal="right"/>
      <protection hidden="1"/>
    </xf>
    <xf numFmtId="0" fontId="71" fillId="0" borderId="1" xfId="0" applyFont="1" applyBorder="1"/>
    <xf numFmtId="10" fontId="95" fillId="0" borderId="7" xfId="17" applyNumberFormat="1" applyFont="1" applyFill="1" applyBorder="1" applyAlignment="1" applyProtection="1">
      <alignment horizontal="right"/>
      <protection hidden="1"/>
    </xf>
    <xf numFmtId="174" fontId="66" fillId="0" borderId="10" xfId="0" applyNumberFormat="1" applyFont="1" applyBorder="1"/>
    <xf numFmtId="169" fontId="95" fillId="0" borderId="7" xfId="14" applyNumberFormat="1" applyFont="1" applyBorder="1" applyAlignment="1" applyProtection="1">
      <alignment horizontal="right"/>
      <protection hidden="1"/>
    </xf>
    <xf numFmtId="0" fontId="100" fillId="0" borderId="0" xfId="0" applyFont="1"/>
    <xf numFmtId="0" fontId="100" fillId="0" borderId="8" xfId="0" applyFont="1" applyBorder="1" applyAlignment="1">
      <alignment horizontal="right"/>
    </xf>
    <xf numFmtId="174" fontId="66" fillId="0" borderId="0" xfId="0" applyNumberFormat="1" applyFont="1"/>
    <xf numFmtId="0" fontId="74" fillId="0" borderId="5" xfId="14" applyFont="1" applyBorder="1" applyProtection="1">
      <protection hidden="1"/>
    </xf>
    <xf numFmtId="169" fontId="96" fillId="0" borderId="6" xfId="14" applyNumberFormat="1" applyFont="1" applyBorder="1" applyProtection="1">
      <protection hidden="1"/>
    </xf>
    <xf numFmtId="169" fontId="96" fillId="0" borderId="7" xfId="14" applyNumberFormat="1" applyFont="1" applyBorder="1" applyAlignment="1" applyProtection="1">
      <alignment horizontal="right"/>
      <protection hidden="1"/>
    </xf>
    <xf numFmtId="178" fontId="68" fillId="0" borderId="0" xfId="0" applyNumberFormat="1" applyFont="1"/>
    <xf numFmtId="0" fontId="96" fillId="0" borderId="0" xfId="0" applyFont="1"/>
    <xf numFmtId="0" fontId="96" fillId="0" borderId="10" xfId="0" applyFont="1" applyBorder="1" applyAlignment="1">
      <alignment horizontal="right"/>
    </xf>
    <xf numFmtId="0" fontId="96" fillId="0" borderId="0" xfId="0" applyFont="1" applyAlignment="1">
      <alignment horizontal="right"/>
    </xf>
    <xf numFmtId="174" fontId="68" fillId="0" borderId="0" xfId="0" applyNumberFormat="1" applyFont="1"/>
    <xf numFmtId="0" fontId="68" fillId="0" borderId="0" xfId="0" applyFont="1" applyAlignment="1">
      <alignment horizontal="right"/>
    </xf>
    <xf numFmtId="2" fontId="82" fillId="0" borderId="0" xfId="0" applyNumberFormat="1" applyFont="1"/>
    <xf numFmtId="2" fontId="83" fillId="0" borderId="0" xfId="0" applyNumberFormat="1" applyFont="1"/>
    <xf numFmtId="0" fontId="101" fillId="0" borderId="0" xfId="14" applyFont="1" applyAlignment="1" applyProtection="1">
      <alignment horizontal="right"/>
      <protection hidden="1"/>
    </xf>
    <xf numFmtId="1" fontId="83" fillId="0" borderId="0" xfId="0" applyNumberFormat="1" applyFont="1" applyAlignment="1">
      <alignment horizontal="left"/>
    </xf>
    <xf numFmtId="2" fontId="101" fillId="0" borderId="0" xfId="14" applyNumberFormat="1" applyFont="1" applyAlignment="1" applyProtection="1">
      <alignment horizontal="right"/>
      <protection hidden="1"/>
    </xf>
    <xf numFmtId="2" fontId="80" fillId="61" borderId="5" xfId="14" applyNumberFormat="1" applyFont="1" applyFill="1" applyBorder="1" applyAlignment="1" applyProtection="1">
      <alignment horizontal="left" vertical="center" wrapText="1"/>
      <protection hidden="1"/>
    </xf>
    <xf numFmtId="2" fontId="103" fillId="61" borderId="6" xfId="14" applyNumberFormat="1" applyFont="1" applyFill="1" applyBorder="1" applyAlignment="1" applyProtection="1">
      <alignment horizontal="center" wrapText="1"/>
      <protection hidden="1"/>
    </xf>
    <xf numFmtId="2" fontId="103" fillId="61" borderId="7" xfId="14" applyNumberFormat="1" applyFont="1" applyFill="1" applyBorder="1" applyAlignment="1" applyProtection="1">
      <alignment horizontal="right" wrapText="1"/>
      <protection hidden="1"/>
    </xf>
    <xf numFmtId="2" fontId="103" fillId="61" borderId="5" xfId="14" applyNumberFormat="1" applyFont="1" applyFill="1" applyBorder="1" applyAlignment="1" applyProtection="1">
      <alignment horizontal="left" vertical="center" wrapText="1"/>
      <protection hidden="1"/>
    </xf>
    <xf numFmtId="0" fontId="105" fillId="0" borderId="6" xfId="14" applyFont="1" applyBorder="1" applyAlignment="1" applyProtection="1">
      <alignment horizontal="center"/>
      <protection hidden="1"/>
    </xf>
    <xf numFmtId="9" fontId="71" fillId="61" borderId="1" xfId="66" applyFont="1" applyFill="1" applyBorder="1" applyAlignment="1">
      <alignment horizontal="center"/>
    </xf>
    <xf numFmtId="169" fontId="105" fillId="0" borderId="6" xfId="14" applyNumberFormat="1" applyFont="1" applyBorder="1" applyProtection="1">
      <protection hidden="1"/>
    </xf>
    <xf numFmtId="0" fontId="86" fillId="0" borderId="1" xfId="0" applyFont="1" applyBorder="1"/>
    <xf numFmtId="0" fontId="66" fillId="0" borderId="1" xfId="0" applyFont="1" applyBorder="1" applyAlignment="1">
      <alignment horizontal="center"/>
    </xf>
    <xf numFmtId="166" fontId="66" fillId="0" borderId="1" xfId="19" applyFont="1" applyBorder="1"/>
    <xf numFmtId="0" fontId="71" fillId="0" borderId="6" xfId="0" applyFont="1" applyBorder="1"/>
    <xf numFmtId="0" fontId="100" fillId="0" borderId="0" xfId="11" applyFont="1"/>
    <xf numFmtId="178" fontId="100" fillId="0" borderId="0" xfId="11" applyNumberFormat="1" applyFont="1"/>
    <xf numFmtId="2" fontId="100" fillId="0" borderId="0" xfId="11" applyNumberFormat="1" applyFont="1"/>
    <xf numFmtId="2" fontId="77" fillId="0" borderId="0" xfId="11" applyNumberFormat="1" applyFont="1" applyAlignment="1">
      <alignment vertical="center"/>
    </xf>
    <xf numFmtId="2" fontId="77" fillId="0" borderId="0" xfId="11" applyNumberFormat="1" applyFont="1" applyAlignment="1">
      <alignment horizontal="right" vertical="center"/>
    </xf>
    <xf numFmtId="2" fontId="78" fillId="0" borderId="0" xfId="11" applyNumberFormat="1" applyFont="1" applyAlignment="1">
      <alignment vertical="center"/>
    </xf>
    <xf numFmtId="0" fontId="72" fillId="0" borderId="0" xfId="15" applyFont="1"/>
    <xf numFmtId="2" fontId="72" fillId="0" borderId="0" xfId="15" applyNumberFormat="1" applyFont="1"/>
    <xf numFmtId="0" fontId="66" fillId="0" borderId="1" xfId="11" applyFont="1" applyBorder="1"/>
    <xf numFmtId="0" fontId="66" fillId="0" borderId="0" xfId="11" applyFont="1"/>
    <xf numFmtId="0" fontId="66" fillId="0" borderId="6" xfId="11" applyFont="1" applyBorder="1"/>
    <xf numFmtId="0" fontId="66" fillId="0" borderId="2" xfId="11" applyFont="1" applyBorder="1"/>
    <xf numFmtId="0" fontId="66" fillId="0" borderId="0" xfId="0" applyFont="1" applyAlignment="1">
      <alignment horizontal="left" vertical="center" indent="6"/>
    </xf>
    <xf numFmtId="0" fontId="66" fillId="0" borderId="5" xfId="10" applyFont="1" applyBorder="1" applyAlignment="1" applyProtection="1">
      <alignment horizontal="left"/>
      <protection hidden="1"/>
    </xf>
    <xf numFmtId="0" fontId="66" fillId="0" borderId="7" xfId="10" applyFont="1" applyBorder="1" applyAlignment="1" applyProtection="1">
      <alignment horizontal="left"/>
      <protection hidden="1"/>
    </xf>
    <xf numFmtId="0" fontId="66" fillId="0" borderId="1" xfId="10" applyFont="1" applyBorder="1" applyAlignment="1" applyProtection="1">
      <alignment horizontal="left"/>
      <protection hidden="1"/>
    </xf>
    <xf numFmtId="0" fontId="66" fillId="0" borderId="1" xfId="10" applyFont="1" applyBorder="1" applyAlignment="1" applyProtection="1">
      <alignment horizontal="center"/>
      <protection hidden="1"/>
    </xf>
    <xf numFmtId="0" fontId="71" fillId="0" borderId="0" xfId="10" applyFont="1" applyAlignment="1" applyProtection="1">
      <alignment horizontal="left" vertical="center"/>
      <protection hidden="1"/>
    </xf>
    <xf numFmtId="0" fontId="66" fillId="0" borderId="5" xfId="10" applyFont="1" applyBorder="1" applyAlignment="1" applyProtection="1">
      <alignment horizontal="left" vertical="top"/>
      <protection hidden="1"/>
    </xf>
    <xf numFmtId="0" fontId="66" fillId="0" borderId="6" xfId="10" applyFont="1" applyBorder="1" applyAlignment="1" applyProtection="1">
      <alignment horizontal="left" vertical="top"/>
      <protection hidden="1"/>
    </xf>
    <xf numFmtId="0" fontId="66" fillId="0" borderId="7" xfId="10" applyFont="1" applyBorder="1" applyAlignment="1" applyProtection="1">
      <alignment horizontal="center" vertical="top"/>
      <protection hidden="1"/>
    </xf>
    <xf numFmtId="0" fontId="66" fillId="0" borderId="0" xfId="10" applyFont="1" applyAlignment="1" applyProtection="1">
      <alignment horizontal="center"/>
      <protection hidden="1"/>
    </xf>
    <xf numFmtId="0" fontId="66" fillId="0" borderId="0" xfId="10" applyFont="1" applyAlignment="1" applyProtection="1">
      <alignment horizontal="left"/>
      <protection hidden="1"/>
    </xf>
    <xf numFmtId="0" fontId="66" fillId="0" borderId="1" xfId="10" applyFont="1" applyBorder="1" applyAlignment="1" applyProtection="1">
      <alignment horizontal="left" vertical="center"/>
      <protection hidden="1"/>
    </xf>
    <xf numFmtId="0" fontId="66" fillId="0" borderId="5" xfId="10" applyFont="1" applyBorder="1" applyAlignment="1" applyProtection="1">
      <alignment horizontal="left" vertical="center"/>
      <protection hidden="1"/>
    </xf>
    <xf numFmtId="0" fontId="66" fillId="0" borderId="1" xfId="10" applyFont="1" applyBorder="1" applyAlignment="1" applyProtection="1">
      <alignment horizontal="left" wrapText="1"/>
      <protection hidden="1"/>
    </xf>
    <xf numFmtId="0" fontId="66" fillId="0" borderId="7" xfId="10" applyFont="1" applyBorder="1" applyAlignment="1" applyProtection="1">
      <alignment horizontal="left" wrapText="1"/>
      <protection hidden="1"/>
    </xf>
    <xf numFmtId="0" fontId="66" fillId="0" borderId="1" xfId="10" applyFont="1" applyBorder="1" applyAlignment="1" applyProtection="1">
      <alignment horizontal="right"/>
      <protection hidden="1"/>
    </xf>
    <xf numFmtId="0" fontId="102" fillId="0" borderId="0" xfId="10" applyFont="1" applyAlignment="1" applyProtection="1">
      <alignment horizontal="left" vertical="center"/>
      <protection hidden="1"/>
    </xf>
    <xf numFmtId="0" fontId="80" fillId="61" borderId="5" xfId="10" applyFont="1" applyFill="1" applyBorder="1" applyAlignment="1" applyProtection="1">
      <alignment horizontal="left" vertical="center"/>
      <protection hidden="1"/>
    </xf>
    <xf numFmtId="0" fontId="85" fillId="61" borderId="6" xfId="11" applyFont="1" applyFill="1" applyBorder="1"/>
    <xf numFmtId="0" fontId="104" fillId="61" borderId="6" xfId="11" applyFont="1" applyFill="1" applyBorder="1"/>
    <xf numFmtId="0" fontId="104" fillId="61" borderId="7" xfId="11" applyFont="1" applyFill="1" applyBorder="1"/>
    <xf numFmtId="0" fontId="85" fillId="61" borderId="7" xfId="11" applyFont="1" applyFill="1" applyBorder="1"/>
    <xf numFmtId="0" fontId="68" fillId="0" borderId="0" xfId="14" applyFont="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Protection="1">
      <protection hidden="1"/>
    </xf>
    <xf numFmtId="0" fontId="66" fillId="0" borderId="1" xfId="104" applyFont="1" applyBorder="1" applyAlignment="1">
      <alignment vertical="top" wrapText="1"/>
    </xf>
    <xf numFmtId="174"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174" fontId="66" fillId="0" borderId="0" xfId="85" applyNumberFormat="1" applyFont="1" applyAlignment="1">
      <alignment horizontal="center" vertical="center"/>
    </xf>
    <xf numFmtId="2" fontId="77" fillId="0" borderId="0" xfId="85" applyNumberFormat="1" applyFont="1"/>
    <xf numFmtId="173" fontId="67" fillId="0" borderId="0" xfId="9" applyNumberFormat="1" applyFont="1" applyFill="1" applyBorder="1" applyAlignment="1" applyProtection="1">
      <alignment horizontal="center"/>
      <protection hidden="1"/>
    </xf>
    <xf numFmtId="0" fontId="66" fillId="0" borderId="0" xfId="104" applyFont="1"/>
    <xf numFmtId="44" fontId="66" fillId="0" borderId="1" xfId="67" applyFont="1" applyBorder="1" applyAlignment="1">
      <alignment vertical="top" wrapText="1"/>
    </xf>
    <xf numFmtId="49" fontId="66" fillId="0" borderId="1" xfId="104" applyNumberFormat="1" applyFont="1" applyBorder="1" applyAlignment="1">
      <alignment horizontal="center" vertical="top" wrapText="1"/>
    </xf>
    <xf numFmtId="0" fontId="66" fillId="0" borderId="1" xfId="85" applyFont="1" applyBorder="1"/>
    <xf numFmtId="0" fontId="66" fillId="0" borderId="1" xfId="104" applyFont="1" applyBorder="1" applyAlignment="1">
      <alignment vertical="top"/>
    </xf>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Alignment="1" applyProtection="1">
      <alignment horizontal="right"/>
      <protection hidden="1"/>
    </xf>
    <xf numFmtId="2" fontId="66" fillId="0" borderId="0" xfId="14" applyNumberFormat="1" applyFont="1" applyAlignment="1" applyProtection="1">
      <alignment horizontal="right"/>
      <protection hidden="1"/>
    </xf>
    <xf numFmtId="2" fontId="71" fillId="0" borderId="0" xfId="14" applyNumberFormat="1" applyFont="1" applyAlignment="1" applyProtection="1">
      <alignment horizontal="right"/>
      <protection hidden="1"/>
    </xf>
    <xf numFmtId="173" fontId="81" fillId="61" borderId="4" xfId="9" applyNumberFormat="1" applyFont="1" applyFill="1" applyBorder="1" applyAlignment="1">
      <alignment vertical="top" wrapText="1"/>
    </xf>
    <xf numFmtId="0" fontId="66" fillId="0" borderId="0" xfId="98" applyFont="1"/>
    <xf numFmtId="2" fontId="77" fillId="0" borderId="0" xfId="64" applyNumberFormat="1" applyFont="1"/>
    <xf numFmtId="189" fontId="79" fillId="0" borderId="0" xfId="64" applyNumberFormat="1" applyFont="1" applyAlignment="1">
      <alignment horizontal="left"/>
    </xf>
    <xf numFmtId="0" fontId="66" fillId="0" borderId="0" xfId="85" applyFont="1" applyAlignment="1">
      <alignment wrapText="1"/>
    </xf>
    <xf numFmtId="0" fontId="70" fillId="0" borderId="4" xfId="63" applyFont="1" applyBorder="1" applyAlignment="1" applyProtection="1">
      <alignment horizontal="left" textRotation="90"/>
      <protection hidden="1"/>
    </xf>
    <xf numFmtId="0" fontId="70" fillId="0" borderId="0" xfId="63" applyFont="1" applyAlignment="1" applyProtection="1">
      <alignment horizontal="left" textRotation="90"/>
      <protection hidden="1"/>
    </xf>
    <xf numFmtId="0" fontId="65" fillId="0" borderId="0" xfId="63" applyFont="1" applyAlignment="1" applyProtection="1">
      <alignment horizontal="left" textRotation="90"/>
      <protection hidden="1"/>
    </xf>
    <xf numFmtId="178" fontId="70" fillId="0" borderId="1" xfId="63" applyNumberFormat="1" applyFont="1" applyBorder="1" applyAlignment="1" applyProtection="1">
      <alignment horizontal="center"/>
      <protection hidden="1"/>
    </xf>
    <xf numFmtId="166" fontId="66" fillId="0" borderId="1" xfId="103" applyFont="1" applyBorder="1"/>
    <xf numFmtId="179" fontId="66" fillId="0" borderId="1" xfId="85" applyNumberFormat="1" applyFont="1" applyBorder="1"/>
    <xf numFmtId="188" fontId="66" fillId="0" borderId="1" xfId="85" applyNumberFormat="1" applyFont="1" applyBorder="1"/>
    <xf numFmtId="166" fontId="66" fillId="0" borderId="1" xfId="85" applyNumberFormat="1" applyFont="1" applyBorder="1"/>
    <xf numFmtId="0" fontId="71" fillId="0" borderId="5" xfId="85" applyFont="1" applyBorder="1"/>
    <xf numFmtId="0" fontId="71" fillId="0" borderId="6" xfId="85" applyFont="1" applyBorder="1"/>
    <xf numFmtId="0" fontId="71" fillId="0" borderId="7" xfId="85" applyFont="1" applyBorder="1"/>
    <xf numFmtId="49" fontId="71" fillId="0" borderId="1" xfId="9" applyNumberFormat="1" applyFont="1" applyBorder="1" applyAlignment="1">
      <alignment horizontal="center"/>
    </xf>
    <xf numFmtId="166" fontId="71" fillId="0" borderId="1" xfId="85" applyNumberFormat="1" applyFont="1" applyBorder="1"/>
    <xf numFmtId="2" fontId="82" fillId="0" borderId="0" xfId="64" applyNumberFormat="1" applyFont="1"/>
    <xf numFmtId="2" fontId="83" fillId="0" borderId="0" xfId="64" applyNumberFormat="1" applyFont="1" applyAlignment="1">
      <alignment horizontal="left"/>
    </xf>
    <xf numFmtId="0" fontId="100" fillId="0" borderId="0" xfId="11" applyFont="1" applyAlignment="1">
      <alignment horizontal="center"/>
    </xf>
    <xf numFmtId="0" fontId="78" fillId="0" borderId="0" xfId="64" applyFont="1" applyAlignment="1">
      <alignment horizontal="center"/>
    </xf>
    <xf numFmtId="0" fontId="78" fillId="0" borderId="0" xfId="11" applyFont="1" applyAlignment="1">
      <alignment horizontal="center" vertical="center"/>
    </xf>
    <xf numFmtId="2" fontId="77" fillId="0" borderId="0" xfId="11" applyNumberFormat="1" applyFont="1" applyAlignment="1">
      <alignment vertical="center" wrapText="1"/>
    </xf>
    <xf numFmtId="0" fontId="66" fillId="0" borderId="1" xfId="90" applyFont="1" applyBorder="1" applyAlignment="1" applyProtection="1">
      <alignment horizontal="left" vertical="center"/>
      <protection hidden="1"/>
    </xf>
    <xf numFmtId="0" fontId="101" fillId="0" borderId="6" xfId="11" applyFont="1" applyBorder="1" applyAlignment="1">
      <alignment horizontal="left"/>
    </xf>
    <xf numFmtId="0" fontId="101" fillId="0" borderId="6" xfId="11" applyFont="1" applyBorder="1" applyAlignment="1">
      <alignment horizontal="right"/>
    </xf>
    <xf numFmtId="178" fontId="101" fillId="0" borderId="1" xfId="11" applyNumberFormat="1" applyFont="1" applyBorder="1" applyAlignment="1">
      <alignment vertical="center"/>
    </xf>
    <xf numFmtId="0" fontId="66" fillId="0" borderId="0" xfId="85" applyFont="1" applyAlignment="1">
      <alignment vertical="center"/>
    </xf>
    <xf numFmtId="0" fontId="66" fillId="0" borderId="0" xfId="90" applyFont="1" applyAlignment="1">
      <alignment vertical="center"/>
    </xf>
    <xf numFmtId="178" fontId="101" fillId="0" borderId="0" xfId="11" applyNumberFormat="1" applyFont="1"/>
    <xf numFmtId="0" fontId="101" fillId="0" borderId="0" xfId="11" applyFont="1"/>
    <xf numFmtId="0" fontId="106" fillId="0" borderId="0" xfId="90" applyFont="1" applyAlignment="1">
      <alignment vertical="center" wrapText="1"/>
    </xf>
    <xf numFmtId="2" fontId="81" fillId="61" borderId="37" xfId="90" applyNumberFormat="1" applyFont="1" applyFill="1" applyBorder="1" applyAlignment="1" applyProtection="1">
      <alignment vertical="center" wrapText="1"/>
      <protection hidden="1"/>
    </xf>
    <xf numFmtId="0" fontId="81" fillId="61" borderId="37" xfId="90" applyFont="1" applyFill="1" applyBorder="1" applyAlignment="1" applyProtection="1">
      <alignment horizontal="center" vertical="center" wrapText="1"/>
      <protection hidden="1"/>
    </xf>
    <xf numFmtId="0" fontId="94" fillId="0" borderId="0" xfId="11" applyFont="1"/>
    <xf numFmtId="0" fontId="71" fillId="0" borderId="5" xfId="14" applyFont="1" applyBorder="1" applyAlignment="1" applyProtection="1">
      <alignment vertical="center"/>
      <protection hidden="1"/>
    </xf>
    <xf numFmtId="10" fontId="71" fillId="0" borderId="1" xfId="17" applyNumberFormat="1" applyFont="1" applyFill="1" applyBorder="1" applyAlignment="1"/>
    <xf numFmtId="0" fontId="71" fillId="0" borderId="1" xfId="14" applyFont="1" applyBorder="1" applyAlignment="1" applyProtection="1">
      <alignment vertical="center"/>
      <protection hidden="1"/>
    </xf>
    <xf numFmtId="2" fontId="71" fillId="0" borderId="1" xfId="14" applyNumberFormat="1" applyFont="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Border="1" applyProtection="1">
      <protection hidden="1"/>
    </xf>
    <xf numFmtId="0" fontId="100" fillId="0" borderId="6" xfId="14" applyFont="1" applyBorder="1" applyProtection="1">
      <protection hidden="1"/>
    </xf>
    <xf numFmtId="0" fontId="100" fillId="0" borderId="7" xfId="14" applyFont="1" applyBorder="1" applyAlignment="1" applyProtection="1">
      <alignment horizontal="right"/>
      <protection hidden="1"/>
    </xf>
    <xf numFmtId="2" fontId="101" fillId="0" borderId="0" xfId="14" applyNumberFormat="1" applyFont="1" applyAlignment="1" applyProtection="1">
      <alignment horizontal="center"/>
      <protection hidden="1"/>
    </xf>
    <xf numFmtId="178" fontId="71" fillId="0" borderId="9" xfId="6" applyNumberFormat="1" applyFont="1" applyFill="1" applyBorder="1" applyAlignment="1" applyProtection="1">
      <protection hidden="1"/>
    </xf>
    <xf numFmtId="169" fontId="100" fillId="0" borderId="6" xfId="14" applyNumberFormat="1" applyFont="1" applyBorder="1" applyProtection="1">
      <protection hidden="1"/>
    </xf>
    <xf numFmtId="174" fontId="66" fillId="0" borderId="11" xfId="0" applyNumberFormat="1" applyFont="1" applyBorder="1" applyAlignment="1">
      <alignment horizontal="center" vertical="center"/>
    </xf>
    <xf numFmtId="0" fontId="68" fillId="0" borderId="5" xfId="14" applyFont="1" applyBorder="1" applyProtection="1">
      <protection hidden="1"/>
    </xf>
    <xf numFmtId="174" fontId="66" fillId="0" borderId="10" xfId="0" applyNumberFormat="1" applyFont="1" applyBorder="1" applyAlignment="1">
      <alignment horizontal="center" vertical="center"/>
    </xf>
    <xf numFmtId="0" fontId="66" fillId="0" borderId="40" xfId="18" applyFont="1" applyBorder="1"/>
    <xf numFmtId="0" fontId="66" fillId="0" borderId="40" xfId="0" applyFont="1" applyBorder="1"/>
    <xf numFmtId="0" fontId="66" fillId="0" borderId="41" xfId="0" applyFont="1" applyBorder="1"/>
    <xf numFmtId="0" fontId="66" fillId="0" borderId="42" xfId="0" applyFont="1" applyBorder="1"/>
    <xf numFmtId="0" fontId="66" fillId="0" borderId="43" xfId="0" applyFont="1" applyBorder="1"/>
    <xf numFmtId="0" fontId="81" fillId="61" borderId="1" xfId="14"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0" xfId="18" applyFont="1"/>
    <xf numFmtId="0" fontId="71" fillId="0" borderId="1" xfId="0" applyFont="1" applyBorder="1" applyAlignment="1">
      <alignment horizontal="center" vertical="center"/>
    </xf>
    <xf numFmtId="173" fontId="71" fillId="0" borderId="1" xfId="9" applyNumberFormat="1" applyFont="1" applyFill="1" applyBorder="1" applyAlignment="1">
      <alignment horizontal="center" vertical="center"/>
    </xf>
    <xf numFmtId="1" fontId="75" fillId="0" borderId="5" xfId="0" applyNumberFormat="1" applyFont="1" applyBorder="1" applyAlignment="1">
      <alignment horizontal="left" vertical="center"/>
    </xf>
    <xf numFmtId="1" fontId="75" fillId="0" borderId="6" xfId="0" applyNumberFormat="1" applyFont="1" applyBorder="1" applyAlignment="1">
      <alignment horizontal="left" vertical="center"/>
    </xf>
    <xf numFmtId="2" fontId="107" fillId="0" borderId="0" xfId="13" applyNumberFormat="1" applyFont="1"/>
    <xf numFmtId="49" fontId="87" fillId="63" borderId="1" xfId="10" applyNumberFormat="1" applyFont="1" applyFill="1" applyBorder="1" applyAlignment="1" applyProtection="1">
      <alignment horizontal="left" vertical="top"/>
      <protection hidden="1"/>
    </xf>
    <xf numFmtId="9" fontId="87" fillId="62" borderId="1" xfId="62" applyNumberFormat="1" applyFont="1" applyFill="1" applyBorder="1" applyAlignment="1">
      <alignment horizontal="center" vertical="center"/>
    </xf>
    <xf numFmtId="0" fontId="87" fillId="0" borderId="0" xfId="14" applyFont="1" applyAlignment="1" applyProtection="1">
      <alignment horizontal="left" vertical="center"/>
      <protection hidden="1"/>
    </xf>
    <xf numFmtId="49" fontId="87"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9" fontId="66" fillId="2" borderId="0" xfId="17" applyFont="1" applyFill="1" applyBorder="1" applyAlignment="1">
      <alignment horizontal="center"/>
    </xf>
    <xf numFmtId="0" fontId="66" fillId="2" borderId="0" xfId="0" applyFont="1" applyFill="1"/>
    <xf numFmtId="2" fontId="88"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79" fontId="66" fillId="62" borderId="1" xfId="66" applyNumberFormat="1" applyFont="1" applyFill="1" applyBorder="1" applyAlignment="1">
      <alignment horizontal="center"/>
    </xf>
    <xf numFmtId="0" fontId="68" fillId="62" borderId="1" xfId="14" applyFont="1" applyFill="1" applyBorder="1" applyProtection="1">
      <protection hidden="1"/>
    </xf>
    <xf numFmtId="176"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0" fontId="95" fillId="62" borderId="1" xfId="17" applyNumberFormat="1" applyFont="1" applyFill="1" applyBorder="1" applyAlignment="1" applyProtection="1">
      <alignment horizontal="right"/>
      <protection hidden="1"/>
    </xf>
    <xf numFmtId="0" fontId="66" fillId="62" borderId="5" xfId="14" applyFont="1" applyFill="1" applyBorder="1" applyProtection="1">
      <protection hidden="1"/>
    </xf>
    <xf numFmtId="9" fontId="70" fillId="62" borderId="1" xfId="17"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3" fontId="70" fillId="62" borderId="1" xfId="63" applyNumberFormat="1" applyFont="1" applyFill="1" applyBorder="1" applyAlignment="1" applyProtection="1">
      <alignment horizontal="left" wrapText="1"/>
      <protection hidden="1"/>
    </xf>
    <xf numFmtId="3" fontId="70" fillId="62" borderId="1" xfId="63" applyNumberFormat="1" applyFont="1" applyFill="1" applyBorder="1" applyAlignment="1" applyProtection="1">
      <alignment horizontal="left" vertical="top" wrapText="1"/>
      <protection hidden="1"/>
    </xf>
    <xf numFmtId="178" fontId="70" fillId="62" borderId="1" xfId="63" applyNumberFormat="1" applyFont="1" applyFill="1" applyBorder="1" applyAlignment="1" applyProtection="1">
      <alignment horizontal="center"/>
      <protection hidden="1"/>
    </xf>
    <xf numFmtId="44" fontId="66" fillId="63" borderId="1" xfId="67" applyFont="1" applyFill="1" applyBorder="1" applyAlignment="1" applyProtection="1">
      <protection locked="0"/>
    </xf>
    <xf numFmtId="0" fontId="66" fillId="62" borderId="1" xfId="11" applyFont="1" applyFill="1" applyBorder="1"/>
    <xf numFmtId="0" fontId="66" fillId="62" borderId="2" xfId="11" applyFont="1" applyFill="1" applyBorder="1"/>
    <xf numFmtId="178" fontId="100" fillId="62" borderId="1" xfId="11" applyNumberFormat="1" applyFont="1" applyFill="1" applyBorder="1"/>
    <xf numFmtId="0" fontId="66" fillId="62" borderId="6" xfId="11" applyFont="1" applyFill="1" applyBorder="1"/>
    <xf numFmtId="0" fontId="66" fillId="62" borderId="5" xfId="11" applyFont="1" applyFill="1" applyBorder="1"/>
    <xf numFmtId="167" fontId="71" fillId="2" borderId="1" xfId="9" applyFont="1" applyFill="1" applyBorder="1"/>
    <xf numFmtId="174" fontId="70" fillId="62" borderId="4" xfId="66" applyNumberFormat="1" applyFont="1" applyFill="1" applyBorder="1" applyAlignment="1" applyProtection="1">
      <alignment horizontal="center"/>
      <protection hidden="1"/>
    </xf>
    <xf numFmtId="179"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79" fontId="71" fillId="2" borderId="7" xfId="85" applyNumberFormat="1" applyFont="1" applyFill="1" applyBorder="1" applyAlignment="1">
      <alignment vertical="top" wrapText="1"/>
    </xf>
    <xf numFmtId="179"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Protection="1">
      <protection hidden="1"/>
    </xf>
    <xf numFmtId="166" fontId="66" fillId="0" borderId="0" xfId="19" applyFont="1" applyFill="1" applyBorder="1" applyAlignment="1" applyProtection="1">
      <protection hidden="1"/>
    </xf>
    <xf numFmtId="2" fontId="66" fillId="0" borderId="5" xfId="14" applyNumberFormat="1" applyFont="1" applyBorder="1" applyAlignment="1" applyProtection="1">
      <alignment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1" fillId="61" borderId="4" xfId="85" applyNumberFormat="1" applyFont="1" applyFill="1" applyBorder="1" applyAlignment="1">
      <alignment horizontal="left" vertical="top" wrapText="1"/>
    </xf>
    <xf numFmtId="2" fontId="81" fillId="61" borderId="4" xfId="85" applyNumberFormat="1" applyFont="1" applyFill="1" applyBorder="1" applyAlignment="1">
      <alignment vertical="top" wrapText="1"/>
    </xf>
    <xf numFmtId="0" fontId="71" fillId="0" borderId="0" xfId="104" applyFont="1"/>
    <xf numFmtId="197" fontId="66" fillId="62" borderId="1" xfId="9" applyNumberFormat="1" applyFont="1" applyFill="1" applyBorder="1" applyAlignment="1">
      <alignment horizontal="center"/>
    </xf>
    <xf numFmtId="2" fontId="84" fillId="0" borderId="0" xfId="64" applyNumberFormat="1" applyFont="1"/>
    <xf numFmtId="0" fontId="69" fillId="0" borderId="44" xfId="0" applyFont="1" applyBorder="1"/>
    <xf numFmtId="2" fontId="103" fillId="61" borderId="45" xfId="14" applyNumberFormat="1" applyFont="1" applyFill="1" applyBorder="1" applyAlignment="1" applyProtection="1">
      <alignment horizontal="left" vertical="center" wrapText="1"/>
      <protection hidden="1"/>
    </xf>
    <xf numFmtId="2" fontId="66" fillId="0" borderId="45" xfId="14" applyNumberFormat="1" applyFont="1" applyBorder="1" applyProtection="1">
      <protection hidden="1"/>
    </xf>
    <xf numFmtId="1" fontId="71" fillId="0" borderId="46" xfId="14" applyNumberFormat="1" applyFont="1" applyBorder="1" applyAlignment="1" applyProtection="1">
      <alignment horizontal="center"/>
      <protection hidden="1"/>
    </xf>
    <xf numFmtId="166" fontId="66" fillId="0" borderId="45" xfId="19" applyFont="1" applyFill="1" applyBorder="1" applyAlignment="1" applyProtection="1">
      <protection hidden="1"/>
    </xf>
    <xf numFmtId="166" fontId="66" fillId="0" borderId="46" xfId="19" applyFont="1" applyFill="1" applyBorder="1" applyAlignment="1" applyProtection="1">
      <protection hidden="1"/>
    </xf>
    <xf numFmtId="0" fontId="71" fillId="0" borderId="46" xfId="0" applyFont="1" applyBorder="1"/>
    <xf numFmtId="166" fontId="71" fillId="0" borderId="46" xfId="19" applyFont="1" applyBorder="1"/>
    <xf numFmtId="173" fontId="71" fillId="0" borderId="1" xfId="9" applyNumberFormat="1" applyFont="1" applyFill="1" applyBorder="1" applyAlignment="1">
      <alignment horizontal="center"/>
    </xf>
    <xf numFmtId="0" fontId="66" fillId="2" borderId="1" xfId="0" applyFont="1" applyFill="1" applyBorder="1" applyAlignment="1">
      <alignment vertical="center"/>
    </xf>
    <xf numFmtId="2" fontId="81" fillId="61" borderId="1" xfId="90" applyNumberFormat="1" applyFont="1" applyFill="1" applyBorder="1" applyAlignment="1">
      <alignment vertical="top" wrapText="1"/>
    </xf>
    <xf numFmtId="167" fontId="81" fillId="61" borderId="1" xfId="9" applyFont="1" applyFill="1" applyBorder="1" applyAlignment="1">
      <alignment horizontal="center" vertical="top" wrapText="1"/>
    </xf>
    <xf numFmtId="9" fontId="66" fillId="2" borderId="1" xfId="66" applyFont="1" applyFill="1" applyBorder="1" applyAlignment="1">
      <alignment horizontal="center"/>
    </xf>
    <xf numFmtId="0" fontId="88" fillId="2" borderId="0" xfId="0" applyFont="1" applyFill="1" applyAlignment="1">
      <alignment horizontal="center"/>
    </xf>
    <xf numFmtId="0" fontId="88" fillId="0" borderId="0" xfId="14" applyFont="1" applyProtection="1">
      <protection hidden="1"/>
    </xf>
    <xf numFmtId="176" fontId="71" fillId="62" borderId="1" xfId="12" applyNumberFormat="1" applyFont="1" applyFill="1" applyBorder="1" applyAlignment="1" applyProtection="1">
      <alignment horizontal="center" vertical="center"/>
      <protection hidden="1"/>
    </xf>
    <xf numFmtId="0" fontId="95" fillId="2" borderId="6" xfId="14" applyFont="1" applyFill="1" applyBorder="1" applyProtection="1">
      <protection hidden="1"/>
    </xf>
    <xf numFmtId="0" fontId="95" fillId="62" borderId="6" xfId="14" applyFont="1" applyFill="1" applyBorder="1" applyAlignment="1" applyProtection="1">
      <alignment horizontal="center"/>
      <protection hidden="1"/>
    </xf>
    <xf numFmtId="0" fontId="95" fillId="62" borderId="7" xfId="14" applyFont="1" applyFill="1" applyBorder="1" applyAlignment="1" applyProtection="1">
      <alignment horizontal="right"/>
      <protection hidden="1"/>
    </xf>
    <xf numFmtId="10" fontId="95" fillId="62" borderId="7" xfId="17" applyNumberFormat="1" applyFont="1" applyFill="1" applyBorder="1" applyAlignment="1" applyProtection="1">
      <alignment horizontal="right"/>
      <protection hidden="1"/>
    </xf>
    <xf numFmtId="0" fontId="88" fillId="0" borderId="0" xfId="14" applyFont="1" applyAlignment="1" applyProtection="1">
      <alignment horizontal="right" vertical="center"/>
      <protection hidden="1"/>
    </xf>
    <xf numFmtId="2" fontId="88" fillId="0" borderId="0" xfId="14" applyNumberFormat="1" applyFont="1" applyAlignment="1" applyProtection="1">
      <alignment vertical="center"/>
      <protection hidden="1"/>
    </xf>
    <xf numFmtId="0" fontId="88" fillId="0" borderId="0" xfId="14" applyFont="1" applyAlignment="1" applyProtection="1">
      <alignment vertical="center"/>
      <protection hidden="1"/>
    </xf>
    <xf numFmtId="0" fontId="88" fillId="0" borderId="0" xfId="0" applyFont="1"/>
    <xf numFmtId="0" fontId="66" fillId="0" borderId="51" xfId="0" applyFont="1" applyBorder="1"/>
    <xf numFmtId="0" fontId="81" fillId="61" borderId="52" xfId="0" applyFont="1" applyFill="1" applyBorder="1" applyAlignment="1">
      <alignment wrapText="1"/>
    </xf>
    <xf numFmtId="0" fontId="66" fillId="0" borderId="53" xfId="0" applyFont="1" applyBorder="1"/>
    <xf numFmtId="0" fontId="66" fillId="0" borderId="54" xfId="0" applyFont="1" applyBorder="1"/>
    <xf numFmtId="0" fontId="66" fillId="2" borderId="0" xfId="18" applyFont="1" applyFill="1"/>
    <xf numFmtId="0" fontId="66" fillId="0" borderId="44" xfId="0" applyFont="1" applyBorder="1" applyAlignment="1">
      <alignment horizontal="left"/>
    </xf>
    <xf numFmtId="176" fontId="66" fillId="62" borderId="46" xfId="12" applyNumberFormat="1" applyFont="1" applyFill="1" applyBorder="1" applyAlignment="1" applyProtection="1">
      <alignment vertical="center"/>
      <protection hidden="1"/>
    </xf>
    <xf numFmtId="0" fontId="66" fillId="0" borderId="45" xfId="0" applyFont="1" applyBorder="1"/>
    <xf numFmtId="174" fontId="109" fillId="0" borderId="10" xfId="0" applyNumberFormat="1" applyFont="1" applyBorder="1" applyAlignment="1">
      <alignment horizontal="center" vertical="center"/>
    </xf>
    <xf numFmtId="0" fontId="82" fillId="0" borderId="0" xfId="13" applyFont="1"/>
    <xf numFmtId="1" fontId="71" fillId="0" borderId="46" xfId="14" applyNumberFormat="1" applyFont="1" applyBorder="1" applyAlignment="1" applyProtection="1">
      <alignment horizontal="center" vertical="center"/>
      <protection hidden="1"/>
    </xf>
    <xf numFmtId="2" fontId="70" fillId="2" borderId="1" xfId="14" applyNumberFormat="1" applyFont="1" applyFill="1" applyBorder="1" applyAlignment="1" applyProtection="1">
      <alignment horizontal="right" vertical="center"/>
      <protection hidden="1"/>
    </xf>
    <xf numFmtId="167" fontId="71" fillId="2" borderId="46" xfId="9" applyFont="1" applyFill="1" applyBorder="1"/>
    <xf numFmtId="0" fontId="91" fillId="0" borderId="0" xfId="0" applyFont="1" applyAlignment="1">
      <alignment horizontal="center" vertical="center"/>
    </xf>
    <xf numFmtId="2" fontId="72" fillId="0" borderId="0" xfId="0" applyNumberFormat="1" applyFont="1" applyAlignment="1">
      <alignment horizontal="center" vertical="center"/>
    </xf>
    <xf numFmtId="2" fontId="70" fillId="0" borderId="46" xfId="4" applyNumberFormat="1" applyFont="1" applyFill="1" applyBorder="1" applyAlignment="1" applyProtection="1">
      <protection hidden="1"/>
    </xf>
    <xf numFmtId="166" fontId="70" fillId="35" borderId="46" xfId="19" applyFont="1" applyFill="1" applyBorder="1" applyAlignment="1" applyProtection="1">
      <protection locked="0"/>
    </xf>
    <xf numFmtId="166" fontId="70" fillId="63" borderId="46" xfId="19" applyFont="1" applyFill="1" applyBorder="1" applyAlignment="1" applyProtection="1">
      <protection locked="0"/>
    </xf>
    <xf numFmtId="178" fontId="71" fillId="0" borderId="46" xfId="4" applyNumberFormat="1" applyFont="1" applyFill="1" applyBorder="1" applyAlignment="1" applyProtection="1">
      <protection hidden="1"/>
    </xf>
    <xf numFmtId="169" fontId="70" fillId="0" borderId="46" xfId="4" applyFont="1" applyFill="1" applyBorder="1" applyAlignment="1" applyProtection="1">
      <protection hidden="1"/>
    </xf>
    <xf numFmtId="166" fontId="70" fillId="0" borderId="46" xfId="19" applyFont="1" applyFill="1" applyBorder="1" applyAlignment="1" applyProtection="1">
      <protection locked="0"/>
    </xf>
    <xf numFmtId="169" fontId="70" fillId="0" borderId="46" xfId="4" applyFont="1" applyFill="1" applyBorder="1" applyAlignment="1" applyProtection="1">
      <protection locked="0"/>
    </xf>
    <xf numFmtId="166" fontId="98" fillId="2" borderId="46" xfId="19" applyFont="1" applyFill="1" applyBorder="1" applyAlignment="1" applyProtection="1">
      <alignment horizontal="right"/>
      <protection locked="0"/>
    </xf>
    <xf numFmtId="2" fontId="70" fillId="0" borderId="46" xfId="4" applyNumberFormat="1" applyFont="1" applyFill="1" applyBorder="1" applyAlignment="1" applyProtection="1">
      <alignment horizontal="right"/>
      <protection locked="0"/>
    </xf>
    <xf numFmtId="178" fontId="74" fillId="0" borderId="46" xfId="6" applyNumberFormat="1" applyFont="1" applyFill="1" applyBorder="1" applyAlignment="1" applyProtection="1">
      <protection hidden="1"/>
    </xf>
    <xf numFmtId="0" fontId="66" fillId="64" borderId="1" xfId="0" applyFont="1" applyFill="1" applyBorder="1"/>
    <xf numFmtId="167" fontId="66" fillId="0" borderId="1" xfId="9" applyFont="1" applyFill="1" applyBorder="1" applyAlignment="1">
      <alignment horizontal="center"/>
    </xf>
    <xf numFmtId="9" fontId="66" fillId="2" borderId="1" xfId="17" applyFont="1" applyFill="1" applyBorder="1" applyAlignment="1">
      <alignment horizontal="center"/>
    </xf>
    <xf numFmtId="2" fontId="81" fillId="61" borderId="1" xfId="9" applyNumberFormat="1" applyFont="1" applyFill="1" applyBorder="1" applyAlignment="1">
      <alignment horizontal="center" vertical="top" wrapText="1"/>
    </xf>
    <xf numFmtId="2" fontId="81" fillId="61" borderId="46" xfId="9" applyNumberFormat="1" applyFont="1" applyFill="1" applyBorder="1" applyAlignment="1">
      <alignment horizontal="center" vertical="top" wrapText="1"/>
    </xf>
    <xf numFmtId="1" fontId="71" fillId="2" borderId="46" xfId="9" applyNumberFormat="1" applyFont="1" applyFill="1" applyBorder="1" applyAlignment="1">
      <alignment horizontal="center"/>
    </xf>
    <xf numFmtId="179" fontId="66" fillId="0" borderId="1" xfId="19" applyNumberFormat="1" applyFont="1" applyBorder="1"/>
    <xf numFmtId="179" fontId="71" fillId="2" borderId="1" xfId="9" applyNumberFormat="1" applyFont="1" applyFill="1" applyBorder="1"/>
    <xf numFmtId="198" fontId="66" fillId="2" borderId="1" xfId="9" applyNumberFormat="1" applyFont="1" applyFill="1" applyBorder="1" applyAlignment="1">
      <alignment horizontal="center"/>
    </xf>
    <xf numFmtId="198" fontId="66" fillId="0" borderId="1" xfId="9" applyNumberFormat="1" applyFont="1" applyFill="1" applyBorder="1" applyAlignment="1">
      <alignment horizontal="center"/>
    </xf>
    <xf numFmtId="2" fontId="81" fillId="61" borderId="46" xfId="90" applyNumberFormat="1" applyFont="1" applyFill="1" applyBorder="1" applyAlignment="1">
      <alignment vertical="top" wrapText="1"/>
    </xf>
    <xf numFmtId="49" fontId="87" fillId="63" borderId="0" xfId="63" applyNumberFormat="1" applyFont="1" applyFill="1" applyAlignment="1" applyProtection="1">
      <alignment horizontal="left" vertical="top"/>
      <protection hidden="1"/>
    </xf>
    <xf numFmtId="2" fontId="66" fillId="0" borderId="46" xfId="90" applyNumberFormat="1" applyFont="1" applyBorder="1"/>
    <xf numFmtId="0" fontId="71" fillId="0" borderId="46" xfId="90" applyFont="1" applyBorder="1"/>
    <xf numFmtId="2" fontId="66" fillId="65" borderId="1" xfId="0" applyNumberFormat="1" applyFont="1" applyFill="1" applyBorder="1"/>
    <xf numFmtId="2" fontId="66" fillId="65" borderId="46" xfId="0" applyNumberFormat="1" applyFont="1" applyFill="1" applyBorder="1"/>
    <xf numFmtId="1" fontId="71" fillId="65" borderId="46" xfId="9" applyNumberFormat="1" applyFont="1" applyFill="1" applyBorder="1" applyAlignment="1">
      <alignment horizontal="center"/>
    </xf>
    <xf numFmtId="198" fontId="66" fillId="65" borderId="1" xfId="9" applyNumberFormat="1" applyFont="1" applyFill="1" applyBorder="1" applyAlignment="1">
      <alignment horizontal="center"/>
    </xf>
    <xf numFmtId="9" fontId="66" fillId="65" borderId="1" xfId="17" applyFont="1" applyFill="1" applyBorder="1" applyAlignment="1">
      <alignment horizontal="center"/>
    </xf>
    <xf numFmtId="167" fontId="66" fillId="65" borderId="1" xfId="9" applyFont="1" applyFill="1" applyBorder="1" applyAlignment="1">
      <alignment horizontal="center"/>
    </xf>
    <xf numFmtId="166" fontId="66" fillId="65" borderId="1" xfId="19" applyFont="1" applyFill="1" applyBorder="1"/>
    <xf numFmtId="179" fontId="66" fillId="65" borderId="1" xfId="19" applyNumberFormat="1" applyFont="1" applyFill="1" applyBorder="1"/>
    <xf numFmtId="2" fontId="68" fillId="0" borderId="1" xfId="9" applyNumberFormat="1" applyFont="1" applyFill="1" applyBorder="1" applyAlignment="1">
      <alignment horizontal="left"/>
    </xf>
    <xf numFmtId="0" fontId="66" fillId="0" borderId="0" xfId="0" applyFont="1" applyAlignment="1">
      <alignment horizontal="left"/>
    </xf>
    <xf numFmtId="2" fontId="71" fillId="0" borderId="0" xfId="0" applyNumberFormat="1" applyFont="1" applyAlignment="1">
      <alignment horizontal="left"/>
    </xf>
    <xf numFmtId="2" fontId="88" fillId="61" borderId="37" xfId="0" applyNumberFormat="1" applyFont="1" applyFill="1" applyBorder="1" applyAlignment="1">
      <alignment horizontal="left" vertical="top" wrapText="1"/>
    </xf>
    <xf numFmtId="2" fontId="68" fillId="0" borderId="0" xfId="9" applyNumberFormat="1" applyFont="1" applyFill="1" applyBorder="1" applyAlignment="1">
      <alignment horizontal="left"/>
    </xf>
    <xf numFmtId="198" fontId="66" fillId="0" borderId="1" xfId="9" applyNumberFormat="1" applyFont="1" applyFill="1" applyBorder="1" applyAlignment="1">
      <alignment horizontal="center" vertical="center" wrapText="1"/>
    </xf>
    <xf numFmtId="0" fontId="101" fillId="0" borderId="6" xfId="11" applyFont="1" applyBorder="1" applyAlignment="1">
      <alignment horizontal="right" vertical="center"/>
    </xf>
    <xf numFmtId="0" fontId="94" fillId="0" borderId="0" xfId="90" applyFont="1" applyAlignment="1">
      <alignment horizontal="left" vertical="center" wrapText="1"/>
    </xf>
    <xf numFmtId="198" fontId="66" fillId="0" borderId="1" xfId="0" applyNumberFormat="1" applyFont="1" applyBorder="1" applyAlignment="1">
      <alignment horizontal="center" vertical="center"/>
    </xf>
    <xf numFmtId="198" fontId="66" fillId="64" borderId="1" xfId="0" applyNumberFormat="1" applyFont="1" applyFill="1" applyBorder="1" applyAlignment="1">
      <alignment horizontal="center" vertical="center"/>
    </xf>
    <xf numFmtId="1" fontId="66" fillId="2" borderId="1" xfId="9" applyNumberFormat="1" applyFont="1" applyFill="1" applyBorder="1" applyAlignment="1">
      <alignment horizontal="center"/>
    </xf>
    <xf numFmtId="1" fontId="66" fillId="65" borderId="1" xfId="9" applyNumberFormat="1" applyFont="1" applyFill="1" applyBorder="1" applyAlignment="1">
      <alignment horizontal="center"/>
    </xf>
    <xf numFmtId="1" fontId="71" fillId="2" borderId="1" xfId="9" applyNumberFormat="1" applyFont="1" applyFill="1" applyBorder="1" applyAlignment="1">
      <alignment horizontal="center"/>
    </xf>
    <xf numFmtId="0" fontId="81" fillId="61" borderId="37" xfId="90" applyFont="1" applyFill="1" applyBorder="1" applyAlignment="1" applyProtection="1">
      <alignment horizontal="left" vertical="center" wrapText="1"/>
      <protection hidden="1"/>
    </xf>
    <xf numFmtId="178" fontId="81" fillId="61" borderId="37" xfId="90" applyNumberFormat="1" applyFont="1" applyFill="1" applyBorder="1" applyAlignment="1" applyProtection="1">
      <alignment horizontal="center" vertical="center" wrapText="1"/>
      <protection hidden="1"/>
    </xf>
    <xf numFmtId="2" fontId="81" fillId="61" borderId="37" xfId="90" applyNumberFormat="1" applyFont="1" applyFill="1" applyBorder="1" applyAlignment="1" applyProtection="1">
      <alignment horizontal="center" vertical="center" wrapText="1"/>
      <protection hidden="1"/>
    </xf>
    <xf numFmtId="2" fontId="66" fillId="0" borderId="55" xfId="90" applyNumberFormat="1" applyFont="1" applyBorder="1"/>
    <xf numFmtId="0" fontId="66" fillId="0" borderId="56" xfId="90" applyFont="1" applyBorder="1" applyAlignment="1" applyProtection="1">
      <alignment horizontal="left" vertical="center"/>
      <protection hidden="1"/>
    </xf>
    <xf numFmtId="3" fontId="70" fillId="0" borderId="56" xfId="63" applyNumberFormat="1" applyFont="1" applyBorder="1" applyAlignment="1" applyProtection="1">
      <alignment horizontal="center"/>
      <protection hidden="1"/>
    </xf>
    <xf numFmtId="2" fontId="66" fillId="0" borderId="58" xfId="90" applyNumberFormat="1" applyFont="1" applyBorder="1"/>
    <xf numFmtId="3" fontId="70" fillId="0" borderId="1" xfId="63" applyNumberFormat="1" applyFont="1" applyBorder="1" applyAlignment="1" applyProtection="1">
      <alignment horizontal="center"/>
      <protection hidden="1"/>
    </xf>
    <xf numFmtId="178" fontId="66" fillId="0" borderId="59" xfId="90" applyNumberFormat="1" applyFont="1" applyBorder="1" applyAlignment="1" applyProtection="1">
      <alignment horizontal="center" vertical="center"/>
      <protection hidden="1"/>
    </xf>
    <xf numFmtId="2" fontId="66" fillId="0" borderId="60" xfId="90" applyNumberFormat="1" applyFont="1" applyBorder="1"/>
    <xf numFmtId="3" fontId="70" fillId="62" borderId="56" xfId="63" applyNumberFormat="1" applyFont="1" applyFill="1" applyBorder="1" applyAlignment="1" applyProtection="1">
      <alignment horizontal="center"/>
      <protection hidden="1"/>
    </xf>
    <xf numFmtId="188" fontId="66" fillId="62" borderId="56" xfId="90" applyNumberFormat="1" applyFont="1" applyFill="1" applyBorder="1" applyAlignment="1" applyProtection="1">
      <alignment vertical="center"/>
      <protection hidden="1"/>
    </xf>
    <xf numFmtId="188" fontId="66" fillId="62" borderId="1" xfId="90" applyNumberFormat="1" applyFont="1" applyFill="1" applyBorder="1" applyAlignment="1" applyProtection="1">
      <alignment vertical="center"/>
      <protection hidden="1"/>
    </xf>
    <xf numFmtId="0" fontId="101" fillId="0" borderId="47" xfId="11" applyFont="1" applyBorder="1" applyAlignment="1">
      <alignment horizontal="right" vertical="center"/>
    </xf>
    <xf numFmtId="178" fontId="66" fillId="0" borderId="57" xfId="90" applyNumberFormat="1" applyFont="1" applyBorder="1" applyAlignment="1" applyProtection="1">
      <alignment horizontal="center" vertical="center"/>
      <protection hidden="1"/>
    </xf>
    <xf numFmtId="0" fontId="66" fillId="0" borderId="56" xfId="90" applyFont="1" applyBorder="1" applyAlignment="1" applyProtection="1">
      <alignment horizontal="center" vertical="center"/>
      <protection hidden="1"/>
    </xf>
    <xf numFmtId="0" fontId="0" fillId="0" borderId="0" xfId="0" applyAlignment="1">
      <alignment horizontal="left"/>
    </xf>
    <xf numFmtId="0" fontId="81" fillId="61" borderId="37" xfId="60" applyFont="1" applyFill="1" applyBorder="1" applyAlignment="1">
      <alignment horizontal="left" vertical="top" wrapText="1"/>
    </xf>
    <xf numFmtId="0" fontId="66" fillId="0" borderId="61" xfId="0" applyFont="1" applyBorder="1"/>
    <xf numFmtId="0" fontId="86" fillId="0" borderId="61" xfId="0" applyFont="1" applyBorder="1"/>
    <xf numFmtId="198" fontId="66" fillId="62" borderId="1" xfId="9" applyNumberFormat="1" applyFont="1" applyFill="1" applyBorder="1" applyAlignment="1">
      <alignment horizontal="center"/>
    </xf>
    <xf numFmtId="0" fontId="66" fillId="0" borderId="9" xfId="0" applyFont="1" applyBorder="1" applyAlignment="1">
      <alignment horizontal="center" vertical="center"/>
    </xf>
    <xf numFmtId="0" fontId="69" fillId="0" borderId="0" xfId="0" applyFont="1" applyAlignment="1">
      <alignment vertical="center"/>
    </xf>
    <xf numFmtId="0" fontId="69" fillId="0" borderId="0" xfId="0" applyFont="1" applyAlignment="1">
      <alignment vertical="center" wrapText="1"/>
    </xf>
    <xf numFmtId="0" fontId="81" fillId="61" borderId="37" xfId="60" applyFont="1" applyFill="1" applyBorder="1" applyAlignment="1">
      <alignment horizontal="left" vertical="center" wrapText="1"/>
    </xf>
    <xf numFmtId="3" fontId="70" fillId="62" borderId="1" xfId="63" applyNumberFormat="1" applyFont="1" applyFill="1" applyBorder="1" applyAlignment="1" applyProtection="1">
      <alignment horizontal="center" vertical="center"/>
      <protection hidden="1"/>
    </xf>
    <xf numFmtId="167" fontId="66" fillId="0" borderId="1" xfId="9" applyFont="1" applyBorder="1" applyAlignment="1">
      <alignment vertical="center"/>
    </xf>
    <xf numFmtId="44" fontId="70" fillId="63" borderId="1" xfId="67" applyFont="1" applyFill="1" applyBorder="1" applyAlignment="1" applyProtection="1">
      <alignment vertical="center"/>
      <protection locked="0"/>
    </xf>
    <xf numFmtId="166" fontId="66" fillId="0" borderId="59" xfId="19" applyFont="1" applyBorder="1" applyAlignment="1">
      <alignment vertical="center"/>
    </xf>
    <xf numFmtId="0" fontId="66" fillId="0" borderId="61" xfId="0" applyFont="1" applyBorder="1" applyAlignment="1">
      <alignment horizontal="center" vertical="center"/>
    </xf>
    <xf numFmtId="0" fontId="71" fillId="0" borderId="6" xfId="0" applyFont="1" applyBorder="1" applyAlignment="1">
      <alignment vertical="center"/>
    </xf>
    <xf numFmtId="167" fontId="71" fillId="0" borderId="1" xfId="9" applyFont="1" applyBorder="1" applyAlignment="1">
      <alignment vertical="center"/>
    </xf>
    <xf numFmtId="166" fontId="71" fillId="0" borderId="1" xfId="19" applyFont="1" applyBorder="1" applyAlignment="1">
      <alignment vertical="center"/>
    </xf>
    <xf numFmtId="0" fontId="71" fillId="0" borderId="0" xfId="0" applyFont="1" applyAlignment="1">
      <alignment vertical="center"/>
    </xf>
    <xf numFmtId="2" fontId="66" fillId="0" borderId="68" xfId="90" applyNumberFormat="1" applyFont="1" applyBorder="1"/>
    <xf numFmtId="0" fontId="86" fillId="0" borderId="9" xfId="0" applyFont="1" applyBorder="1"/>
    <xf numFmtId="166" fontId="66" fillId="0" borderId="1" xfId="19" applyFont="1" applyFill="1" applyBorder="1" applyAlignment="1" applyProtection="1">
      <alignment horizontal="center" vertical="center"/>
      <protection hidden="1"/>
    </xf>
    <xf numFmtId="167" fontId="71" fillId="0" borderId="0" xfId="9" applyFont="1" applyAlignment="1">
      <alignment horizontal="center"/>
    </xf>
    <xf numFmtId="0" fontId="69" fillId="0" borderId="0" xfId="0" applyFont="1"/>
    <xf numFmtId="167" fontId="71" fillId="0" borderId="1" xfId="9" applyFont="1" applyFill="1" applyBorder="1" applyAlignment="1">
      <alignment horizontal="center"/>
    </xf>
    <xf numFmtId="167" fontId="66" fillId="66" borderId="1" xfId="0" applyNumberFormat="1" applyFont="1" applyFill="1" applyBorder="1" applyAlignment="1" applyProtection="1">
      <alignment vertical="center"/>
      <protection hidden="1"/>
    </xf>
    <xf numFmtId="167" fontId="66" fillId="66" borderId="7" xfId="0" applyNumberFormat="1" applyFont="1" applyFill="1" applyBorder="1" applyAlignment="1" applyProtection="1">
      <alignment vertical="center"/>
      <protection hidden="1"/>
    </xf>
    <xf numFmtId="167" fontId="66" fillId="66" borderId="9" xfId="0" applyNumberFormat="1" applyFont="1" applyFill="1" applyBorder="1" applyAlignment="1" applyProtection="1">
      <alignment vertical="center"/>
      <protection hidden="1"/>
    </xf>
    <xf numFmtId="167" fontId="66" fillId="66" borderId="11" xfId="0" applyNumberFormat="1" applyFont="1" applyFill="1" applyBorder="1" applyAlignment="1" applyProtection="1">
      <alignment vertical="center"/>
      <protection hidden="1"/>
    </xf>
    <xf numFmtId="0" fontId="66" fillId="0" borderId="0" xfId="0" applyFont="1" applyAlignment="1">
      <alignment horizontal="left" vertical="top" wrapText="1"/>
    </xf>
    <xf numFmtId="0" fontId="69" fillId="0" borderId="0" xfId="14" applyFont="1" applyAlignment="1" applyProtection="1">
      <alignment horizontal="left" vertical="top" wrapText="1"/>
      <protection hidden="1"/>
    </xf>
    <xf numFmtId="2" fontId="83" fillId="62" borderId="0" xfId="64" applyNumberFormat="1" applyFont="1" applyFill="1"/>
    <xf numFmtId="0" fontId="66" fillId="62" borderId="0" xfId="65" applyFont="1" applyFill="1"/>
    <xf numFmtId="49" fontId="80" fillId="61" borderId="38" xfId="64" applyNumberFormat="1" applyFont="1" applyFill="1" applyBorder="1" applyAlignment="1">
      <alignment horizontal="left" vertical="top" wrapText="1"/>
    </xf>
    <xf numFmtId="49" fontId="80" fillId="61" borderId="48" xfId="64" applyNumberFormat="1" applyFont="1" applyFill="1" applyBorder="1" applyAlignment="1">
      <alignment horizontal="left" vertical="top" wrapText="1"/>
    </xf>
    <xf numFmtId="49" fontId="80" fillId="61" borderId="49" xfId="64" applyNumberFormat="1" applyFont="1" applyFill="1" applyBorder="1" applyAlignment="1">
      <alignment horizontal="left" vertical="top" wrapText="1"/>
    </xf>
    <xf numFmtId="49" fontId="80" fillId="61" borderId="50" xfId="64" applyNumberFormat="1" applyFont="1" applyFill="1" applyBorder="1" applyAlignment="1">
      <alignment horizontal="left" vertical="top" wrapText="1"/>
    </xf>
    <xf numFmtId="49" fontId="80" fillId="61" borderId="0" xfId="64" applyNumberFormat="1" applyFont="1" applyFill="1" applyAlignment="1">
      <alignment horizontal="left" vertical="top" wrapText="1"/>
    </xf>
    <xf numFmtId="49" fontId="80" fillId="61" borderId="10" xfId="64" applyNumberFormat="1" applyFont="1" applyFill="1" applyBorder="1" applyAlignment="1">
      <alignment horizontal="left" vertical="top" wrapText="1"/>
    </xf>
    <xf numFmtId="49" fontId="80" fillId="61" borderId="39" xfId="64" applyNumberFormat="1" applyFont="1" applyFill="1" applyBorder="1" applyAlignment="1">
      <alignment horizontal="left" vertical="top" wrapText="1"/>
    </xf>
    <xf numFmtId="49" fontId="80" fillId="61" borderId="2" xfId="64" applyNumberFormat="1" applyFont="1" applyFill="1" applyBorder="1" applyAlignment="1">
      <alignment horizontal="left" vertical="top" wrapText="1"/>
    </xf>
    <xf numFmtId="49" fontId="80" fillId="61" borderId="11" xfId="64" applyNumberFormat="1" applyFont="1" applyFill="1" applyBorder="1" applyAlignment="1">
      <alignment horizontal="left" vertical="top" wrapText="1"/>
    </xf>
    <xf numFmtId="173" fontId="81" fillId="61" borderId="5" xfId="9" applyNumberFormat="1" applyFont="1" applyFill="1" applyBorder="1" applyAlignment="1">
      <alignment horizontal="center"/>
    </xf>
    <xf numFmtId="173" fontId="81" fillId="61" borderId="6" xfId="9" applyNumberFormat="1" applyFont="1" applyFill="1" applyBorder="1" applyAlignment="1">
      <alignment horizontal="center"/>
    </xf>
    <xf numFmtId="173" fontId="81" fillId="61" borderId="47" xfId="9" applyNumberFormat="1" applyFont="1" applyFill="1" applyBorder="1" applyAlignment="1">
      <alignment horizontal="center"/>
    </xf>
    <xf numFmtId="173" fontId="81" fillId="61" borderId="7" xfId="9" applyNumberFormat="1" applyFont="1" applyFill="1" applyBorder="1" applyAlignment="1">
      <alignment horizontal="center"/>
    </xf>
    <xf numFmtId="2" fontId="81" fillId="61" borderId="5" xfId="0" applyNumberFormat="1" applyFont="1" applyFill="1" applyBorder="1" applyAlignment="1">
      <alignment horizontal="center" vertical="center" wrapText="1"/>
    </xf>
    <xf numFmtId="2" fontId="81" fillId="61" borderId="6" xfId="0" applyNumberFormat="1" applyFont="1" applyFill="1" applyBorder="1" applyAlignment="1">
      <alignment horizontal="center" vertical="center" wrapText="1"/>
    </xf>
    <xf numFmtId="167" fontId="88" fillId="61" borderId="38" xfId="9" applyFont="1" applyFill="1" applyBorder="1" applyAlignment="1">
      <alignment horizontal="center" vertical="top" wrapText="1"/>
    </xf>
    <xf numFmtId="167" fontId="88" fillId="61" borderId="39" xfId="9" applyFont="1" applyFill="1" applyBorder="1" applyAlignment="1">
      <alignment horizontal="center" vertical="top" wrapText="1"/>
    </xf>
    <xf numFmtId="49" fontId="81" fillId="61" borderId="45" xfId="64" applyNumberFormat="1" applyFont="1" applyFill="1" applyBorder="1" applyAlignment="1">
      <alignment horizontal="left" vertical="top" wrapText="1"/>
    </xf>
    <xf numFmtId="49" fontId="81" fillId="61" borderId="47" xfId="64" applyNumberFormat="1" applyFont="1" applyFill="1" applyBorder="1" applyAlignment="1">
      <alignment horizontal="left" vertical="top" wrapText="1"/>
    </xf>
    <xf numFmtId="49" fontId="81" fillId="61" borderId="44" xfId="64" applyNumberFormat="1" applyFont="1" applyFill="1" applyBorder="1" applyAlignment="1">
      <alignment horizontal="left" vertical="top" wrapText="1"/>
    </xf>
    <xf numFmtId="0" fontId="66" fillId="0" borderId="5" xfId="0" applyFont="1" applyBorder="1" applyAlignment="1">
      <alignment horizontal="left"/>
    </xf>
    <xf numFmtId="0" fontId="66" fillId="0" borderId="7" xfId="0" applyFont="1" applyBorder="1" applyAlignment="1">
      <alignment horizontal="left"/>
    </xf>
    <xf numFmtId="0" fontId="71" fillId="0" borderId="5" xfId="14" applyFont="1" applyBorder="1" applyAlignment="1" applyProtection="1">
      <alignment horizontal="left" vertical="center"/>
      <protection hidden="1"/>
    </xf>
    <xf numFmtId="0" fontId="71" fillId="0" borderId="7" xfId="14" applyFont="1" applyBorder="1" applyAlignment="1" applyProtection="1">
      <alignment horizontal="left" vertical="center"/>
      <protection hidden="1"/>
    </xf>
    <xf numFmtId="2" fontId="103" fillId="61" borderId="46" xfId="14" applyNumberFormat="1" applyFont="1" applyFill="1" applyBorder="1" applyAlignment="1" applyProtection="1">
      <alignment horizontal="center" vertical="center" wrapText="1"/>
      <protection hidden="1"/>
    </xf>
    <xf numFmtId="2" fontId="103" fillId="61" borderId="5" xfId="4"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2" fontId="103" fillId="61" borderId="45" xfId="14" applyNumberFormat="1" applyFont="1" applyFill="1" applyBorder="1" applyAlignment="1" applyProtection="1">
      <alignment horizontal="center" vertical="center" wrapText="1"/>
      <protection hidden="1"/>
    </xf>
    <xf numFmtId="2" fontId="103" fillId="61" borderId="47" xfId="14" applyNumberFormat="1" applyFont="1" applyFill="1" applyBorder="1" applyAlignment="1" applyProtection="1">
      <alignment horizontal="center" vertical="center" wrapText="1"/>
      <protection hidden="1"/>
    </xf>
    <xf numFmtId="2" fontId="103" fillId="61" borderId="44" xfId="14"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66" fillId="0" borderId="4" xfId="0" applyFont="1" applyBorder="1" applyAlignment="1">
      <alignment horizontal="center" vertical="center"/>
    </xf>
    <xf numFmtId="0" fontId="66" fillId="0" borderId="9" xfId="0" applyFont="1" applyBorder="1" applyAlignment="1">
      <alignment horizontal="center" vertical="center"/>
    </xf>
    <xf numFmtId="3" fontId="70" fillId="62" borderId="4" xfId="63" applyNumberFormat="1" applyFont="1" applyFill="1" applyBorder="1" applyAlignment="1" applyProtection="1">
      <alignment horizontal="center" vertical="center"/>
      <protection hidden="1"/>
    </xf>
    <xf numFmtId="3" fontId="70" fillId="62" borderId="9" xfId="63" applyNumberFormat="1" applyFont="1" applyFill="1" applyBorder="1" applyAlignment="1" applyProtection="1">
      <alignment horizontal="center" vertical="center"/>
      <protection hidden="1"/>
    </xf>
    <xf numFmtId="167" fontId="66" fillId="0" borderId="4" xfId="9" applyFont="1" applyBorder="1" applyAlignment="1">
      <alignment horizontal="center" vertical="center"/>
    </xf>
    <xf numFmtId="167" fontId="66" fillId="0" borderId="9" xfId="9" applyFont="1" applyBorder="1" applyAlignment="1">
      <alignment horizontal="center" vertical="center"/>
    </xf>
    <xf numFmtId="44" fontId="70" fillId="63" borderId="4" xfId="67" applyFont="1" applyFill="1" applyBorder="1" applyAlignment="1" applyProtection="1">
      <alignment horizontal="center" vertical="center"/>
      <protection locked="0"/>
    </xf>
    <xf numFmtId="44" fontId="70" fillId="63" borderId="9" xfId="67" applyFont="1" applyFill="1" applyBorder="1" applyAlignment="1" applyProtection="1">
      <alignment horizontal="center" vertical="center"/>
      <protection locked="0"/>
    </xf>
    <xf numFmtId="166" fontId="66" fillId="0" borderId="62" xfId="19" applyFont="1" applyBorder="1" applyAlignment="1">
      <alignment horizontal="center" vertical="center"/>
    </xf>
    <xf numFmtId="166" fontId="66" fillId="0" borderId="65" xfId="19" applyFont="1" applyBorder="1" applyAlignment="1">
      <alignment horizontal="center" vertical="center"/>
    </xf>
    <xf numFmtId="0" fontId="66" fillId="0" borderId="63" xfId="0" applyFont="1" applyBorder="1" applyAlignment="1">
      <alignment horizontal="center" vertical="center"/>
    </xf>
    <xf numFmtId="3" fontId="70" fillId="62" borderId="63" xfId="63" applyNumberFormat="1" applyFont="1" applyFill="1" applyBorder="1" applyAlignment="1" applyProtection="1">
      <alignment horizontal="center" vertical="center"/>
      <protection hidden="1"/>
    </xf>
    <xf numFmtId="167" fontId="66" fillId="0" borderId="63" xfId="9" applyFont="1" applyBorder="1" applyAlignment="1">
      <alignment horizontal="center" vertical="center"/>
    </xf>
    <xf numFmtId="44" fontId="70" fillId="63" borderId="63" xfId="67" applyFont="1" applyFill="1" applyBorder="1" applyAlignment="1" applyProtection="1">
      <alignment horizontal="center" vertical="center"/>
      <protection locked="0"/>
    </xf>
    <xf numFmtId="166" fontId="66" fillId="0" borderId="64" xfId="19" applyFont="1" applyBorder="1" applyAlignment="1">
      <alignment horizontal="center" vertical="center"/>
    </xf>
    <xf numFmtId="0" fontId="66" fillId="0" borderId="66" xfId="0" applyFont="1" applyBorder="1" applyAlignment="1">
      <alignment horizontal="center" vertical="center"/>
    </xf>
    <xf numFmtId="166" fontId="66" fillId="0" borderId="67" xfId="19" applyFont="1" applyBorder="1" applyAlignment="1">
      <alignment horizontal="center" vertical="center"/>
    </xf>
    <xf numFmtId="167" fontId="66" fillId="0" borderId="66" xfId="9" applyFont="1" applyBorder="1" applyAlignment="1">
      <alignment horizontal="center" vertical="center"/>
    </xf>
    <xf numFmtId="44" fontId="70" fillId="63" borderId="66" xfId="67" applyFont="1" applyFill="1" applyBorder="1" applyAlignment="1" applyProtection="1">
      <alignment horizontal="center" vertical="center"/>
      <protection locked="0"/>
    </xf>
    <xf numFmtId="3" fontId="70" fillId="62" borderId="66" xfId="63" applyNumberFormat="1" applyFont="1" applyFill="1" applyBorder="1" applyAlignment="1" applyProtection="1">
      <alignment horizontal="center" vertical="center"/>
      <protection hidden="1"/>
    </xf>
    <xf numFmtId="0" fontId="66" fillId="0" borderId="5" xfId="10" applyFont="1" applyBorder="1" applyAlignment="1" applyProtection="1">
      <alignment horizontal="center"/>
      <protection hidden="1"/>
    </xf>
    <xf numFmtId="0" fontId="66" fillId="0" borderId="6" xfId="10" applyFont="1" applyBorder="1" applyAlignment="1" applyProtection="1">
      <alignment horizontal="center"/>
      <protection hidden="1"/>
    </xf>
    <xf numFmtId="0" fontId="66" fillId="0" borderId="7" xfId="10" applyFont="1" applyBorder="1" applyAlignment="1" applyProtection="1">
      <alignment horizontal="center"/>
      <protection hidden="1"/>
    </xf>
    <xf numFmtId="0" fontId="94" fillId="0" borderId="0" xfId="90" applyFont="1" applyAlignment="1">
      <alignment horizontal="left" vertical="center"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xdr:from>
      <xdr:col>13</xdr:col>
      <xdr:colOff>581025</xdr:colOff>
      <xdr:row>19</xdr:row>
      <xdr:rowOff>171449</xdr:rowOff>
    </xdr:from>
    <xdr:to>
      <xdr:col>18</xdr:col>
      <xdr:colOff>123825</xdr:colOff>
      <xdr:row>31</xdr:row>
      <xdr:rowOff>47624</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9172575" y="4038599"/>
          <a:ext cx="3057525" cy="1933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3B57FB3D-5F82-461E-8790-F5EE4FAC0FBC}"/>
            </a:ext>
          </a:extLst>
        </xdr:cNvPr>
        <xdr:cNvSpPr txBox="1"/>
      </xdr:nvSpPr>
      <xdr:spPr>
        <a:xfrm>
          <a:off x="7399231" y="59691"/>
          <a:ext cx="6599132" cy="1085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v>0</v>
          </cell>
          <cell r="H10">
            <v>8.75</v>
          </cell>
          <cell r="I10">
            <v>11.81</v>
          </cell>
          <cell r="J10">
            <v>0</v>
          </cell>
          <cell r="K10">
            <v>0</v>
          </cell>
          <cell r="L10">
            <v>11.81</v>
          </cell>
        </row>
        <row r="11">
          <cell r="A11" t="str">
            <v>Mw. Raven</v>
          </cell>
          <cell r="B11" t="str">
            <v>gymzaal de Helt</v>
          </cell>
          <cell r="C11" t="str">
            <v>21.00-22.00</v>
          </cell>
          <cell r="D11">
            <v>22919</v>
          </cell>
          <cell r="E11" t="str">
            <v>nee</v>
          </cell>
          <cell r="F11">
            <v>38283</v>
          </cell>
          <cell r="G11">
            <v>0</v>
          </cell>
          <cell r="H11">
            <v>5</v>
          </cell>
          <cell r="I11">
            <v>11.81</v>
          </cell>
          <cell r="J11">
            <v>0</v>
          </cell>
          <cell r="K11">
            <v>0</v>
          </cell>
          <cell r="L11">
            <v>11.81</v>
          </cell>
        </row>
        <row r="12">
          <cell r="A12" t="str">
            <v>Mw. Raven</v>
          </cell>
          <cell r="B12" t="str">
            <v>Gymzaal Oostesluis</v>
          </cell>
          <cell r="C12" t="str">
            <v>20.00-21.00</v>
          </cell>
          <cell r="D12">
            <v>22919</v>
          </cell>
          <cell r="E12" t="str">
            <v>nee</v>
          </cell>
          <cell r="F12">
            <v>38283</v>
          </cell>
          <cell r="G12">
            <v>0</v>
          </cell>
          <cell r="H12">
            <v>5</v>
          </cell>
          <cell r="I12">
            <v>11.81</v>
          </cell>
          <cell r="J12">
            <v>0</v>
          </cell>
          <cell r="K12">
            <v>0</v>
          </cell>
          <cell r="L12">
            <v>11.81</v>
          </cell>
        </row>
        <row r="13">
          <cell r="A13" t="str">
            <v>Diana Roos</v>
          </cell>
          <cell r="B13" t="str">
            <v>Gymzaal de Woud</v>
          </cell>
          <cell r="C13" t="str">
            <v>21.00-22.00</v>
          </cell>
          <cell r="D13" t="str">
            <v>eigenaar Streekclean</v>
          </cell>
          <cell r="E13">
            <v>0</v>
          </cell>
          <cell r="F13">
            <v>0</v>
          </cell>
          <cell r="G13">
            <v>0</v>
          </cell>
          <cell r="H13">
            <v>0</v>
          </cell>
          <cell r="I13">
            <v>0</v>
          </cell>
          <cell r="J13">
            <v>0</v>
          </cell>
          <cell r="K13">
            <v>0</v>
          </cell>
          <cell r="L13">
            <v>0</v>
          </cell>
        </row>
        <row r="14">
          <cell r="A14" t="str">
            <v>Diana Roos</v>
          </cell>
          <cell r="B14" t="str">
            <v>Gymzaal de Horn</v>
          </cell>
          <cell r="C14" t="str">
            <v>20.00-21.00</v>
          </cell>
          <cell r="D14">
            <v>0</v>
          </cell>
          <cell r="E14">
            <v>0</v>
          </cell>
          <cell r="F14">
            <v>0</v>
          </cell>
          <cell r="G14">
            <v>0</v>
          </cell>
          <cell r="H14">
            <v>0</v>
          </cell>
          <cell r="I14">
            <v>0</v>
          </cell>
          <cell r="J14">
            <v>0</v>
          </cell>
          <cell r="K14">
            <v>0</v>
          </cell>
          <cell r="L14">
            <v>0</v>
          </cell>
        </row>
        <row r="15">
          <cell r="A15" t="str">
            <v>Olga Roos</v>
          </cell>
          <cell r="B15" t="str">
            <v>gymzaal Rozenboom</v>
          </cell>
          <cell r="C15" t="str">
            <v>21.00-22.00</v>
          </cell>
          <cell r="D15" t="str">
            <v>eigenaar Streekclean</v>
          </cell>
          <cell r="E15">
            <v>0</v>
          </cell>
          <cell r="F15">
            <v>0</v>
          </cell>
          <cell r="G15">
            <v>0</v>
          </cell>
          <cell r="H15">
            <v>0</v>
          </cell>
          <cell r="I15">
            <v>0</v>
          </cell>
          <cell r="J15">
            <v>0</v>
          </cell>
          <cell r="K15">
            <v>0</v>
          </cell>
          <cell r="L15">
            <v>0</v>
          </cell>
        </row>
        <row r="16">
          <cell r="A16">
            <v>0</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v>0</v>
          </cell>
        </row>
        <row r="18">
          <cell r="A18">
            <v>0</v>
          </cell>
          <cell r="B18">
            <v>0</v>
          </cell>
          <cell r="C18">
            <v>0</v>
          </cell>
          <cell r="D18">
            <v>0</v>
          </cell>
          <cell r="E18">
            <v>0</v>
          </cell>
          <cell r="F18">
            <v>0</v>
          </cell>
          <cell r="G18">
            <v>0</v>
          </cell>
          <cell r="H18">
            <v>0</v>
          </cell>
          <cell r="I18">
            <v>0</v>
          </cell>
          <cell r="J18">
            <v>0</v>
          </cell>
          <cell r="K18">
            <v>0</v>
          </cell>
          <cell r="L18">
            <v>0</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v>0</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v>0</v>
          </cell>
          <cell r="C24">
            <v>0</v>
          </cell>
          <cell r="D24">
            <v>0</v>
          </cell>
          <cell r="E24">
            <v>0</v>
          </cell>
          <cell r="F24">
            <v>0</v>
          </cell>
          <cell r="G24">
            <v>0</v>
          </cell>
          <cell r="H24">
            <v>0</v>
          </cell>
          <cell r="I24">
            <v>0</v>
          </cell>
          <cell r="J24">
            <v>0</v>
          </cell>
          <cell r="K24">
            <v>0</v>
          </cell>
          <cell r="L24">
            <v>0</v>
          </cell>
        </row>
        <row r="25">
          <cell r="A25" t="str">
            <v>Subtotaal loonkosten</v>
          </cell>
          <cell r="B25">
            <v>0</v>
          </cell>
          <cell r="C25">
            <v>0</v>
          </cell>
          <cell r="D25">
            <v>0</v>
          </cell>
          <cell r="E25">
            <v>0</v>
          </cell>
          <cell r="F25">
            <v>0</v>
          </cell>
          <cell r="G25">
            <v>0</v>
          </cell>
          <cell r="H25">
            <v>0</v>
          </cell>
          <cell r="I25">
            <v>0</v>
          </cell>
          <cell r="J25">
            <v>0</v>
          </cell>
          <cell r="K25">
            <v>0</v>
          </cell>
          <cell r="L25">
            <v>0</v>
          </cell>
        </row>
        <row r="26">
          <cell r="F26">
            <v>0</v>
          </cell>
          <cell r="G26">
            <v>0</v>
          </cell>
          <cell r="H26">
            <v>0</v>
          </cell>
          <cell r="I26">
            <v>0</v>
          </cell>
        </row>
        <row r="27">
          <cell r="A27" t="str">
            <v>Vakantietoeslag</v>
          </cell>
          <cell r="B27">
            <v>0</v>
          </cell>
          <cell r="C27">
            <v>0</v>
          </cell>
          <cell r="D27">
            <v>0</v>
          </cell>
          <cell r="E27">
            <v>0</v>
          </cell>
          <cell r="F27">
            <v>0</v>
          </cell>
          <cell r="G27">
            <v>0</v>
          </cell>
          <cell r="H27">
            <v>0</v>
          </cell>
          <cell r="I27">
            <v>0</v>
          </cell>
          <cell r="J27">
            <v>0</v>
          </cell>
          <cell r="K27">
            <v>0</v>
          </cell>
          <cell r="L27">
            <v>0</v>
          </cell>
        </row>
        <row r="28">
          <cell r="A28" t="str">
            <v>Sociale lasten</v>
          </cell>
          <cell r="B28">
            <v>0</v>
          </cell>
          <cell r="C28">
            <v>0</v>
          </cell>
          <cell r="D28">
            <v>0</v>
          </cell>
          <cell r="E28">
            <v>0</v>
          </cell>
          <cell r="F28">
            <v>0</v>
          </cell>
          <cell r="G28">
            <v>0</v>
          </cell>
          <cell r="H28">
            <v>0</v>
          </cell>
          <cell r="I28">
            <v>0</v>
          </cell>
          <cell r="J28">
            <v>0</v>
          </cell>
          <cell r="K28">
            <v>0</v>
          </cell>
          <cell r="L28">
            <v>0</v>
          </cell>
        </row>
        <row r="29">
          <cell r="F29">
            <v>0</v>
          </cell>
          <cell r="G29">
            <v>0</v>
          </cell>
          <cell r="H29">
            <v>0</v>
          </cell>
          <cell r="I29">
            <v>0</v>
          </cell>
        </row>
        <row r="30">
          <cell r="A30" t="str">
            <v>Loonkosten overname personeel</v>
          </cell>
          <cell r="B30">
            <v>0</v>
          </cell>
          <cell r="C30">
            <v>0</v>
          </cell>
          <cell r="D30">
            <v>0</v>
          </cell>
          <cell r="E30">
            <v>0</v>
          </cell>
          <cell r="F30">
            <v>0</v>
          </cell>
          <cell r="G30">
            <v>0</v>
          </cell>
          <cell r="H30">
            <v>0</v>
          </cell>
          <cell r="I30">
            <v>0</v>
          </cell>
          <cell r="J30">
            <v>0</v>
          </cell>
          <cell r="K30">
            <v>0</v>
          </cell>
          <cell r="L30">
            <v>0</v>
          </cell>
        </row>
        <row r="31">
          <cell r="F31">
            <v>0</v>
          </cell>
          <cell r="G31">
            <v>0</v>
          </cell>
          <cell r="H31">
            <v>0</v>
          </cell>
          <cell r="I31">
            <v>0</v>
          </cell>
        </row>
        <row r="32">
          <cell r="A32" t="str">
            <v>Toelichting:</v>
          </cell>
          <cell r="B32">
            <v>0</v>
          </cell>
          <cell r="C32">
            <v>0</v>
          </cell>
          <cell r="F32">
            <v>0</v>
          </cell>
          <cell r="G32">
            <v>0</v>
          </cell>
          <cell r="H32">
            <v>0</v>
          </cell>
          <cell r="I32">
            <v>0</v>
          </cell>
        </row>
        <row r="33">
          <cell r="A33" t="str">
            <v>Bij gunning dient de leverancier de werkgelegenheidsclausule bij contractwisseling volgens de geldende CAO voor het Schoonmaak- en Glazenwassersbedrijf (artikel 38) toe te passen. In</v>
          </cell>
          <cell r="F33">
            <v>0</v>
          </cell>
          <cell r="G33">
            <v>0</v>
          </cell>
          <cell r="H33">
            <v>0</v>
          </cell>
          <cell r="I33">
            <v>0</v>
          </cell>
        </row>
        <row r="34">
          <cell r="A34" t="str">
            <v xml:space="preserve">genoemd artikel staat onder andere dat bij contractwisseling het schoonmaakbedrijf, dat de opdracht verwerft, verplicht is 100% van het aantal onder de regeling vallende werknemers over te nemen. Dit betreft: </v>
          </cell>
          <cell r="F34">
            <v>0</v>
          </cell>
          <cell r="G34">
            <v>0</v>
          </cell>
          <cell r="H34">
            <v>0</v>
          </cell>
          <cell r="I34">
            <v>0</v>
          </cell>
        </row>
        <row r="35">
          <cell r="A35" t="str">
            <v>- de werknemer die minimaal anderhalf jaar op het betreffende object werkzaam is;</v>
          </cell>
          <cell r="F35">
            <v>0</v>
          </cell>
          <cell r="G35">
            <v>0</v>
          </cell>
          <cell r="H35">
            <v>0</v>
          </cell>
          <cell r="I35">
            <v>0</v>
          </cell>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 val="atir.xls"/>
      <sheetName val="#REF"/>
      <sheetName val="Omreken"/>
      <sheetName val="atir_xls"/>
      <sheetName val="3-Basis_ruimtestaat"/>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 val="Uurtarieven"/>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0" tint="-0.14999847407452621"/>
  </sheetPr>
  <dimension ref="A1:H34"/>
  <sheetViews>
    <sheetView showGridLines="0" showZeros="0" showOutlineSymbols="0" zoomScaleNormal="100" workbookViewId="0">
      <pane ySplit="5" topLeftCell="A6" activePane="bottomLeft" state="frozen"/>
      <selection activeCell="D33" sqref="D33"/>
      <selection pane="bottomLeft" activeCell="A6" sqref="A6:F6"/>
    </sheetView>
  </sheetViews>
  <sheetFormatPr defaultColWidth="9.28515625" defaultRowHeight="13.5"/>
  <cols>
    <col min="1" max="1" width="36.7109375" style="3" bestFit="1" customWidth="1"/>
    <col min="2" max="4" width="15.7109375" style="3" customWidth="1"/>
    <col min="5" max="5" width="9.7109375" style="3" customWidth="1"/>
    <col min="6" max="6" width="13.85546875" style="3" customWidth="1"/>
    <col min="7" max="7" width="3.140625" style="3" customWidth="1"/>
    <col min="8" max="8" width="7.85546875" style="3" customWidth="1"/>
    <col min="9" max="9" width="27" style="3" bestFit="1" customWidth="1"/>
    <col min="10" max="16384" width="9.28515625" style="3"/>
  </cols>
  <sheetData>
    <row r="1" spans="1:8">
      <c r="A1" s="40" t="s">
        <v>64</v>
      </c>
      <c r="B1" s="2"/>
      <c r="C1" s="2"/>
      <c r="D1" s="2"/>
      <c r="E1" s="2"/>
      <c r="F1" s="2"/>
      <c r="G1" s="2"/>
      <c r="H1" s="2"/>
    </row>
    <row r="2" spans="1:8" ht="26.1" customHeight="1">
      <c r="A2" s="40" t="s">
        <v>23</v>
      </c>
      <c r="B2" s="4"/>
      <c r="C2" s="4"/>
      <c r="D2" s="4"/>
      <c r="E2" s="4"/>
      <c r="F2" s="5"/>
      <c r="G2" s="5"/>
      <c r="H2" s="5"/>
    </row>
    <row r="3" spans="1:8">
      <c r="A3" s="4"/>
      <c r="B3" s="4"/>
      <c r="C3" s="4"/>
      <c r="D3" s="4"/>
      <c r="E3" s="4"/>
      <c r="F3" s="6"/>
      <c r="G3" s="7"/>
      <c r="H3" s="5"/>
    </row>
    <row r="4" spans="1:8" ht="17.25" customHeight="1">
      <c r="A4" s="3" t="s">
        <v>209</v>
      </c>
      <c r="B4" s="8"/>
      <c r="C4" s="8"/>
      <c r="F4" s="470" t="s">
        <v>20</v>
      </c>
      <c r="H4" s="5"/>
    </row>
    <row r="5" spans="1:8" ht="33.75" customHeight="1">
      <c r="A5" s="583" t="s">
        <v>133</v>
      </c>
      <c r="B5" s="583"/>
      <c r="C5" s="583"/>
      <c r="D5" s="583"/>
      <c r="E5" s="583"/>
      <c r="F5" s="583"/>
      <c r="G5" s="7"/>
      <c r="H5" s="5"/>
    </row>
    <row r="6" spans="1:8" ht="18" customHeight="1">
      <c r="A6" s="584"/>
      <c r="B6" s="584"/>
      <c r="C6" s="584"/>
      <c r="D6" s="584"/>
      <c r="E6" s="584"/>
      <c r="F6" s="584"/>
      <c r="G6" s="9"/>
      <c r="H6" s="10"/>
    </row>
    <row r="7" spans="1:8">
      <c r="B7" s="11"/>
      <c r="C7" s="11"/>
      <c r="D7" s="11"/>
      <c r="E7" s="11"/>
      <c r="F7" s="6"/>
      <c r="G7" s="7"/>
      <c r="H7" s="5"/>
    </row>
    <row r="8" spans="1:8">
      <c r="B8" s="11"/>
      <c r="C8" s="11"/>
      <c r="D8" s="11"/>
      <c r="E8" s="11"/>
      <c r="F8" s="6"/>
      <c r="G8" s="7"/>
      <c r="H8" s="5"/>
    </row>
    <row r="9" spans="1:8">
      <c r="B9" s="11"/>
      <c r="C9" s="11"/>
      <c r="D9" s="11"/>
      <c r="E9" s="11"/>
      <c r="F9" s="6"/>
      <c r="G9" s="7"/>
      <c r="H9" s="5"/>
    </row>
    <row r="10" spans="1:8">
      <c r="B10" s="8"/>
      <c r="C10" s="8"/>
      <c r="D10" s="8"/>
      <c r="E10" s="8"/>
      <c r="F10" s="6"/>
      <c r="G10" s="7"/>
      <c r="H10" s="5"/>
    </row>
    <row r="11" spans="1:8">
      <c r="B11" s="8"/>
      <c r="C11" s="8"/>
      <c r="D11" s="8"/>
      <c r="E11" s="8"/>
      <c r="F11" s="6"/>
      <c r="G11" s="7"/>
      <c r="H11" s="5"/>
    </row>
    <row r="12" spans="1:8">
      <c r="B12" s="8"/>
      <c r="C12" s="8"/>
      <c r="D12" s="8"/>
      <c r="E12" s="8"/>
      <c r="F12" s="6"/>
      <c r="G12" s="7"/>
      <c r="H12" s="5"/>
    </row>
    <row r="13" spans="1:8">
      <c r="B13" s="8"/>
      <c r="C13" s="8"/>
      <c r="D13" s="8"/>
      <c r="E13" s="8"/>
      <c r="F13" s="6"/>
      <c r="G13" s="7"/>
      <c r="H13" s="5"/>
    </row>
    <row r="14" spans="1:8">
      <c r="B14" s="11"/>
      <c r="C14" s="11"/>
      <c r="D14" s="11"/>
      <c r="E14" s="11"/>
      <c r="F14" s="6"/>
      <c r="G14" s="7"/>
      <c r="H14" s="5"/>
    </row>
    <row r="15" spans="1:8">
      <c r="B15" s="8"/>
      <c r="C15" s="8"/>
      <c r="D15" s="12"/>
      <c r="E15" s="13"/>
      <c r="F15" s="6"/>
      <c r="G15" s="7"/>
      <c r="H15" s="5"/>
    </row>
    <row r="16" spans="1:8">
      <c r="B16" s="8"/>
      <c r="C16" s="8"/>
      <c r="D16" s="14"/>
      <c r="E16" s="15"/>
      <c r="F16" s="6"/>
      <c r="G16" s="7"/>
      <c r="H16" s="5"/>
    </row>
    <row r="17" spans="1:8">
      <c r="A17" s="5"/>
      <c r="B17" s="5"/>
      <c r="C17" s="5"/>
      <c r="D17" s="5"/>
      <c r="E17" s="5"/>
      <c r="F17" s="5"/>
      <c r="G17" s="5"/>
      <c r="H17" s="5"/>
    </row>
    <row r="18" spans="1:8">
      <c r="B18" s="16"/>
      <c r="C18" s="407"/>
      <c r="D18" s="16"/>
      <c r="E18" s="16"/>
      <c r="F18" s="17"/>
      <c r="G18" s="9"/>
      <c r="H18" s="5"/>
    </row>
    <row r="19" spans="1:8">
      <c r="A19" s="18"/>
      <c r="B19" s="19"/>
      <c r="C19" s="20"/>
      <c r="D19" s="19"/>
      <c r="E19" s="20"/>
      <c r="F19" s="21"/>
      <c r="G19" s="9"/>
      <c r="H19" s="22"/>
    </row>
    <row r="20" spans="1:8">
      <c r="B20" s="19"/>
      <c r="C20" s="20"/>
      <c r="D20" s="19"/>
      <c r="E20" s="20"/>
      <c r="F20" s="21"/>
      <c r="G20" s="9"/>
      <c r="H20" s="22"/>
    </row>
    <row r="21" spans="1:8">
      <c r="A21" s="23"/>
      <c r="B21" s="20"/>
      <c r="C21" s="24"/>
      <c r="D21" s="20"/>
      <c r="E21" s="24"/>
      <c r="F21" s="9"/>
      <c r="G21" s="9"/>
      <c r="H21" s="10"/>
    </row>
    <row r="22" spans="1:8">
      <c r="B22" s="25"/>
      <c r="C22" s="26"/>
      <c r="D22" s="25"/>
      <c r="E22" s="26"/>
      <c r="F22" s="9"/>
      <c r="G22" s="9"/>
      <c r="H22" s="10"/>
    </row>
    <row r="23" spans="1:8">
      <c r="A23" s="5"/>
      <c r="B23" s="27"/>
      <c r="C23" s="25"/>
      <c r="D23" s="27"/>
      <c r="E23" s="25"/>
      <c r="F23" s="9"/>
      <c r="G23" s="9"/>
      <c r="H23" s="10"/>
    </row>
    <row r="24" spans="1:8">
      <c r="B24" s="27"/>
      <c r="C24" s="25"/>
      <c r="D24" s="27"/>
      <c r="E24" s="25"/>
      <c r="F24" s="9"/>
      <c r="G24" s="9"/>
      <c r="H24" s="10"/>
    </row>
    <row r="25" spans="1:8">
      <c r="A25" s="5"/>
      <c r="B25" s="27"/>
      <c r="C25" s="25"/>
      <c r="D25" s="27"/>
      <c r="E25" s="25"/>
      <c r="F25" s="9"/>
      <c r="G25" s="9"/>
      <c r="H25" s="10"/>
    </row>
    <row r="26" spans="1:8">
      <c r="A26" s="5"/>
      <c r="B26" s="27"/>
      <c r="C26" s="25"/>
      <c r="D26" s="27"/>
      <c r="E26" s="25"/>
      <c r="F26" s="28"/>
      <c r="G26" s="29"/>
      <c r="H26" s="30"/>
    </row>
    <row r="27" spans="1:8">
      <c r="A27" s="5"/>
      <c r="B27" s="27"/>
      <c r="C27" s="25"/>
      <c r="D27" s="27"/>
      <c r="E27" s="25"/>
      <c r="F27" s="28"/>
      <c r="G27" s="29"/>
      <c r="H27" s="31"/>
    </row>
    <row r="28" spans="1:8">
      <c r="A28" s="23"/>
      <c r="B28" s="25"/>
      <c r="C28" s="32"/>
      <c r="D28" s="25"/>
      <c r="E28" s="32"/>
      <c r="F28" s="33"/>
      <c r="G28" s="29"/>
      <c r="H28" s="34"/>
    </row>
    <row r="29" spans="1:8">
      <c r="A29" s="35"/>
      <c r="B29" s="25"/>
      <c r="C29" s="35"/>
      <c r="D29" s="25"/>
      <c r="E29" s="35"/>
      <c r="F29" s="36"/>
      <c r="G29" s="29"/>
      <c r="H29" s="34"/>
    </row>
    <row r="30" spans="1:8">
      <c r="A30" s="23"/>
      <c r="B30" s="27"/>
      <c r="C30" s="37"/>
      <c r="D30" s="25"/>
      <c r="E30" s="37"/>
      <c r="F30" s="33"/>
      <c r="G30" s="29"/>
      <c r="H30" s="34"/>
    </row>
    <row r="31" spans="1:8">
      <c r="A31" s="23"/>
      <c r="B31" s="27"/>
      <c r="C31" s="37"/>
      <c r="D31" s="25"/>
      <c r="E31" s="37"/>
      <c r="F31" s="33"/>
      <c r="G31" s="29"/>
      <c r="H31" s="34"/>
    </row>
    <row r="32" spans="1:8">
      <c r="A32" s="38"/>
      <c r="B32" s="38"/>
      <c r="C32" s="38"/>
      <c r="D32" s="38"/>
      <c r="E32" s="38"/>
      <c r="F32" s="38"/>
      <c r="G32" s="2"/>
      <c r="H32" s="2"/>
    </row>
    <row r="33" spans="1:8">
      <c r="A33" s="39"/>
      <c r="B33" s="39"/>
      <c r="C33" s="2"/>
      <c r="D33" s="2"/>
      <c r="E33" s="2"/>
      <c r="F33" s="2"/>
      <c r="G33" s="2"/>
      <c r="H33" s="2"/>
    </row>
    <row r="34" spans="1:8">
      <c r="D34" s="2"/>
      <c r="E34" s="2"/>
      <c r="F34" s="2"/>
      <c r="G34" s="2"/>
      <c r="H34" s="2"/>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J56"/>
  <sheetViews>
    <sheetView showGridLines="0" view="pageBreakPreview" zoomScale="70" zoomScaleNormal="86" zoomScaleSheetLayoutView="70" workbookViewId="0">
      <pane ySplit="10" topLeftCell="A29" activePane="bottomLeft" state="frozen"/>
      <selection activeCell="B29" sqref="B29"/>
      <selection pane="bottomLeft" activeCell="H47" sqref="H47"/>
    </sheetView>
  </sheetViews>
  <sheetFormatPr defaultColWidth="9.28515625" defaultRowHeight="13.5"/>
  <cols>
    <col min="1" max="1" width="35.5703125" style="42" customWidth="1"/>
    <col min="2" max="2" width="22.85546875" style="42" bestFit="1" customWidth="1"/>
    <col min="3" max="3" width="16.140625" style="42" customWidth="1"/>
    <col min="4" max="4" width="3.7109375" style="42" customWidth="1"/>
    <col min="5" max="7" width="12.7109375" style="42" customWidth="1"/>
    <col min="8" max="8" width="17.7109375" style="42" customWidth="1"/>
    <col min="9" max="9" width="2.42578125" style="42" customWidth="1"/>
    <col min="10" max="16384" width="9.28515625" style="42"/>
  </cols>
  <sheetData>
    <row r="1" spans="1:10">
      <c r="A1" s="408" t="s">
        <v>27</v>
      </c>
      <c r="B1" s="41"/>
      <c r="C1" s="41"/>
    </row>
    <row r="2" spans="1:10">
      <c r="A2" s="43"/>
      <c r="B2" s="41"/>
      <c r="C2" s="41"/>
    </row>
    <row r="3" spans="1:10" s="45" customFormat="1" ht="17.25">
      <c r="A3" s="73" t="s">
        <v>31</v>
      </c>
      <c r="B3" s="74" t="s">
        <v>257</v>
      </c>
      <c r="C3" s="74"/>
      <c r="D3" s="74"/>
      <c r="E3" s="44"/>
      <c r="F3" s="44"/>
      <c r="G3" s="42"/>
      <c r="H3" s="42"/>
      <c r="I3" s="42"/>
    </row>
    <row r="4" spans="1:10" s="45" customFormat="1" ht="17.25">
      <c r="A4" s="73" t="s">
        <v>14</v>
      </c>
      <c r="B4" s="74" t="str">
        <f ca="1">MID(CELL("bestandsnaam",$D$10),SEARCH("]",CELL("bestandsnaam",$D$10),1)+1,256)</f>
        <v>1-Contractblad totaal</v>
      </c>
      <c r="C4" s="74"/>
      <c r="D4" s="74"/>
      <c r="E4" s="44"/>
      <c r="F4" s="44"/>
      <c r="G4" s="42"/>
      <c r="H4" s="42"/>
      <c r="I4" s="42"/>
    </row>
    <row r="5" spans="1:10" s="45" customFormat="1" ht="17.25">
      <c r="A5" s="73" t="s">
        <v>88</v>
      </c>
      <c r="B5" s="74" t="s">
        <v>258</v>
      </c>
      <c r="C5" s="74"/>
      <c r="D5" s="74"/>
      <c r="E5" s="44"/>
      <c r="F5" s="44"/>
      <c r="G5" s="46"/>
      <c r="H5" s="46"/>
    </row>
    <row r="6" spans="1:10" s="45" customFormat="1" ht="17.25">
      <c r="A6" s="73" t="s">
        <v>238</v>
      </c>
      <c r="B6" s="74" t="s">
        <v>143</v>
      </c>
      <c r="C6" s="74"/>
      <c r="D6" s="74"/>
      <c r="E6" s="44"/>
      <c r="F6" s="44"/>
      <c r="G6" s="46"/>
      <c r="H6" s="46"/>
    </row>
    <row r="7" spans="1:10" s="45" customFormat="1" ht="17.25">
      <c r="A7" s="73" t="s">
        <v>208</v>
      </c>
      <c r="B7" s="454" t="s">
        <v>363</v>
      </c>
      <c r="C7" s="74"/>
      <c r="D7" s="74"/>
      <c r="E7" s="44"/>
      <c r="F7" s="44"/>
      <c r="G7" s="46"/>
      <c r="H7" s="46"/>
    </row>
    <row r="8" spans="1:10" s="45" customFormat="1" ht="17.25">
      <c r="A8" s="73" t="s">
        <v>210</v>
      </c>
      <c r="B8" s="585"/>
      <c r="C8" s="585"/>
      <c r="D8" s="586"/>
      <c r="E8" s="44"/>
      <c r="F8" s="44"/>
      <c r="G8" s="46"/>
      <c r="H8" s="46"/>
    </row>
    <row r="9" spans="1:10" s="45" customFormat="1" ht="17.25">
      <c r="A9" s="73" t="s">
        <v>10</v>
      </c>
      <c r="B9" s="109">
        <v>45017</v>
      </c>
      <c r="C9" s="75"/>
      <c r="D9" s="74"/>
      <c r="E9" s="44"/>
      <c r="F9" s="44"/>
      <c r="G9" s="46"/>
      <c r="H9" s="46"/>
      <c r="I9" s="46"/>
      <c r="J9" s="46"/>
    </row>
    <row r="10" spans="1:10" s="45" customFormat="1" ht="17.25">
      <c r="A10" s="47"/>
      <c r="G10" s="48"/>
      <c r="H10" s="48"/>
    </row>
    <row r="11" spans="1:10" s="45" customFormat="1" ht="17.25">
      <c r="A11" s="49" t="s">
        <v>144</v>
      </c>
      <c r="B11" s="50"/>
      <c r="C11" s="50"/>
      <c r="D11" s="50"/>
      <c r="E11" s="50"/>
      <c r="F11" s="50"/>
      <c r="G11" s="51"/>
      <c r="H11" s="52"/>
    </row>
    <row r="13" spans="1:10" ht="27">
      <c r="A13" s="76" t="s">
        <v>11</v>
      </c>
      <c r="D13" s="77"/>
      <c r="E13" s="77" t="s">
        <v>79</v>
      </c>
      <c r="F13" s="77" t="s">
        <v>51</v>
      </c>
      <c r="G13" s="77" t="s">
        <v>134</v>
      </c>
      <c r="H13" s="78" t="s">
        <v>45</v>
      </c>
      <c r="I13" s="53"/>
    </row>
    <row r="14" spans="1:10">
      <c r="A14" s="79" t="s">
        <v>135</v>
      </c>
      <c r="B14" s="79" t="s">
        <v>136</v>
      </c>
      <c r="C14" s="79" t="s">
        <v>137</v>
      </c>
      <c r="D14" s="80"/>
      <c r="E14" s="467">
        <f>100%</f>
        <v>1</v>
      </c>
      <c r="F14" s="54" t="e">
        <f>SUM('4-Basis ruimtestaat'!M:N)*E14</f>
        <v>#DIV/0!</v>
      </c>
      <c r="G14" s="55" t="e">
        <f>'6a-Opbouw uurtarief productie'!E47</f>
        <v>#DIV/0!</v>
      </c>
      <c r="H14" s="56" t="e">
        <f>G14*F14</f>
        <v>#DIV/0!</v>
      </c>
      <c r="I14" s="53"/>
    </row>
    <row r="15" spans="1:10">
      <c r="A15" s="79" t="s">
        <v>135</v>
      </c>
      <c r="B15" s="79" t="s">
        <v>136</v>
      </c>
      <c r="C15" s="79" t="s">
        <v>384</v>
      </c>
      <c r="D15" s="80"/>
      <c r="E15" s="467">
        <f>100%</f>
        <v>1</v>
      </c>
      <c r="F15" s="54">
        <f>+'2-Kosten per locatie'!F21+'2-Kosten per locatie'!H21</f>
        <v>0</v>
      </c>
      <c r="G15" s="55" t="e">
        <f>'6a-Opbouw uurtarief productie'!E47</f>
        <v>#DIV/0!</v>
      </c>
      <c r="H15" s="56" t="e">
        <f>G15*F15</f>
        <v>#DIV/0!</v>
      </c>
      <c r="I15" s="53"/>
    </row>
    <row r="16" spans="1:10">
      <c r="A16" s="79"/>
      <c r="B16" s="79"/>
      <c r="C16" s="81" t="s">
        <v>8</v>
      </c>
      <c r="D16" s="82"/>
      <c r="E16" s="57">
        <f>SUM(E15:E15)</f>
        <v>1</v>
      </c>
      <c r="F16" s="54"/>
      <c r="G16" s="58"/>
      <c r="H16" s="56"/>
      <c r="I16" s="53"/>
    </row>
    <row r="17" spans="1:9">
      <c r="A17" s="79"/>
      <c r="B17" s="83"/>
      <c r="C17" s="83"/>
      <c r="D17" s="83"/>
      <c r="E17" s="83"/>
      <c r="F17" s="84"/>
      <c r="G17" s="83"/>
      <c r="H17" s="83"/>
      <c r="I17" s="83"/>
    </row>
    <row r="18" spans="1:9">
      <c r="A18" s="79" t="s">
        <v>139</v>
      </c>
      <c r="B18" s="79" t="s">
        <v>136</v>
      </c>
      <c r="C18" s="79" t="s">
        <v>137</v>
      </c>
      <c r="D18" s="83"/>
      <c r="E18" s="413"/>
      <c r="F18" s="59" t="e">
        <f>SUM(F14)*E18</f>
        <v>#DIV/0!</v>
      </c>
      <c r="G18" s="55" t="e">
        <f>'7-Opbouw uurtarief toezicht'!E47</f>
        <v>#DIV/0!</v>
      </c>
      <c r="H18" s="56" t="e">
        <f>G18*F18</f>
        <v>#DIV/0!</v>
      </c>
    </row>
    <row r="19" spans="1:9">
      <c r="A19" s="79"/>
      <c r="B19" s="79"/>
      <c r="C19" s="81" t="s">
        <v>138</v>
      </c>
      <c r="D19" s="85"/>
      <c r="E19" s="86" t="e">
        <f>F18/F14</f>
        <v>#DIV/0!</v>
      </c>
      <c r="F19" s="87"/>
      <c r="G19" s="79"/>
      <c r="H19" s="79"/>
      <c r="I19" s="79"/>
    </row>
    <row r="20" spans="1:9">
      <c r="A20" s="79"/>
      <c r="B20" s="79"/>
      <c r="C20" s="88"/>
      <c r="D20" s="79"/>
      <c r="E20" s="89"/>
      <c r="F20" s="87"/>
      <c r="G20" s="79"/>
      <c r="H20" s="79"/>
      <c r="I20" s="79"/>
    </row>
    <row r="21" spans="1:9">
      <c r="A21" s="90" t="s">
        <v>203</v>
      </c>
      <c r="B21" s="85" t="s">
        <v>136</v>
      </c>
      <c r="C21" s="85" t="s">
        <v>137</v>
      </c>
      <c r="D21" s="85"/>
      <c r="E21" s="60"/>
      <c r="F21" s="91"/>
      <c r="G21" s="575" t="e">
        <f>(H18+H15+H14)/(F15+F14)</f>
        <v>#DIV/0!</v>
      </c>
      <c r="H21" s="79"/>
      <c r="I21" s="79"/>
    </row>
    <row r="22" spans="1:9">
      <c r="A22" s="88"/>
      <c r="D22" s="83"/>
      <c r="E22" s="92"/>
      <c r="F22" s="93"/>
      <c r="G22" s="61"/>
      <c r="H22" s="94"/>
    </row>
    <row r="23" spans="1:9">
      <c r="A23" s="95" t="s">
        <v>140</v>
      </c>
      <c r="H23" s="96" t="e">
        <f>SUM(H14:H22)</f>
        <v>#DIV/0!</v>
      </c>
      <c r="I23" s="61"/>
    </row>
    <row r="24" spans="1:9">
      <c r="A24" s="63" t="s">
        <v>9</v>
      </c>
      <c r="G24" s="64">
        <v>0.21</v>
      </c>
      <c r="H24" s="65" t="e">
        <f>G24*H23</f>
        <v>#DIV/0!</v>
      </c>
      <c r="I24" s="61"/>
    </row>
    <row r="25" spans="1:9">
      <c r="A25" s="63" t="s">
        <v>28</v>
      </c>
      <c r="G25" s="53" t="s">
        <v>62</v>
      </c>
      <c r="H25" s="56" t="e">
        <f>H24+H23</f>
        <v>#DIV/0!</v>
      </c>
      <c r="I25" s="61"/>
    </row>
    <row r="26" spans="1:9">
      <c r="A26" s="63"/>
      <c r="G26" s="53"/>
      <c r="H26" s="56"/>
      <c r="I26" s="62"/>
    </row>
    <row r="27" spans="1:9" s="45" customFormat="1" ht="17.25">
      <c r="A27" s="49" t="s">
        <v>242</v>
      </c>
      <c r="B27" s="50"/>
      <c r="C27" s="50"/>
      <c r="D27" s="50"/>
      <c r="E27" s="50"/>
      <c r="F27" s="50"/>
      <c r="G27" s="51"/>
      <c r="H27" s="52"/>
    </row>
    <row r="29" spans="1:9">
      <c r="A29" s="79" t="str">
        <f ca="1">'8-Additionele werkzaamheden'!B4</f>
        <v>8-Additionele werkzaamheden</v>
      </c>
      <c r="B29" s="66"/>
      <c r="C29" s="66"/>
      <c r="D29" s="66"/>
      <c r="E29" s="66"/>
      <c r="F29" s="66"/>
      <c r="G29" s="66"/>
      <c r="H29" s="67">
        <f>'8-Additionele werkzaamheden'!I64</f>
        <v>0</v>
      </c>
    </row>
    <row r="30" spans="1:9">
      <c r="A30" s="66"/>
      <c r="B30" s="66"/>
      <c r="C30" s="66"/>
      <c r="D30" s="66"/>
      <c r="E30" s="66"/>
      <c r="F30" s="66"/>
      <c r="G30" s="66"/>
      <c r="H30" s="66"/>
    </row>
    <row r="31" spans="1:9">
      <c r="A31" s="79" t="str">
        <f ca="1">'10-Glasbewassing'!B4</f>
        <v>10-Glasbewassing</v>
      </c>
      <c r="B31" s="66"/>
      <c r="C31" s="66"/>
      <c r="D31" s="66"/>
      <c r="E31" s="66"/>
      <c r="F31" s="66"/>
      <c r="G31" s="66"/>
      <c r="H31" s="67">
        <f>'10-Glasbewassing'!I19</f>
        <v>0</v>
      </c>
    </row>
    <row r="32" spans="1:9">
      <c r="A32" s="66"/>
      <c r="B32" s="66"/>
      <c r="C32" s="66"/>
      <c r="D32" s="66"/>
      <c r="E32" s="66"/>
      <c r="F32" s="66"/>
      <c r="G32" s="66"/>
      <c r="H32" s="66"/>
    </row>
    <row r="33" spans="1:8">
      <c r="A33" s="79" t="str">
        <f ca="1">'11-Machinekosten'!B3</f>
        <v>11-Machinekosten</v>
      </c>
      <c r="B33" s="66"/>
      <c r="C33" s="66"/>
      <c r="D33" s="66"/>
      <c r="E33" s="66"/>
      <c r="F33" s="66"/>
      <c r="G33" s="66"/>
      <c r="H33" s="67">
        <f>'11-Machinekosten'!Q28</f>
        <v>0</v>
      </c>
    </row>
    <row r="34" spans="1:8">
      <c r="A34" s="66"/>
      <c r="B34" s="66"/>
      <c r="C34" s="66"/>
      <c r="D34" s="66"/>
      <c r="E34" s="66"/>
      <c r="F34" s="66"/>
      <c r="G34" s="66"/>
      <c r="H34" s="66"/>
    </row>
    <row r="35" spans="1:8">
      <c r="A35" s="79" t="str">
        <f ca="1">'12-Sanitaire voorzieningen'!B4</f>
        <v>12-Sanitaire voorzieningen</v>
      </c>
      <c r="B35" s="66"/>
      <c r="C35" s="66"/>
      <c r="D35" s="66"/>
      <c r="E35" s="66"/>
      <c r="F35" s="66"/>
      <c r="G35" s="66"/>
      <c r="H35" s="67">
        <f>+'12-Sanitaire voorzieningen'!I27</f>
        <v>0</v>
      </c>
    </row>
    <row r="36" spans="1:8" s="66" customFormat="1"/>
    <row r="37" spans="1:8">
      <c r="A37" s="95" t="s">
        <v>141</v>
      </c>
      <c r="H37" s="68">
        <f>SUM(H28:H36)</f>
        <v>0</v>
      </c>
    </row>
    <row r="38" spans="1:8">
      <c r="A38" s="63" t="s">
        <v>9</v>
      </c>
      <c r="G38" s="64">
        <v>0.21</v>
      </c>
      <c r="H38" s="65">
        <f>G38*H37</f>
        <v>0</v>
      </c>
    </row>
    <row r="39" spans="1:8">
      <c r="A39" s="63" t="s">
        <v>28</v>
      </c>
      <c r="H39" s="68">
        <f>H37+H38</f>
        <v>0</v>
      </c>
    </row>
    <row r="41" spans="1:8">
      <c r="A41" s="97" t="s">
        <v>142</v>
      </c>
      <c r="B41" s="60"/>
      <c r="C41" s="60"/>
      <c r="D41" s="60"/>
      <c r="E41" s="98"/>
      <c r="F41" s="98" t="s">
        <v>145</v>
      </c>
      <c r="G41" s="98"/>
      <c r="H41" s="99" t="e">
        <f>H37+H23</f>
        <v>#DIV/0!</v>
      </c>
    </row>
    <row r="42" spans="1:8">
      <c r="A42" s="63" t="s">
        <v>9</v>
      </c>
      <c r="G42" s="64">
        <v>0.21</v>
      </c>
      <c r="H42" s="65" t="e">
        <f>G42*H41</f>
        <v>#DIV/0!</v>
      </c>
    </row>
    <row r="43" spans="1:8">
      <c r="A43" s="63" t="s">
        <v>28</v>
      </c>
      <c r="H43" s="68" t="e">
        <f>H41+H42</f>
        <v>#DIV/0!</v>
      </c>
    </row>
    <row r="45" spans="1:8">
      <c r="A45" s="69" t="s">
        <v>236</v>
      </c>
      <c r="B45" s="70"/>
      <c r="C45" s="70"/>
      <c r="D45" s="70"/>
      <c r="E45" s="71"/>
      <c r="F45" s="70"/>
      <c r="G45" s="70"/>
      <c r="H45" s="72">
        <v>12000</v>
      </c>
    </row>
    <row r="46" spans="1:8">
      <c r="A46" s="69" t="s">
        <v>224</v>
      </c>
      <c r="B46" s="70"/>
      <c r="C46" s="70"/>
      <c r="D46" s="70"/>
      <c r="E46" s="71"/>
      <c r="F46" s="70"/>
      <c r="G46" s="70"/>
      <c r="H46" s="72">
        <v>10800</v>
      </c>
    </row>
    <row r="48" spans="1:8">
      <c r="A48" s="95" t="s">
        <v>240</v>
      </c>
      <c r="H48" s="414"/>
    </row>
    <row r="50" spans="1:8" ht="13.15" customHeight="1">
      <c r="A50" s="587" t="s">
        <v>225</v>
      </c>
      <c r="B50" s="588"/>
      <c r="C50" s="588"/>
      <c r="D50" s="588"/>
      <c r="E50" s="588"/>
      <c r="F50" s="588"/>
      <c r="G50" s="588"/>
      <c r="H50" s="589"/>
    </row>
    <row r="51" spans="1:8">
      <c r="A51" s="590"/>
      <c r="B51" s="591"/>
      <c r="C51" s="591"/>
      <c r="D51" s="591"/>
      <c r="E51" s="591"/>
      <c r="F51" s="591"/>
      <c r="G51" s="591"/>
      <c r="H51" s="592"/>
    </row>
    <row r="52" spans="1:8">
      <c r="A52" s="593"/>
      <c r="B52" s="594"/>
      <c r="C52" s="594"/>
      <c r="D52" s="594"/>
      <c r="E52" s="594"/>
      <c r="F52" s="594"/>
      <c r="G52" s="594"/>
      <c r="H52" s="595"/>
    </row>
    <row r="54" spans="1:8">
      <c r="A54" s="587" t="s">
        <v>241</v>
      </c>
      <c r="B54" s="588"/>
      <c r="C54" s="588"/>
      <c r="D54" s="588"/>
      <c r="E54" s="588"/>
      <c r="F54" s="588"/>
      <c r="G54" s="588"/>
      <c r="H54" s="589"/>
    </row>
    <row r="55" spans="1:8">
      <c r="A55" s="590"/>
      <c r="B55" s="591"/>
      <c r="C55" s="591"/>
      <c r="D55" s="591"/>
      <c r="E55" s="591"/>
      <c r="F55" s="591"/>
      <c r="G55" s="591"/>
      <c r="H55" s="592"/>
    </row>
    <row r="56" spans="1:8">
      <c r="A56" s="593"/>
      <c r="B56" s="594"/>
      <c r="C56" s="594"/>
      <c r="D56" s="594"/>
      <c r="E56" s="594"/>
      <c r="F56" s="594"/>
      <c r="G56" s="594"/>
      <c r="H56" s="595"/>
    </row>
  </sheetData>
  <mergeCells count="3">
    <mergeCell ref="B8:D8"/>
    <mergeCell ref="A50:H52"/>
    <mergeCell ref="A54:H56"/>
  </mergeCells>
  <conditionalFormatting sqref="E16">
    <cfRule type="cellIs" dxfId="19" priority="7" operator="greaterThan">
      <formula>1</formula>
    </cfRule>
    <cfRule type="cellIs" dxfId="18" priority="8" operator="between">
      <formula>0.999999</formula>
      <formula>0</formula>
    </cfRule>
    <cfRule type="cellIs" dxfId="17" priority="9" operator="equal">
      <formula>1</formula>
    </cfRule>
  </conditionalFormatting>
  <pageMargins left="0.7" right="0.7" top="0.75" bottom="0.75" header="0.3" footer="0.3"/>
  <pageSetup paperSize="9" scale="41" orientation="portrait" r:id="rId1"/>
  <headerFooter>
    <oddFooter>&amp;L&amp;F-&amp;A
Atir b.v. ©&amp;Rprintversie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theme="0" tint="-0.14999847407452621"/>
    <pageSetUpPr fitToPage="1"/>
  </sheetPr>
  <dimension ref="A1:X25"/>
  <sheetViews>
    <sheetView showGridLines="0" showZeros="0" view="pageBreakPreview" zoomScale="70" zoomScaleNormal="85" zoomScaleSheetLayoutView="70" workbookViewId="0">
      <pane xSplit="1" ySplit="10" topLeftCell="B11" activePane="bottomRight" state="frozen"/>
      <selection activeCell="B28" sqref="B28"/>
      <selection pane="topRight" activeCell="B28" sqref="B28"/>
      <selection pane="bottomLeft" activeCell="B28" sqref="B28"/>
      <selection pane="bottomRight" activeCell="B12" sqref="B12"/>
    </sheetView>
  </sheetViews>
  <sheetFormatPr defaultColWidth="8.7109375" defaultRowHeight="14.1" customHeight="1"/>
  <cols>
    <col min="1" max="1" width="32.140625" style="100" customWidth="1"/>
    <col min="2" max="2" width="39" style="100" customWidth="1"/>
    <col min="3" max="3" width="10" style="100" bestFit="1" customWidth="1"/>
    <col min="4" max="4" width="10.42578125" style="107" bestFit="1" customWidth="1"/>
    <col min="5" max="5" width="15.42578125" style="107" customWidth="1"/>
    <col min="6" max="6" width="13.140625" style="107" bestFit="1" customWidth="1"/>
    <col min="7" max="7" width="10.5703125" style="107" bestFit="1" customWidth="1"/>
    <col min="8" max="8" width="13.140625" style="107" bestFit="1" customWidth="1"/>
    <col min="9" max="9" width="12.140625" style="107" bestFit="1" customWidth="1"/>
    <col min="10" max="10" width="13.42578125" style="107" bestFit="1" customWidth="1"/>
    <col min="11" max="11" width="17" style="107" bestFit="1" customWidth="1"/>
    <col min="12" max="16" width="15.28515625" style="107" customWidth="1"/>
    <col min="17" max="17" width="17" style="107" bestFit="1" customWidth="1"/>
    <col min="18" max="18" width="15.42578125" style="107" bestFit="1" customWidth="1"/>
    <col min="19" max="21" width="13.28515625" style="107" customWidth="1"/>
    <col min="22" max="16384" width="8.7109375" style="100"/>
  </cols>
  <sheetData>
    <row r="1" spans="1:24" ht="14.1" customHeight="1">
      <c r="A1" s="408" t="s">
        <v>27</v>
      </c>
      <c r="B1" s="515"/>
    </row>
    <row r="2" spans="1:24" ht="14.1" customHeight="1">
      <c r="F2" s="100"/>
    </row>
    <row r="3" spans="1:24" ht="14.1" customHeight="1">
      <c r="A3" s="108" t="str">
        <f>'1-Contractblad totaal'!A3</f>
        <v>Naam opdrachtgever</v>
      </c>
      <c r="B3" s="136" t="str">
        <f>'1-Contractblad totaal'!B3</f>
        <v>Hoogheemraadschap De Stichtse Rijnlanden</v>
      </c>
      <c r="D3" s="101"/>
      <c r="J3" s="576"/>
      <c r="Q3" s="101"/>
      <c r="S3" s="101"/>
      <c r="T3" s="101"/>
      <c r="U3" s="101"/>
    </row>
    <row r="4" spans="1:24" ht="14.1" customHeight="1">
      <c r="A4" s="108" t="str">
        <f>'1-Contractblad totaal'!A4</f>
        <v>Calculatie onderdeel</v>
      </c>
      <c r="B4" s="136" t="str">
        <f ca="1">MID(CELL("bestandsnaam",$C$9),SEARCH("]",CELL("bestandsnaam",$C$9),1)+1,256)</f>
        <v>2-Kosten per locatie</v>
      </c>
      <c r="D4" s="101"/>
      <c r="J4" s="101"/>
      <c r="Q4" s="101"/>
      <c r="S4" s="101"/>
      <c r="T4" s="101"/>
      <c r="U4" s="101"/>
    </row>
    <row r="5" spans="1:24" ht="14.1" customHeight="1">
      <c r="A5" s="108" t="str">
        <f>'1-Contractblad totaal'!A5</f>
        <v>Gebouw/plaats</v>
      </c>
      <c r="B5" s="136" t="str">
        <f>'1-Contractblad totaal'!B5</f>
        <v>Divers</v>
      </c>
      <c r="D5" s="101"/>
      <c r="J5" s="101"/>
      <c r="Q5" s="101"/>
      <c r="S5" s="101"/>
      <c r="T5" s="101"/>
      <c r="U5" s="101"/>
    </row>
    <row r="6" spans="1:24" ht="14.1" customHeight="1">
      <c r="A6" s="108" t="str">
        <f>'1-Contractblad totaal'!A6</f>
        <v>Referentie nummer</v>
      </c>
      <c r="B6" s="136" t="str">
        <f>'1-Contractblad totaal'!B6</f>
        <v>Invoer</v>
      </c>
      <c r="D6" s="101"/>
      <c r="E6" s="100"/>
      <c r="F6" s="100"/>
      <c r="G6" s="100"/>
      <c r="H6" s="100"/>
      <c r="I6" s="100"/>
      <c r="J6" s="101"/>
      <c r="Q6" s="101"/>
      <c r="S6" s="101"/>
      <c r="T6" s="101"/>
      <c r="U6" s="101"/>
    </row>
    <row r="7" spans="1:24" ht="14.1" customHeight="1">
      <c r="A7" s="108" t="str">
        <f>'1-Contractblad totaal'!A8</f>
        <v>Naam dienstverlener</v>
      </c>
      <c r="B7" s="108">
        <f>'1-Contractblad totaal'!B8</f>
        <v>0</v>
      </c>
      <c r="D7" s="101"/>
      <c r="E7" s="100"/>
      <c r="F7" s="101"/>
      <c r="G7" s="101"/>
      <c r="H7" s="101"/>
      <c r="I7" s="101"/>
      <c r="J7" s="101"/>
      <c r="Q7" s="101"/>
      <c r="S7" s="101"/>
      <c r="T7" s="101"/>
      <c r="U7" s="101"/>
    </row>
    <row r="8" spans="1:24" ht="14.1" customHeight="1">
      <c r="A8" s="108" t="str">
        <f>'1-Contractblad totaal'!A9</f>
        <v>Prijspeil</v>
      </c>
      <c r="B8" s="109">
        <f>'1-Contractblad totaal'!B9</f>
        <v>45017</v>
      </c>
      <c r="Q8" s="101"/>
      <c r="S8" s="101"/>
      <c r="T8" s="101"/>
      <c r="U8" s="101"/>
    </row>
    <row r="9" spans="1:24" ht="14.1" customHeight="1">
      <c r="A9" s="103"/>
      <c r="B9" s="103"/>
      <c r="C9" s="103"/>
      <c r="D9" s="103"/>
      <c r="E9" s="596" t="s">
        <v>226</v>
      </c>
      <c r="F9" s="597"/>
      <c r="G9" s="597"/>
      <c r="H9" s="597"/>
      <c r="I9" s="596" t="s">
        <v>346</v>
      </c>
      <c r="J9" s="597"/>
      <c r="K9" s="596" t="s">
        <v>348</v>
      </c>
      <c r="L9" s="597"/>
      <c r="M9" s="597"/>
      <c r="N9" s="597"/>
      <c r="O9" s="597"/>
      <c r="P9" s="598"/>
      <c r="Q9" s="597"/>
      <c r="R9" s="599"/>
      <c r="S9" s="101"/>
      <c r="T9" s="101"/>
      <c r="U9" s="101"/>
    </row>
    <row r="10" spans="1:24" ht="64.5" customHeight="1">
      <c r="A10" s="465" t="s">
        <v>106</v>
      </c>
      <c r="B10" s="514" t="s">
        <v>110</v>
      </c>
      <c r="C10" s="507" t="s">
        <v>188</v>
      </c>
      <c r="D10" s="508" t="s">
        <v>256</v>
      </c>
      <c r="E10" s="466" t="s">
        <v>228</v>
      </c>
      <c r="F10" s="466" t="s">
        <v>227</v>
      </c>
      <c r="G10" s="466" t="s">
        <v>229</v>
      </c>
      <c r="H10" s="466" t="s">
        <v>230</v>
      </c>
      <c r="I10" s="466" t="s">
        <v>215</v>
      </c>
      <c r="J10" s="466" t="s">
        <v>189</v>
      </c>
      <c r="K10" s="466" t="s">
        <v>347</v>
      </c>
      <c r="L10" s="466" t="s">
        <v>216</v>
      </c>
      <c r="M10" s="466" t="s">
        <v>217</v>
      </c>
      <c r="N10" s="466" t="s">
        <v>190</v>
      </c>
      <c r="O10" s="466" t="s">
        <v>191</v>
      </c>
      <c r="P10" s="466" t="s">
        <v>382</v>
      </c>
      <c r="Q10" s="466" t="s">
        <v>192</v>
      </c>
      <c r="R10" s="466" t="s">
        <v>193</v>
      </c>
      <c r="S10" s="101"/>
      <c r="T10" s="101"/>
      <c r="U10" s="101"/>
      <c r="X10" s="101"/>
    </row>
    <row r="11" spans="1:24" s="104" customFormat="1" ht="15" customHeight="1">
      <c r="A11" s="518" t="s">
        <v>385</v>
      </c>
      <c r="B11" s="519"/>
      <c r="C11" s="537"/>
      <c r="D11" s="520"/>
      <c r="E11" s="521"/>
      <c r="F11" s="521"/>
      <c r="G11" s="521"/>
      <c r="H11" s="521"/>
      <c r="I11" s="522"/>
      <c r="J11" s="523"/>
      <c r="K11" s="524"/>
      <c r="L11" s="525"/>
      <c r="M11" s="525"/>
      <c r="N11" s="525"/>
      <c r="O11" s="525"/>
      <c r="P11" s="525"/>
      <c r="Q11" s="525"/>
      <c r="R11" s="525"/>
      <c r="T11" s="555"/>
      <c r="U11" s="101"/>
      <c r="V11" s="100"/>
      <c r="W11" s="100"/>
      <c r="X11" s="101"/>
    </row>
    <row r="12" spans="1:24" s="104" customFormat="1" ht="15" customHeight="1">
      <c r="A12" s="155" t="s">
        <v>278</v>
      </c>
      <c r="B12" s="155" t="s">
        <v>279</v>
      </c>
      <c r="C12" s="536">
        <f>SUMIF('4-Basis ruimtestaat'!B:B,'2-Kosten per locatie'!A12,'4-Basis ruimtestaat'!H:H)</f>
        <v>24</v>
      </c>
      <c r="D12" s="509">
        <f>_xlfn.MAXIFS('4-Basis ruimtestaat'!K:K,'4-Basis ruimtestaat'!B:B,'2-Kosten per locatie'!A12)</f>
        <v>52</v>
      </c>
      <c r="E12" s="512" t="e">
        <f>SUMIF('4-Basis ruimtestaat'!B:B,'2-Kosten per locatie'!A12,'4-Basis ruimtestaat'!M:M)</f>
        <v>#DIV/0!</v>
      </c>
      <c r="F12" s="559"/>
      <c r="G12" s="512">
        <f>SUMIF('4-Basis ruimtestaat'!B:B,'2-Kosten per locatie'!A12,'4-Basis ruimtestaat'!N:N)</f>
        <v>0</v>
      </c>
      <c r="H12" s="513"/>
      <c r="I12" s="506">
        <f>'1-Contractblad totaal'!$E$18</f>
        <v>0</v>
      </c>
      <c r="J12" s="505" t="e">
        <f t="shared" ref="J12:J14" si="0">(E12+G12)*I12</f>
        <v>#DIV/0!</v>
      </c>
      <c r="K12" s="282" t="e">
        <f>(E12+F12+G12+H12)*'1-Contractblad totaal'!$G$15</f>
        <v>#DIV/0!</v>
      </c>
      <c r="L12" s="510" t="e">
        <f>(J12)*'1-Contractblad totaal'!$G$18</f>
        <v>#DIV/0!</v>
      </c>
      <c r="M12" s="510">
        <f>+SUMIF('11-Machinekosten'!A:A,A12,'11-Machinekosten'!Q:Q)</f>
        <v>0</v>
      </c>
      <c r="N12" s="510">
        <f>+SUMIF('8-Additionele werkzaamheden'!A:A,A12,'8-Additionele werkzaamheden'!I:I)</f>
        <v>0</v>
      </c>
      <c r="O12" s="510">
        <f>SUMIF('10-Glasbewassing'!A:A,'2-Kosten per locatie'!A12,'10-Glasbewassing'!I:I)</f>
        <v>0</v>
      </c>
      <c r="P12" s="510">
        <f>+SUMIF('12-Sanitaire voorzieningen'!A:A,A12,'12-Sanitaire voorzieningen'!I:I)</f>
        <v>0</v>
      </c>
      <c r="Q12" s="510" t="e">
        <f t="shared" ref="Q12:Q14" si="1">SUM(K12:P12)</f>
        <v>#DIV/0!</v>
      </c>
      <c r="R12" s="510" t="e">
        <f t="shared" ref="R12:R14" si="2">Q12/12</f>
        <v>#DIV/0!</v>
      </c>
      <c r="S12" s="101"/>
      <c r="T12" s="555"/>
      <c r="U12" s="101"/>
      <c r="V12" s="100"/>
      <c r="W12" s="100"/>
      <c r="X12" s="101"/>
    </row>
    <row r="13" spans="1:24" s="104" customFormat="1" ht="15" customHeight="1">
      <c r="A13" s="155" t="s">
        <v>285</v>
      </c>
      <c r="B13" s="155" t="s">
        <v>286</v>
      </c>
      <c r="C13" s="536">
        <f>SUMIF('4-Basis ruimtestaat'!B:B,'2-Kosten per locatie'!A13,'4-Basis ruimtestaat'!H:H)</f>
        <v>410.9</v>
      </c>
      <c r="D13" s="509">
        <f>_xlfn.MAXIFS('4-Basis ruimtestaat'!K:K,'4-Basis ruimtestaat'!B:B,'2-Kosten per locatie'!A13)</f>
        <v>52</v>
      </c>
      <c r="E13" s="512" t="e">
        <f>SUMIF('4-Basis ruimtestaat'!B:B,'2-Kosten per locatie'!A13,'4-Basis ruimtestaat'!M:M)</f>
        <v>#DIV/0!</v>
      </c>
      <c r="F13" s="559"/>
      <c r="G13" s="512">
        <f>SUMIF('4-Basis ruimtestaat'!B:B,'2-Kosten per locatie'!A13,'4-Basis ruimtestaat'!N:N)</f>
        <v>0</v>
      </c>
      <c r="H13" s="513"/>
      <c r="I13" s="506">
        <f>'1-Contractblad totaal'!$E$18</f>
        <v>0</v>
      </c>
      <c r="J13" s="505" t="e">
        <f t="shared" si="0"/>
        <v>#DIV/0!</v>
      </c>
      <c r="K13" s="282" t="e">
        <f>(E13+F13+G13+H13)*'1-Contractblad totaal'!$G$15</f>
        <v>#DIV/0!</v>
      </c>
      <c r="L13" s="510" t="e">
        <f>(J13)*'1-Contractblad totaal'!$G$18</f>
        <v>#DIV/0!</v>
      </c>
      <c r="M13" s="510">
        <f>+SUMIF('11-Machinekosten'!A:A,A13,'11-Machinekosten'!Q:Q)</f>
        <v>0</v>
      </c>
      <c r="N13" s="510">
        <f>+SUMIF('8-Additionele werkzaamheden'!A:A,A13,'8-Additionele werkzaamheden'!I:I)</f>
        <v>0</v>
      </c>
      <c r="O13" s="510">
        <f>SUMIF('10-Glasbewassing'!A:A,'2-Kosten per locatie'!A13,'10-Glasbewassing'!I:I)</f>
        <v>0</v>
      </c>
      <c r="P13" s="510">
        <f>+SUMIF('12-Sanitaire voorzieningen'!A:A,A13,'12-Sanitaire voorzieningen'!I:I)</f>
        <v>0</v>
      </c>
      <c r="Q13" s="510" t="e">
        <f t="shared" si="1"/>
        <v>#DIV/0!</v>
      </c>
      <c r="R13" s="510" t="e">
        <f t="shared" si="2"/>
        <v>#DIV/0!</v>
      </c>
      <c r="S13" s="101"/>
      <c r="T13" s="555"/>
      <c r="U13" s="101"/>
      <c r="V13" s="100"/>
      <c r="W13" s="100"/>
      <c r="X13" s="101"/>
    </row>
    <row r="14" spans="1:24" ht="15" customHeight="1">
      <c r="A14" s="516" t="s">
        <v>379</v>
      </c>
      <c r="B14" s="516" t="s">
        <v>361</v>
      </c>
      <c r="C14" s="536">
        <f>SUMIF('4-Basis ruimtestaat'!B:B,'2-Kosten per locatie'!A14,'4-Basis ruimtestaat'!H:H)</f>
        <v>0</v>
      </c>
      <c r="D14" s="509">
        <f>_xlfn.MAXIFS('4-Basis ruimtestaat'!K:K,'4-Basis ruimtestaat'!B:B,'2-Kosten per locatie'!A14)</f>
        <v>0</v>
      </c>
      <c r="E14" s="512">
        <f>SUMIF('4-Basis ruimtestaat'!B:B,'2-Kosten per locatie'!A14,'4-Basis ruimtestaat'!M:M)</f>
        <v>0</v>
      </c>
      <c r="F14" s="559"/>
      <c r="G14" s="512">
        <f>SUMIF('4-Basis ruimtestaat'!B:B,'2-Kosten per locatie'!A14,'4-Basis ruimtestaat'!N:N)</f>
        <v>0</v>
      </c>
      <c r="H14" s="513"/>
      <c r="I14" s="506">
        <f>'1-Contractblad totaal'!$E$18</f>
        <v>0</v>
      </c>
      <c r="J14" s="505">
        <f t="shared" si="0"/>
        <v>0</v>
      </c>
      <c r="K14" s="282" t="e">
        <f>(E14+F14+G14+H14)*'1-Contractblad totaal'!$G$15</f>
        <v>#DIV/0!</v>
      </c>
      <c r="L14" s="510" t="e">
        <f>(J14)*'1-Contractblad totaal'!$G$18</f>
        <v>#DIV/0!</v>
      </c>
      <c r="M14" s="510">
        <f>+SUMIF('11-Machinekosten'!A:A,A14,'11-Machinekosten'!Q:Q)</f>
        <v>0</v>
      </c>
      <c r="N14" s="510">
        <f>+SUMIF('8-Additionele werkzaamheden'!A:A,A14,'8-Additionele werkzaamheden'!I:I)</f>
        <v>0</v>
      </c>
      <c r="O14" s="510">
        <f>SUMIF('10-Glasbewassing'!A:A,'2-Kosten per locatie'!A14,'10-Glasbewassing'!I:I)</f>
        <v>0</v>
      </c>
      <c r="P14" s="510">
        <f>+SUMIF('12-Sanitaire voorzieningen'!A:A,A14,'12-Sanitaire voorzieningen'!I:I)</f>
        <v>0</v>
      </c>
      <c r="Q14" s="510" t="e">
        <f t="shared" si="1"/>
        <v>#DIV/0!</v>
      </c>
      <c r="R14" s="510" t="e">
        <f t="shared" si="2"/>
        <v>#DIV/0!</v>
      </c>
      <c r="S14" s="101"/>
      <c r="T14" s="555"/>
      <c r="U14" s="101"/>
      <c r="X14" s="101"/>
    </row>
    <row r="15" spans="1:24" s="104" customFormat="1" ht="15" customHeight="1">
      <c r="A15" s="518" t="s">
        <v>386</v>
      </c>
      <c r="B15" s="519"/>
      <c r="C15" s="537"/>
      <c r="D15" s="520"/>
      <c r="E15" s="521"/>
      <c r="F15" s="521"/>
      <c r="G15" s="521"/>
      <c r="H15" s="521"/>
      <c r="I15" s="522"/>
      <c r="J15" s="523"/>
      <c r="K15" s="524"/>
      <c r="L15" s="525"/>
      <c r="M15" s="525"/>
      <c r="N15" s="525"/>
      <c r="O15" s="525"/>
      <c r="P15" s="525"/>
      <c r="Q15" s="525"/>
      <c r="R15" s="525"/>
      <c r="T15" s="555"/>
      <c r="U15" s="101"/>
      <c r="V15" s="100"/>
      <c r="W15" s="100"/>
      <c r="X15" s="101"/>
    </row>
    <row r="16" spans="1:24" s="104" customFormat="1" ht="15" customHeight="1">
      <c r="A16" s="155" t="s">
        <v>321</v>
      </c>
      <c r="B16" s="155" t="s">
        <v>322</v>
      </c>
      <c r="C16" s="536">
        <f>SUMIF('4-Basis ruimtestaat'!B:B,'2-Kosten per locatie'!A16,'4-Basis ruimtestaat'!H:H)</f>
        <v>310.81</v>
      </c>
      <c r="D16" s="509">
        <f>_xlfn.MAXIFS('4-Basis ruimtestaat'!K:K,'4-Basis ruimtestaat'!B:B,'2-Kosten per locatie'!A16)</f>
        <v>52</v>
      </c>
      <c r="E16" s="512" t="e">
        <f>SUMIF('4-Basis ruimtestaat'!B:B,'2-Kosten per locatie'!A16,'4-Basis ruimtestaat'!M:M)</f>
        <v>#DIV/0!</v>
      </c>
      <c r="F16" s="559"/>
      <c r="G16" s="512">
        <f>SUMIF('4-Basis ruimtestaat'!B:B,'2-Kosten per locatie'!A16,'4-Basis ruimtestaat'!N:N)</f>
        <v>0</v>
      </c>
      <c r="H16" s="513"/>
      <c r="I16" s="506">
        <f>'1-Contractblad totaal'!$E$18</f>
        <v>0</v>
      </c>
      <c r="J16" s="505" t="e">
        <f t="shared" ref="J16:J20" si="3">(E16+G16)*I16</f>
        <v>#DIV/0!</v>
      </c>
      <c r="K16" s="282" t="e">
        <f>(E16+F16+G16+H16)*'1-Contractblad totaal'!$G$15</f>
        <v>#DIV/0!</v>
      </c>
      <c r="L16" s="510" t="e">
        <f>(J16)*'1-Contractblad totaal'!$G$18</f>
        <v>#DIV/0!</v>
      </c>
      <c r="M16" s="510">
        <f>+SUMIF('11-Machinekosten'!A:A,A16,'11-Machinekosten'!Q:Q)</f>
        <v>0</v>
      </c>
      <c r="N16" s="510">
        <f>+SUMIF('8-Additionele werkzaamheden'!A:A,A16,'8-Additionele werkzaamheden'!I:I)</f>
        <v>0</v>
      </c>
      <c r="O16" s="510">
        <f>SUMIF('10-Glasbewassing'!A:A,'2-Kosten per locatie'!A16,'10-Glasbewassing'!I:I)</f>
        <v>0</v>
      </c>
      <c r="P16" s="510">
        <f>+SUMIF('12-Sanitaire voorzieningen'!A:A,A16,'12-Sanitaire voorzieningen'!I:I)</f>
        <v>0</v>
      </c>
      <c r="Q16" s="510" t="e">
        <f t="shared" ref="Q16:Q20" si="4">SUM(K16:P16)</f>
        <v>#DIV/0!</v>
      </c>
      <c r="R16" s="510" t="e">
        <f t="shared" ref="R16:R20" si="5">Q16/12</f>
        <v>#DIV/0!</v>
      </c>
      <c r="T16" s="555"/>
      <c r="U16" s="101"/>
      <c r="V16" s="100"/>
      <c r="W16" s="100"/>
      <c r="X16" s="101"/>
    </row>
    <row r="17" spans="1:24" s="104" customFormat="1" ht="15" customHeight="1">
      <c r="A17" s="155" t="s">
        <v>329</v>
      </c>
      <c r="B17" s="155" t="s">
        <v>330</v>
      </c>
      <c r="C17" s="536">
        <f>SUMIF('4-Basis ruimtestaat'!B:B,'2-Kosten per locatie'!A17,'4-Basis ruimtestaat'!H:H)</f>
        <v>173.7</v>
      </c>
      <c r="D17" s="509">
        <f>_xlfn.MAXIFS('4-Basis ruimtestaat'!K:K,'4-Basis ruimtestaat'!B:B,'2-Kosten per locatie'!A17)</f>
        <v>52</v>
      </c>
      <c r="E17" s="512" t="e">
        <f>SUMIF('4-Basis ruimtestaat'!B:B,'2-Kosten per locatie'!A17,'4-Basis ruimtestaat'!M:M)</f>
        <v>#DIV/0!</v>
      </c>
      <c r="F17" s="559"/>
      <c r="G17" s="512">
        <f>SUMIF('4-Basis ruimtestaat'!B:B,'2-Kosten per locatie'!A17,'4-Basis ruimtestaat'!N:N)</f>
        <v>0</v>
      </c>
      <c r="H17" s="513"/>
      <c r="I17" s="506">
        <f>'1-Contractblad totaal'!$E$18</f>
        <v>0</v>
      </c>
      <c r="J17" s="505" t="e">
        <f t="shared" si="3"/>
        <v>#DIV/0!</v>
      </c>
      <c r="K17" s="282" t="e">
        <f>(E17+F17+G17+H17)*'1-Contractblad totaal'!$G$15</f>
        <v>#DIV/0!</v>
      </c>
      <c r="L17" s="510" t="e">
        <f>(J17)*'1-Contractblad totaal'!$G$18</f>
        <v>#DIV/0!</v>
      </c>
      <c r="M17" s="510">
        <f>+SUMIF('11-Machinekosten'!A:A,A17,'11-Machinekosten'!Q:Q)</f>
        <v>0</v>
      </c>
      <c r="N17" s="510">
        <f>+SUMIF('8-Additionele werkzaamheden'!A:A,A17,'8-Additionele werkzaamheden'!I:I)</f>
        <v>0</v>
      </c>
      <c r="O17" s="510">
        <f>SUMIF('10-Glasbewassing'!A:A,'2-Kosten per locatie'!A17,'10-Glasbewassing'!I:I)</f>
        <v>0</v>
      </c>
      <c r="P17" s="510">
        <f>+SUMIF('12-Sanitaire voorzieningen'!A:A,A17,'12-Sanitaire voorzieningen'!I:I)</f>
        <v>0</v>
      </c>
      <c r="Q17" s="510" t="e">
        <f t="shared" si="4"/>
        <v>#DIV/0!</v>
      </c>
      <c r="R17" s="510" t="e">
        <f t="shared" si="5"/>
        <v>#DIV/0!</v>
      </c>
      <c r="T17" s="555"/>
      <c r="U17" s="101"/>
      <c r="V17" s="100"/>
      <c r="W17" s="100"/>
      <c r="X17" s="101"/>
    </row>
    <row r="18" spans="1:24" s="104" customFormat="1" ht="15" customHeight="1">
      <c r="A18" s="155" t="s">
        <v>339</v>
      </c>
      <c r="B18" s="155" t="s">
        <v>272</v>
      </c>
      <c r="C18" s="536">
        <f>SUMIF('4-Basis ruimtestaat'!B:B,'2-Kosten per locatie'!A18,'4-Basis ruimtestaat'!H:H)</f>
        <v>99.199999999999989</v>
      </c>
      <c r="D18" s="509">
        <f>_xlfn.MAXIFS('4-Basis ruimtestaat'!K:K,'4-Basis ruimtestaat'!B:B,'2-Kosten per locatie'!A18)</f>
        <v>26</v>
      </c>
      <c r="E18" s="512" t="e">
        <f>SUMIF('4-Basis ruimtestaat'!B:B,'2-Kosten per locatie'!A18,'4-Basis ruimtestaat'!M:M)</f>
        <v>#DIV/0!</v>
      </c>
      <c r="F18" s="559"/>
      <c r="G18" s="512">
        <f>SUMIF('4-Basis ruimtestaat'!B:B,'2-Kosten per locatie'!A18,'4-Basis ruimtestaat'!N:N)</f>
        <v>0</v>
      </c>
      <c r="H18" s="513"/>
      <c r="I18" s="506">
        <f>'1-Contractblad totaal'!$E$18</f>
        <v>0</v>
      </c>
      <c r="J18" s="505" t="e">
        <f t="shared" si="3"/>
        <v>#DIV/0!</v>
      </c>
      <c r="K18" s="282" t="e">
        <f>(E18+F18+G18+H18)*'1-Contractblad totaal'!$G$15</f>
        <v>#DIV/0!</v>
      </c>
      <c r="L18" s="510" t="e">
        <f>(J18)*'1-Contractblad totaal'!$G$18</f>
        <v>#DIV/0!</v>
      </c>
      <c r="M18" s="510">
        <f>+SUMIF('11-Machinekosten'!A:A,A18,'11-Machinekosten'!Q:Q)</f>
        <v>0</v>
      </c>
      <c r="N18" s="510">
        <f>+SUMIF('8-Additionele werkzaamheden'!A:A,A18,'8-Additionele werkzaamheden'!I:I)</f>
        <v>0</v>
      </c>
      <c r="O18" s="510">
        <f>SUMIF('10-Glasbewassing'!A:A,'2-Kosten per locatie'!A18,'10-Glasbewassing'!I:I)</f>
        <v>0</v>
      </c>
      <c r="P18" s="510">
        <f>+SUMIF('12-Sanitaire voorzieningen'!A:A,A18,'12-Sanitaire voorzieningen'!I:I)</f>
        <v>0</v>
      </c>
      <c r="Q18" s="510" t="e">
        <f t="shared" si="4"/>
        <v>#DIV/0!</v>
      </c>
      <c r="R18" s="510" t="e">
        <f t="shared" si="5"/>
        <v>#DIV/0!</v>
      </c>
      <c r="T18" s="555"/>
      <c r="U18" s="101"/>
      <c r="V18" s="100"/>
      <c r="W18" s="100"/>
      <c r="X18" s="101"/>
    </row>
    <row r="19" spans="1:24" s="104" customFormat="1" ht="15" customHeight="1">
      <c r="A19" s="155" t="s">
        <v>343</v>
      </c>
      <c r="B19" s="155" t="s">
        <v>344</v>
      </c>
      <c r="C19" s="536">
        <f>SUMIF('4-Basis ruimtestaat'!B:B,'2-Kosten per locatie'!A19,'4-Basis ruimtestaat'!H:H)</f>
        <v>103.5</v>
      </c>
      <c r="D19" s="509">
        <f>_xlfn.MAXIFS('4-Basis ruimtestaat'!K:K,'4-Basis ruimtestaat'!B:B,'2-Kosten per locatie'!A19)</f>
        <v>52</v>
      </c>
      <c r="E19" s="512" t="e">
        <f>SUMIF('4-Basis ruimtestaat'!B:B,'2-Kosten per locatie'!A19,'4-Basis ruimtestaat'!M:M)</f>
        <v>#DIV/0!</v>
      </c>
      <c r="F19" s="559"/>
      <c r="G19" s="512">
        <f>SUMIF('4-Basis ruimtestaat'!B:B,'2-Kosten per locatie'!A19,'4-Basis ruimtestaat'!N:N)</f>
        <v>0</v>
      </c>
      <c r="H19" s="513"/>
      <c r="I19" s="506">
        <f>'1-Contractblad totaal'!$E$18</f>
        <v>0</v>
      </c>
      <c r="J19" s="505" t="e">
        <f t="shared" si="3"/>
        <v>#DIV/0!</v>
      </c>
      <c r="K19" s="282" t="e">
        <f>(E19+F19+G19+H19)*'1-Contractblad totaal'!$G$15</f>
        <v>#DIV/0!</v>
      </c>
      <c r="L19" s="510" t="e">
        <f>(J19)*'1-Contractblad totaal'!$G$18</f>
        <v>#DIV/0!</v>
      </c>
      <c r="M19" s="510">
        <f>+SUMIF('11-Machinekosten'!A:A,A19,'11-Machinekosten'!Q:Q)</f>
        <v>0</v>
      </c>
      <c r="N19" s="510">
        <f>+SUMIF('8-Additionele werkzaamheden'!A:A,A19,'8-Additionele werkzaamheden'!I:I)</f>
        <v>0</v>
      </c>
      <c r="O19" s="510">
        <f>SUMIF('10-Glasbewassing'!A:A,'2-Kosten per locatie'!A19,'10-Glasbewassing'!I:I)</f>
        <v>0</v>
      </c>
      <c r="P19" s="510">
        <f>+SUMIF('12-Sanitaire voorzieningen'!A:A,A19,'12-Sanitaire voorzieningen'!I:I)</f>
        <v>0</v>
      </c>
      <c r="Q19" s="510" t="e">
        <f t="shared" si="4"/>
        <v>#DIV/0!</v>
      </c>
      <c r="R19" s="510" t="e">
        <f t="shared" si="5"/>
        <v>#DIV/0!</v>
      </c>
      <c r="T19" s="101"/>
      <c r="U19" s="101"/>
      <c r="V19" s="100"/>
      <c r="W19" s="100"/>
      <c r="X19" s="101"/>
    </row>
    <row r="20" spans="1:24" s="104" customFormat="1" ht="15" customHeight="1">
      <c r="A20" s="155" t="s">
        <v>380</v>
      </c>
      <c r="B20" s="155" t="s">
        <v>344</v>
      </c>
      <c r="C20" s="536">
        <f>SUMIF('4-Basis ruimtestaat'!B:B,'2-Kosten per locatie'!A20,'4-Basis ruimtestaat'!H:H)</f>
        <v>0</v>
      </c>
      <c r="D20" s="509">
        <f>_xlfn.MAXIFS('4-Basis ruimtestaat'!K:K,'4-Basis ruimtestaat'!B:B,'2-Kosten per locatie'!A20)</f>
        <v>0</v>
      </c>
      <c r="E20" s="512">
        <f>SUMIF('4-Basis ruimtestaat'!B:B,'2-Kosten per locatie'!A20,'4-Basis ruimtestaat'!M:M)</f>
        <v>0</v>
      </c>
      <c r="F20" s="559"/>
      <c r="G20" s="512">
        <f>SUMIF('4-Basis ruimtestaat'!B:B,'2-Kosten per locatie'!A20,'4-Basis ruimtestaat'!N:N)</f>
        <v>0</v>
      </c>
      <c r="H20" s="513"/>
      <c r="I20" s="506">
        <f>'1-Contractblad totaal'!$E$18</f>
        <v>0</v>
      </c>
      <c r="J20" s="505">
        <f t="shared" si="3"/>
        <v>0</v>
      </c>
      <c r="K20" s="282" t="e">
        <f>(E20+F20+G20+H20)*'1-Contractblad totaal'!$G$15</f>
        <v>#DIV/0!</v>
      </c>
      <c r="L20" s="510" t="e">
        <f>(J20)*'1-Contractblad totaal'!$G$18</f>
        <v>#DIV/0!</v>
      </c>
      <c r="M20" s="510">
        <f>+SUMIF('11-Machinekosten'!A:A,A20,'11-Machinekosten'!Q:Q)</f>
        <v>0</v>
      </c>
      <c r="N20" s="510">
        <f>+SUMIF('8-Additionele werkzaamheden'!A:A,A20,'8-Additionele werkzaamheden'!I:I)</f>
        <v>0</v>
      </c>
      <c r="O20" s="510">
        <f>SUMIF('10-Glasbewassing'!A:A,'2-Kosten per locatie'!A20,'10-Glasbewassing'!I:I)</f>
        <v>0</v>
      </c>
      <c r="P20" s="510">
        <f>+SUMIF('12-Sanitaire voorzieningen'!A:A,A20,'12-Sanitaire voorzieningen'!I:I)</f>
        <v>0</v>
      </c>
      <c r="Q20" s="510" t="e">
        <f t="shared" si="4"/>
        <v>#DIV/0!</v>
      </c>
      <c r="R20" s="510" t="e">
        <f t="shared" si="5"/>
        <v>#DIV/0!</v>
      </c>
      <c r="T20" s="101"/>
      <c r="U20" s="101"/>
      <c r="V20" s="100"/>
      <c r="W20" s="100"/>
      <c r="X20" s="101"/>
    </row>
    <row r="21" spans="1:24" s="106" customFormat="1" ht="15" customHeight="1">
      <c r="A21" s="105" t="s">
        <v>8</v>
      </c>
      <c r="B21" s="517"/>
      <c r="C21" s="538">
        <f>SUM(C11:C20)</f>
        <v>1122.1100000000001</v>
      </c>
      <c r="D21" s="491"/>
      <c r="E21" s="435" t="e">
        <f>SUM(E11:E20)</f>
        <v>#DIV/0!</v>
      </c>
      <c r="F21" s="435">
        <f>SUM(F11:F20)</f>
        <v>0</v>
      </c>
      <c r="G21" s="435">
        <f>SUM(G11:G20)</f>
        <v>0</v>
      </c>
      <c r="H21" s="435">
        <f>SUM(H11:H20)</f>
        <v>0</v>
      </c>
      <c r="I21" s="435"/>
      <c r="J21" s="435" t="e">
        <f t="shared" ref="J21:R21" si="6">SUM(J11:J20)</f>
        <v>#DIV/0!</v>
      </c>
      <c r="K21" s="511" t="e">
        <f t="shared" si="6"/>
        <v>#DIV/0!</v>
      </c>
      <c r="L21" s="511" t="e">
        <f t="shared" si="6"/>
        <v>#DIV/0!</v>
      </c>
      <c r="M21" s="511">
        <f t="shared" si="6"/>
        <v>0</v>
      </c>
      <c r="N21" s="511">
        <f t="shared" si="6"/>
        <v>0</v>
      </c>
      <c r="O21" s="511">
        <f t="shared" si="6"/>
        <v>0</v>
      </c>
      <c r="P21" s="511">
        <f t="shared" si="6"/>
        <v>0</v>
      </c>
      <c r="Q21" s="511" t="e">
        <f t="shared" si="6"/>
        <v>#DIV/0!</v>
      </c>
      <c r="R21" s="511" t="e">
        <f t="shared" si="6"/>
        <v>#DIV/0!</v>
      </c>
      <c r="T21" s="101"/>
      <c r="U21" s="101"/>
      <c r="V21" s="100"/>
      <c r="W21" s="100"/>
      <c r="X21" s="101"/>
    </row>
    <row r="22" spans="1:24" s="104" customFormat="1" ht="14.1" customHeight="1">
      <c r="V22" s="100"/>
    </row>
    <row r="25" spans="1:24" ht="14.1" customHeight="1">
      <c r="S25" s="104"/>
    </row>
  </sheetData>
  <mergeCells count="3">
    <mergeCell ref="E9:H9"/>
    <mergeCell ref="I9:J9"/>
    <mergeCell ref="K9:R9"/>
  </mergeCells>
  <printOptions horizontalCentered="1" gridLinesSet="0"/>
  <pageMargins left="0.19685039370078741" right="0.19685039370078741" top="0.59055118110236227" bottom="0.78740157480314965" header="0.39370078740157483" footer="0.19685039370078741"/>
  <pageSetup paperSize="9" scale="49" fitToHeight="0" orientation="landscape" r:id="rId1"/>
  <headerFooter alignWithMargins="0">
    <oddFooter>&amp;L&amp;"Verdana,Standaard"&amp;F-&amp;A
Atir b.v. ©&amp;R&amp;"Verdana,Standaard"printversie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0" tint="-0.14999847407452621"/>
  </sheetPr>
  <dimension ref="A1:S28"/>
  <sheetViews>
    <sheetView showGridLines="0" zoomScaleNormal="100" workbookViewId="0">
      <pane ySplit="9" topLeftCell="A10" activePane="bottomLeft" state="frozen"/>
      <selection activeCell="A6" sqref="A6:F6"/>
      <selection pane="bottomLeft" activeCell="B10" sqref="B10:G18"/>
    </sheetView>
  </sheetViews>
  <sheetFormatPr defaultColWidth="9.140625" defaultRowHeight="13.5"/>
  <cols>
    <col min="1" max="1" width="28.85546875" style="3" bestFit="1" customWidth="1"/>
    <col min="2" max="2" width="9.140625" style="3" customWidth="1"/>
    <col min="3" max="5" width="9.140625" style="3"/>
    <col min="6" max="6" width="9.140625" style="3" customWidth="1"/>
    <col min="7" max="7" width="10.7109375" style="3" bestFit="1" customWidth="1"/>
    <col min="8" max="8" width="2.140625" style="3" customWidth="1"/>
    <col min="9" max="9" width="9.140625" style="110"/>
    <col min="10" max="10" width="2.28515625" style="3" customWidth="1"/>
    <col min="11" max="11" width="9.140625" style="110"/>
    <col min="12" max="12" width="10.140625" style="3" customWidth="1"/>
    <col min="13" max="13" width="9.85546875" style="3" customWidth="1"/>
    <col min="14" max="15" width="9.140625" style="3"/>
    <col min="16" max="16" width="16.140625" style="3" customWidth="1"/>
    <col min="17" max="18" width="9.140625" style="3"/>
    <col min="19" max="19" width="30.42578125" style="3" customWidth="1"/>
    <col min="20" max="16384" width="9.140625" style="3"/>
  </cols>
  <sheetData>
    <row r="1" spans="1:19">
      <c r="A1" s="405" t="s">
        <v>27</v>
      </c>
    </row>
    <row r="3" spans="1:19" ht="17.25">
      <c r="A3" s="135" t="str">
        <f>'1-Contractblad totaal'!A3</f>
        <v>Naam opdrachtgever</v>
      </c>
      <c r="B3" s="136" t="str">
        <f>'1-Contractblad totaal'!B3</f>
        <v>Hoogheemraadschap De Stichtse Rijnlanden</v>
      </c>
      <c r="C3" s="404"/>
    </row>
    <row r="4" spans="1:19" ht="17.25">
      <c r="A4" s="488" t="s">
        <v>14</v>
      </c>
      <c r="B4" s="136" t="str">
        <f ca="1">MID(CELL("bestandsnaam",$B$7),SEARCH("]",CELL("bestandsnaam",$B$7),1)+1,256)</f>
        <v>3-Productie normen</v>
      </c>
      <c r="C4" s="136"/>
    </row>
    <row r="5" spans="1:19" ht="17.25">
      <c r="A5" s="135" t="str">
        <f>'1-Contractblad totaal'!A5</f>
        <v>Gebouw/plaats</v>
      </c>
      <c r="B5" s="136" t="str">
        <f>'1-Contractblad totaal'!B5</f>
        <v>Divers</v>
      </c>
      <c r="C5" s="136"/>
    </row>
    <row r="6" spans="1:19" ht="17.25">
      <c r="A6" s="135" t="str">
        <f>'1-Contractblad totaal'!A8</f>
        <v>Naam dienstverlener</v>
      </c>
      <c r="B6" s="136" t="str">
        <f>'1-Contractblad totaal'!B6</f>
        <v>Invoer</v>
      </c>
      <c r="C6" s="136"/>
      <c r="E6" s="402" t="s">
        <v>201</v>
      </c>
      <c r="F6" s="403"/>
      <c r="G6" s="133" t="e">
        <f>SUM('4-Basis ruimtestaat'!T:T)/SUM('4-Basis ruimtestaat'!M:N)</f>
        <v>#DIV/0!</v>
      </c>
      <c r="H6" s="403"/>
      <c r="I6" s="134" t="s">
        <v>202</v>
      </c>
    </row>
    <row r="7" spans="1:19">
      <c r="A7" s="111"/>
      <c r="B7" s="112"/>
      <c r="C7" s="112"/>
      <c r="D7" s="113"/>
      <c r="E7" s="114"/>
      <c r="F7" s="114"/>
      <c r="G7" s="115"/>
      <c r="H7" s="117"/>
      <c r="I7" s="118"/>
      <c r="J7" s="117"/>
      <c r="K7" s="118"/>
      <c r="L7" s="116"/>
      <c r="O7" s="117"/>
      <c r="P7" s="117"/>
      <c r="Q7" s="117"/>
    </row>
    <row r="8" spans="1:19" ht="27.75" customHeight="1">
      <c r="A8" s="130" t="s">
        <v>111</v>
      </c>
      <c r="B8" s="131">
        <v>26</v>
      </c>
      <c r="C8" s="131">
        <v>52</v>
      </c>
      <c r="D8" s="131">
        <v>104</v>
      </c>
      <c r="E8" s="131">
        <v>156</v>
      </c>
      <c r="F8" s="131">
        <v>208</v>
      </c>
      <c r="G8" s="131">
        <v>255</v>
      </c>
      <c r="H8" s="117"/>
      <c r="L8" s="406" t="s">
        <v>370</v>
      </c>
      <c r="O8" s="119"/>
      <c r="P8" s="119"/>
      <c r="Q8" s="119"/>
    </row>
    <row r="9" spans="1:19" ht="30" customHeight="1">
      <c r="A9" s="396" t="s">
        <v>61</v>
      </c>
      <c r="B9" s="600" t="s">
        <v>132</v>
      </c>
      <c r="C9" s="601"/>
      <c r="D9" s="601"/>
      <c r="E9" s="601"/>
      <c r="F9" s="601"/>
      <c r="G9" s="601"/>
      <c r="H9" s="117"/>
      <c r="I9" s="395" t="s">
        <v>112</v>
      </c>
      <c r="J9" s="111"/>
      <c r="K9" s="395" t="s">
        <v>204</v>
      </c>
      <c r="L9" s="132" t="s">
        <v>199</v>
      </c>
      <c r="O9" s="119"/>
    </row>
    <row r="10" spans="1:19" ht="14.25" thickBot="1">
      <c r="A10" s="464" t="s">
        <v>213</v>
      </c>
      <c r="B10" s="409"/>
      <c r="C10" s="409"/>
      <c r="D10" s="409"/>
      <c r="E10" s="409"/>
      <c r="F10" s="409"/>
      <c r="G10" s="409"/>
      <c r="H10" s="117"/>
      <c r="I10" s="121" t="s">
        <v>118</v>
      </c>
      <c r="J10" s="117"/>
      <c r="K10" s="397">
        <f>SUMIF('4-Basis ruimtestaat'!F:F,'3-Productie normen'!A10,'4-Basis ruimtestaat'!H:H)</f>
        <v>369.5</v>
      </c>
      <c r="O10" s="389"/>
      <c r="P10" s="389"/>
      <c r="Q10" s="389"/>
      <c r="R10" s="390"/>
    </row>
    <row r="11" spans="1:19" ht="14.25" thickTop="1">
      <c r="A11" s="464" t="s">
        <v>104</v>
      </c>
      <c r="B11" s="409"/>
      <c r="C11" s="409"/>
      <c r="D11" s="409"/>
      <c r="E11" s="409"/>
      <c r="F11" s="463"/>
      <c r="G11" s="409"/>
      <c r="H11" s="117"/>
      <c r="I11" s="121" t="s">
        <v>119</v>
      </c>
      <c r="J11" s="117"/>
      <c r="K11" s="397">
        <f>SUMIF('4-Basis ruimtestaat'!F:F,'3-Productie normen'!A11,'4-Basis ruimtestaat'!H:H)</f>
        <v>8.3000000000000007</v>
      </c>
      <c r="N11" s="392"/>
      <c r="O11" s="117"/>
      <c r="P11" s="117"/>
      <c r="Q11" s="117"/>
      <c r="R11" s="391"/>
      <c r="S11" s="479"/>
    </row>
    <row r="12" spans="1:19">
      <c r="A12" s="464" t="s">
        <v>259</v>
      </c>
      <c r="B12" s="409"/>
      <c r="C12" s="409"/>
      <c r="D12" s="463"/>
      <c r="E12" s="463"/>
      <c r="F12" s="463"/>
      <c r="G12" s="409"/>
      <c r="H12" s="117"/>
      <c r="I12" s="121" t="s">
        <v>350</v>
      </c>
      <c r="J12" s="117"/>
      <c r="K12" s="397">
        <f>SUMIF('4-Basis ruimtestaat'!F:F,'3-Productie normen'!A12,'4-Basis ruimtestaat'!H:H)</f>
        <v>0</v>
      </c>
      <c r="N12" s="392"/>
      <c r="P12" s="137" t="s">
        <v>113</v>
      </c>
      <c r="Q12" s="138" t="s">
        <v>197</v>
      </c>
      <c r="R12" s="392"/>
      <c r="S12" s="480" t="s">
        <v>232</v>
      </c>
    </row>
    <row r="13" spans="1:19">
      <c r="A13" s="120" t="s">
        <v>214</v>
      </c>
      <c r="B13" s="409"/>
      <c r="C13" s="409"/>
      <c r="D13" s="409"/>
      <c r="E13" s="409"/>
      <c r="F13" s="409"/>
      <c r="G13" s="409"/>
      <c r="H13" s="117"/>
      <c r="I13" s="121" t="s">
        <v>119</v>
      </c>
      <c r="J13" s="117"/>
      <c r="K13" s="397">
        <f>SUMIF('4-Basis ruimtestaat'!F:F,'3-Productie normen'!A13,'4-Basis ruimtestaat'!H:H)</f>
        <v>159.80000000000001</v>
      </c>
      <c r="N13" s="392"/>
      <c r="P13" s="124">
        <v>26</v>
      </c>
      <c r="Q13" s="139">
        <v>2</v>
      </c>
      <c r="R13" s="392"/>
      <c r="S13" s="481" t="s">
        <v>396</v>
      </c>
    </row>
    <row r="14" spans="1:19">
      <c r="A14" s="464" t="s">
        <v>17</v>
      </c>
      <c r="B14" s="409"/>
      <c r="C14" s="409"/>
      <c r="D14" s="409"/>
      <c r="E14" s="409"/>
      <c r="F14" s="463"/>
      <c r="G14" s="409"/>
      <c r="H14" s="117"/>
      <c r="I14" s="121" t="s">
        <v>120</v>
      </c>
      <c r="J14" s="117"/>
      <c r="K14" s="397">
        <f>SUMIF('4-Basis ruimtestaat'!F:F,'3-Productie normen'!A14,'4-Basis ruimtestaat'!H:H)</f>
        <v>43.809999999999995</v>
      </c>
      <c r="N14" s="392"/>
      <c r="P14" s="124">
        <v>52</v>
      </c>
      <c r="Q14" s="139">
        <v>3</v>
      </c>
      <c r="R14" s="392"/>
      <c r="S14" s="481" t="s">
        <v>233</v>
      </c>
    </row>
    <row r="15" spans="1:19">
      <c r="A15" s="464" t="s">
        <v>269</v>
      </c>
      <c r="B15" s="409"/>
      <c r="C15" s="409"/>
      <c r="D15" s="409"/>
      <c r="E15" s="409"/>
      <c r="F15" s="463"/>
      <c r="G15" s="463"/>
      <c r="H15" s="117"/>
      <c r="I15" s="121" t="s">
        <v>119</v>
      </c>
      <c r="J15" s="117"/>
      <c r="K15" s="397">
        <f>SUMIF('4-Basis ruimtestaat'!F:F,'3-Productie normen'!A15,'4-Basis ruimtestaat'!H:H)</f>
        <v>8.9</v>
      </c>
      <c r="N15" s="392"/>
      <c r="P15" s="124">
        <v>104</v>
      </c>
      <c r="Q15" s="139">
        <v>4</v>
      </c>
      <c r="R15" s="392"/>
      <c r="S15" s="481" t="s">
        <v>235</v>
      </c>
    </row>
    <row r="16" spans="1:19">
      <c r="A16" s="464" t="s">
        <v>345</v>
      </c>
      <c r="B16" s="409"/>
      <c r="C16" s="409"/>
      <c r="D16" s="409"/>
      <c r="E16" s="409"/>
      <c r="F16" s="409"/>
      <c r="G16" s="409"/>
      <c r="H16" s="117"/>
      <c r="I16" s="121" t="s">
        <v>118</v>
      </c>
      <c r="J16" s="117"/>
      <c r="K16" s="397">
        <f>SUMIF('4-Basis ruimtestaat'!F:F,'3-Productie normen'!A16,'4-Basis ruimtestaat'!H:H)</f>
        <v>200.8</v>
      </c>
      <c r="N16" s="392"/>
      <c r="P16" s="124">
        <v>156</v>
      </c>
      <c r="Q16" s="139">
        <v>5</v>
      </c>
      <c r="R16" s="392"/>
      <c r="S16" s="481" t="s">
        <v>397</v>
      </c>
    </row>
    <row r="17" spans="1:19">
      <c r="A17" s="120"/>
      <c r="B17" s="463"/>
      <c r="C17" s="463"/>
      <c r="D17" s="463"/>
      <c r="E17" s="463"/>
      <c r="F17" s="463"/>
      <c r="G17" s="578"/>
      <c r="H17" s="117"/>
      <c r="I17" s="121"/>
      <c r="J17" s="117"/>
      <c r="K17" s="397"/>
      <c r="N17" s="392"/>
      <c r="P17" s="124">
        <v>208</v>
      </c>
      <c r="Q17" s="139">
        <v>6</v>
      </c>
      <c r="R17" s="392"/>
      <c r="S17" s="481" t="s">
        <v>398</v>
      </c>
    </row>
    <row r="18" spans="1:19">
      <c r="A18" s="120"/>
      <c r="B18" s="463"/>
      <c r="C18" s="463"/>
      <c r="D18" s="463"/>
      <c r="E18" s="463"/>
      <c r="F18" s="463"/>
      <c r="G18" s="463"/>
      <c r="H18" s="117"/>
      <c r="I18" s="121"/>
      <c r="J18" s="117"/>
      <c r="K18" s="397"/>
      <c r="N18" s="392"/>
      <c r="P18" s="125">
        <v>255</v>
      </c>
      <c r="Q18" s="139">
        <v>7</v>
      </c>
      <c r="R18" s="392"/>
      <c r="S18" s="481" t="s">
        <v>234</v>
      </c>
    </row>
    <row r="19" spans="1:19" ht="14.25" thickBot="1">
      <c r="A19" s="120"/>
      <c r="B19" s="463"/>
      <c r="C19" s="463"/>
      <c r="D19" s="463"/>
      <c r="E19" s="463"/>
      <c r="F19" s="463"/>
      <c r="G19" s="463"/>
      <c r="H19" s="117"/>
      <c r="I19" s="121"/>
      <c r="J19" s="117"/>
      <c r="K19" s="397"/>
      <c r="N19" s="392"/>
      <c r="O19" s="390"/>
      <c r="P19" s="390"/>
      <c r="Q19" s="390"/>
      <c r="R19" s="393"/>
      <c r="S19" s="482"/>
    </row>
    <row r="20" spans="1:19">
      <c r="A20" s="120" t="s">
        <v>387</v>
      </c>
      <c r="B20" s="463"/>
      <c r="C20" s="463"/>
      <c r="D20" s="463"/>
      <c r="E20" s="463"/>
      <c r="F20" s="463"/>
      <c r="G20" s="463"/>
      <c r="H20" s="117"/>
      <c r="I20" s="121"/>
      <c r="J20" s="117"/>
      <c r="K20" s="397">
        <f>SUMIF('4-Basis ruimtestaat'!F:F,'3-Productie normen'!A20,'4-Basis ruimtestaat'!H:H)</f>
        <v>0</v>
      </c>
      <c r="N20" s="483"/>
    </row>
    <row r="21" spans="1:19">
      <c r="A21" s="120" t="s">
        <v>270</v>
      </c>
      <c r="B21" s="463"/>
      <c r="C21" s="463"/>
      <c r="D21" s="463"/>
      <c r="E21" s="463"/>
      <c r="F21" s="463"/>
      <c r="G21" s="463"/>
      <c r="H21" s="117"/>
      <c r="I21" s="121"/>
      <c r="J21" s="117"/>
      <c r="K21" s="397">
        <f>SUMIF('4-Basis ruimtestaat'!F:F,'3-Productie normen'!A21,'4-Basis ruimtestaat'!H:H)</f>
        <v>331</v>
      </c>
      <c r="N21" s="117"/>
    </row>
    <row r="22" spans="1:19">
      <c r="A22" s="120" t="s">
        <v>114</v>
      </c>
      <c r="B22" s="463"/>
      <c r="C22" s="463"/>
      <c r="D22" s="463"/>
      <c r="E22" s="463"/>
      <c r="F22" s="463"/>
      <c r="G22" s="463"/>
      <c r="H22" s="117"/>
      <c r="I22" s="121"/>
      <c r="J22" s="117"/>
      <c r="K22" s="397">
        <f>SUMIF('4-Basis ruimtestaat'!F:F,'3-Productie normen'!A22,'4-Basis ruimtestaat'!H:H)</f>
        <v>0</v>
      </c>
      <c r="N22" s="117"/>
      <c r="O22" s="119"/>
      <c r="P22" s="117"/>
      <c r="Q22" s="117"/>
    </row>
    <row r="23" spans="1:19">
      <c r="A23" s="120"/>
      <c r="B23" s="122"/>
      <c r="C23" s="122"/>
      <c r="D23" s="122"/>
      <c r="E23" s="122"/>
      <c r="F23" s="122"/>
      <c r="G23" s="122"/>
      <c r="H23" s="117"/>
      <c r="I23" s="121"/>
      <c r="J23" s="117"/>
      <c r="K23" s="397"/>
      <c r="N23" s="117"/>
      <c r="O23" s="117"/>
      <c r="P23" s="117"/>
      <c r="Q23" s="117"/>
    </row>
    <row r="24" spans="1:19">
      <c r="A24" s="398" t="s">
        <v>8</v>
      </c>
      <c r="B24" s="252"/>
      <c r="C24" s="252"/>
      <c r="D24" s="252"/>
      <c r="E24" s="252"/>
      <c r="F24" s="252"/>
      <c r="G24" s="252"/>
      <c r="H24" s="399"/>
      <c r="I24" s="400"/>
      <c r="J24" s="399"/>
      <c r="K24" s="401">
        <f>SUM(K10:K23)</f>
        <v>1122.1099999999999</v>
      </c>
      <c r="N24" s="117"/>
      <c r="O24" s="117"/>
      <c r="P24" s="117"/>
      <c r="Q24" s="117"/>
    </row>
    <row r="25" spans="1:19">
      <c r="I25" s="3"/>
      <c r="K25" s="3"/>
      <c r="N25" s="117"/>
      <c r="O25" s="117"/>
      <c r="P25" s="117"/>
      <c r="Q25" s="117"/>
    </row>
    <row r="26" spans="1:19">
      <c r="I26" s="3"/>
      <c r="K26" s="3"/>
      <c r="N26" s="117"/>
    </row>
    <row r="27" spans="1:19">
      <c r="A27" s="128" t="s">
        <v>200</v>
      </c>
      <c r="B27" s="129">
        <v>2</v>
      </c>
      <c r="C27" s="129">
        <v>3</v>
      </c>
      <c r="D27" s="129">
        <v>4</v>
      </c>
      <c r="E27" s="129">
        <v>5</v>
      </c>
      <c r="F27" s="129">
        <v>6</v>
      </c>
      <c r="G27" s="129">
        <v>7</v>
      </c>
      <c r="H27" s="117"/>
      <c r="J27" s="117"/>
      <c r="N27" s="117"/>
    </row>
    <row r="28" spans="1:19">
      <c r="H28" s="117"/>
      <c r="J28" s="117"/>
    </row>
  </sheetData>
  <mergeCells count="1">
    <mergeCell ref="B9:G9"/>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T278"/>
  <sheetViews>
    <sheetView showGridLines="0" showZeros="0" zoomScale="85" zoomScaleNormal="85" zoomScalePageLayoutView="75" workbookViewId="0">
      <pane xSplit="2" ySplit="9" topLeftCell="C34" activePane="bottomRight" state="frozen"/>
      <selection activeCell="A6" sqref="A6:F6"/>
      <selection pane="topRight" activeCell="A6" sqref="A6:F6"/>
      <selection pane="bottomLeft" activeCell="A6" sqref="A6:F6"/>
      <selection pane="bottomRight" activeCell="C10" sqref="C10"/>
    </sheetView>
  </sheetViews>
  <sheetFormatPr defaultColWidth="8.7109375" defaultRowHeight="14.1" customHeight="1"/>
  <cols>
    <col min="1" max="1" width="5" style="3" bestFit="1" customWidth="1"/>
    <col min="2" max="2" width="32.42578125" style="3" bestFit="1" customWidth="1"/>
    <col min="3" max="3" width="17.28515625" style="3" customWidth="1"/>
    <col min="4" max="4" width="15" style="3" bestFit="1" customWidth="1"/>
    <col min="5" max="5" width="38.5703125" style="3" bestFit="1" customWidth="1"/>
    <col min="6" max="6" width="29.7109375" style="3" customWidth="1"/>
    <col min="7" max="7" width="25" style="3" bestFit="1" customWidth="1"/>
    <col min="8" max="8" width="8.7109375" style="3" bestFit="1" customWidth="1"/>
    <col min="9" max="10" width="10.28515625" style="411" customWidth="1"/>
    <col min="11" max="12" width="9.140625" style="172" customWidth="1"/>
    <col min="13" max="14" width="12.5703125" style="3" bestFit="1" customWidth="1"/>
    <col min="15" max="15" width="12" style="3" bestFit="1" customWidth="1"/>
    <col min="16" max="16" width="16.7109375" style="3" customWidth="1"/>
    <col min="17" max="17" width="9.28515625" style="3" customWidth="1"/>
    <col min="18" max="18" width="47.85546875" style="527" bestFit="1" customWidth="1"/>
    <col min="19" max="19" width="3" style="3" customWidth="1"/>
    <col min="20" max="20" width="11.140625" style="3" customWidth="1"/>
    <col min="21" max="21" width="15.5703125" style="3" bestFit="1" customWidth="1"/>
    <col min="22" max="16384" width="8.7109375" style="3"/>
  </cols>
  <sheetData>
    <row r="1" spans="1:20" ht="13.5">
      <c r="B1" s="405" t="s">
        <v>27</v>
      </c>
      <c r="I1" s="110"/>
      <c r="J1" s="110"/>
      <c r="K1" s="3"/>
      <c r="L1" s="110"/>
    </row>
    <row r="2" spans="1:20" ht="14.1" customHeight="1">
      <c r="A2" s="141">
        <v>2</v>
      </c>
      <c r="B2" s="142"/>
      <c r="C2" s="142"/>
      <c r="D2" s="143"/>
      <c r="E2" s="144"/>
      <c r="I2" s="3"/>
      <c r="J2" s="3"/>
      <c r="K2" s="147"/>
      <c r="L2" s="147"/>
      <c r="M2" s="145"/>
      <c r="N2" s="145"/>
      <c r="O2" s="148"/>
      <c r="P2" s="148"/>
      <c r="Q2" s="144"/>
      <c r="R2" s="528"/>
    </row>
    <row r="3" spans="1:20" ht="14.1" customHeight="1">
      <c r="A3" s="141">
        <v>3</v>
      </c>
      <c r="B3" s="108" t="str">
        <f>'1-Contractblad totaal'!A3</f>
        <v>Naam opdrachtgever</v>
      </c>
      <c r="C3" s="136" t="str">
        <f>'1-Contractblad totaal'!B3</f>
        <v>Hoogheemraadschap De Stichtse Rijnlanden</v>
      </c>
      <c r="I3" s="3"/>
      <c r="J3" s="3"/>
      <c r="K3" s="147"/>
      <c r="L3" s="147"/>
      <c r="M3" s="145"/>
      <c r="N3" s="145"/>
      <c r="O3" s="148"/>
      <c r="P3" s="148"/>
      <c r="Q3" s="144"/>
      <c r="R3" s="528"/>
    </row>
    <row r="4" spans="1:20" ht="14.1" customHeight="1">
      <c r="A4" s="141">
        <v>4</v>
      </c>
      <c r="B4" s="108" t="str">
        <f>'1-Contractblad totaal'!A4</f>
        <v>Calculatie onderdeel</v>
      </c>
      <c r="C4" s="136" t="str">
        <f ca="1">MID(CELL("bestandsnaam",$D$9),SEARCH("]",CELL("bestandsnaam",$D$9),1)+1,256)</f>
        <v>4-Basis ruimtestaat</v>
      </c>
      <c r="I4" s="3"/>
      <c r="J4" s="3"/>
      <c r="K4" s="147"/>
      <c r="L4" s="147"/>
      <c r="M4" s="145"/>
      <c r="N4" s="145"/>
      <c r="O4" s="148"/>
      <c r="P4" s="148"/>
      <c r="Q4" s="144"/>
      <c r="R4" s="528"/>
    </row>
    <row r="5" spans="1:20" ht="14.1" customHeight="1">
      <c r="A5" s="141">
        <v>5</v>
      </c>
      <c r="B5" s="108" t="str">
        <f>'1-Contractblad totaal'!A5</f>
        <v>Gebouw/plaats</v>
      </c>
      <c r="C5" s="136" t="str">
        <f>'1-Contractblad totaal'!B5</f>
        <v>Divers</v>
      </c>
      <c r="E5" s="478"/>
      <c r="F5" s="577"/>
      <c r="G5" s="577"/>
      <c r="H5" s="577"/>
      <c r="I5" s="3"/>
      <c r="J5" s="3"/>
      <c r="K5" s="147"/>
      <c r="L5" s="147"/>
      <c r="M5" s="145"/>
      <c r="N5" s="145"/>
      <c r="O5" s="148"/>
      <c r="P5" s="148"/>
      <c r="Q5" s="144"/>
      <c r="R5" s="528"/>
    </row>
    <row r="6" spans="1:20" ht="14.1" customHeight="1">
      <c r="A6" s="141">
        <v>6</v>
      </c>
      <c r="B6" s="108" t="str">
        <f>'1-Contractblad totaal'!A6</f>
        <v>Referentie nummer</v>
      </c>
      <c r="C6" s="136" t="str">
        <f>'1-Contractblad totaal'!B6</f>
        <v>Invoer</v>
      </c>
      <c r="I6" s="3"/>
      <c r="J6" s="3"/>
      <c r="K6" s="147"/>
      <c r="L6" s="147"/>
      <c r="M6" s="145"/>
      <c r="N6" s="145"/>
      <c r="O6" s="148"/>
      <c r="P6" s="602" t="s">
        <v>115</v>
      </c>
      <c r="Q6" s="144"/>
      <c r="R6" s="528"/>
    </row>
    <row r="7" spans="1:20" ht="12.75" customHeight="1">
      <c r="A7" s="141">
        <v>7</v>
      </c>
      <c r="B7" s="108" t="str">
        <f>'1-Contractblad totaal'!A8</f>
        <v>Naam dienstverlener</v>
      </c>
      <c r="C7" s="136">
        <f>'1-Contractblad totaal'!B8</f>
        <v>0</v>
      </c>
      <c r="I7" s="3"/>
      <c r="J7" s="3"/>
      <c r="K7" s="147"/>
      <c r="L7" s="147"/>
      <c r="M7" s="145"/>
      <c r="N7" s="145"/>
      <c r="O7" s="148"/>
      <c r="P7" s="603"/>
      <c r="Q7" s="144"/>
      <c r="R7" s="528"/>
    </row>
    <row r="8" spans="1:20" ht="14.1" customHeight="1">
      <c r="A8" s="141">
        <v>8</v>
      </c>
      <c r="B8" s="144"/>
      <c r="C8" s="144"/>
      <c r="D8" s="143"/>
      <c r="E8" s="144"/>
      <c r="F8" s="144"/>
      <c r="G8" s="145"/>
      <c r="H8" s="146"/>
      <c r="I8" s="468"/>
      <c r="J8" s="468"/>
      <c r="K8" s="147"/>
      <c r="L8" s="147"/>
      <c r="M8" s="145"/>
      <c r="N8" s="145"/>
      <c r="O8" s="145"/>
      <c r="P8" s="149" t="str">
        <f>'3-Productie normen'!L8</f>
        <v>nvt</v>
      </c>
      <c r="Q8" s="144"/>
      <c r="R8" s="528"/>
    </row>
    <row r="9" spans="1:20" ht="44.1" customHeight="1">
      <c r="A9" s="141">
        <v>9</v>
      </c>
      <c r="B9" s="150" t="s">
        <v>91</v>
      </c>
      <c r="C9" s="150" t="s">
        <v>395</v>
      </c>
      <c r="D9" s="150" t="s">
        <v>394</v>
      </c>
      <c r="E9" s="150" t="s">
        <v>96</v>
      </c>
      <c r="F9" s="150" t="s">
        <v>97</v>
      </c>
      <c r="G9" s="151" t="s">
        <v>98</v>
      </c>
      <c r="H9" s="152" t="s">
        <v>99</v>
      </c>
      <c r="I9" s="153" t="s">
        <v>222</v>
      </c>
      <c r="J9" s="153" t="s">
        <v>223</v>
      </c>
      <c r="K9" s="153" t="s">
        <v>195</v>
      </c>
      <c r="L9" s="153" t="s">
        <v>194</v>
      </c>
      <c r="M9" s="154" t="s">
        <v>100</v>
      </c>
      <c r="N9" s="154" t="s">
        <v>198</v>
      </c>
      <c r="O9" s="154" t="s">
        <v>116</v>
      </c>
      <c r="P9" s="154" t="s">
        <v>196</v>
      </c>
      <c r="Q9" s="412" t="s">
        <v>101</v>
      </c>
      <c r="R9" s="529" t="s">
        <v>212</v>
      </c>
      <c r="S9" s="140"/>
      <c r="T9" s="412" t="s">
        <v>102</v>
      </c>
    </row>
    <row r="10" spans="1:20" ht="14.1" customHeight="1">
      <c r="A10" s="141">
        <v>10</v>
      </c>
      <c r="B10" s="155" t="s">
        <v>278</v>
      </c>
      <c r="C10" s="155" t="s">
        <v>351</v>
      </c>
      <c r="D10" s="127" t="s">
        <v>103</v>
      </c>
      <c r="E10" s="123" t="s">
        <v>277</v>
      </c>
      <c r="F10" s="123" t="s">
        <v>214</v>
      </c>
      <c r="G10" s="123" t="s">
        <v>105</v>
      </c>
      <c r="H10" s="534">
        <v>24</v>
      </c>
      <c r="I10" s="453">
        <v>1</v>
      </c>
      <c r="J10" s="453">
        <v>1</v>
      </c>
      <c r="K10" s="156">
        <v>52</v>
      </c>
      <c r="L10" s="156"/>
      <c r="M10" s="157" t="e">
        <f t="shared" ref="M10:M17" si="0">IF(K10="nio",0,IF(K10&gt;0,K10*H10/O10,0))*I10</f>
        <v>#DIV/0!</v>
      </c>
      <c r="N10" s="157">
        <f t="shared" ref="N10:N17" si="1">IF(L10&gt;0,L10*H10/P10,0)*J10</f>
        <v>0</v>
      </c>
      <c r="O10" s="158">
        <f>IF(K10="nio",0,IF(K10&gt;0,VLOOKUP(F10,'3-Productie normen'!A:M,VLOOKUP(K10,'3-Productie normen'!P:Q,2,FALSE),FALSE)))</f>
        <v>0</v>
      </c>
      <c r="P10" s="158">
        <f t="shared" ref="P10:P17" si="2">IF(L10&gt;0,O10*$P$8,0)</f>
        <v>0</v>
      </c>
      <c r="Q10" s="159" t="str">
        <f>VLOOKUP(F10,'3-Productie normen'!A:I,9,FALSE)</f>
        <v>V</v>
      </c>
      <c r="R10" s="526"/>
      <c r="T10" s="126">
        <f t="shared" ref="T10:T17" si="3">SUM(K10:L10)*H10</f>
        <v>1248</v>
      </c>
    </row>
    <row r="11" spans="1:20" ht="14.1" customHeight="1">
      <c r="A11" s="141">
        <v>11</v>
      </c>
      <c r="B11" s="155" t="s">
        <v>278</v>
      </c>
      <c r="C11" s="155" t="s">
        <v>351</v>
      </c>
      <c r="D11" s="127" t="s">
        <v>103</v>
      </c>
      <c r="E11" s="123" t="s">
        <v>271</v>
      </c>
      <c r="F11" s="155" t="s">
        <v>17</v>
      </c>
      <c r="G11" s="504"/>
      <c r="H11" s="535"/>
      <c r="I11" s="453">
        <v>1</v>
      </c>
      <c r="J11" s="453">
        <v>1</v>
      </c>
      <c r="K11" s="156">
        <v>52</v>
      </c>
      <c r="L11" s="156"/>
      <c r="M11" s="157" t="e">
        <f t="shared" si="0"/>
        <v>#DIV/0!</v>
      </c>
      <c r="N11" s="157">
        <f t="shared" si="1"/>
        <v>0</v>
      </c>
      <c r="O11" s="158">
        <f>IF(K11="nio",0,IF(K11&gt;0,VLOOKUP(F11,'3-Productie normen'!A:M,VLOOKUP(K11,'3-Productie normen'!P:Q,2,FALSE),FALSE)))</f>
        <v>0</v>
      </c>
      <c r="P11" s="158">
        <f t="shared" si="2"/>
        <v>0</v>
      </c>
      <c r="Q11" s="159" t="str">
        <f>VLOOKUP(F11,'3-Productie normen'!A:I,9,FALSE)</f>
        <v>S</v>
      </c>
      <c r="R11" s="526"/>
      <c r="T11" s="126">
        <f t="shared" si="3"/>
        <v>0</v>
      </c>
    </row>
    <row r="12" spans="1:20" ht="14.1" customHeight="1">
      <c r="A12" s="141">
        <v>12</v>
      </c>
      <c r="B12" s="155" t="s">
        <v>285</v>
      </c>
      <c r="C12" s="155" t="s">
        <v>351</v>
      </c>
      <c r="D12" s="127" t="s">
        <v>103</v>
      </c>
      <c r="E12" s="161" t="s">
        <v>266</v>
      </c>
      <c r="F12" s="123" t="s">
        <v>345</v>
      </c>
      <c r="G12" s="123" t="s">
        <v>336</v>
      </c>
      <c r="H12" s="534">
        <v>41</v>
      </c>
      <c r="I12" s="453">
        <v>1</v>
      </c>
      <c r="J12" s="453">
        <v>1</v>
      </c>
      <c r="K12" s="156">
        <v>52</v>
      </c>
      <c r="L12" s="156"/>
      <c r="M12" s="157" t="e">
        <f t="shared" si="0"/>
        <v>#DIV/0!</v>
      </c>
      <c r="N12" s="157">
        <f t="shared" si="1"/>
        <v>0</v>
      </c>
      <c r="O12" s="158">
        <f>IF(K12="nio",0,IF(K12&gt;0,VLOOKUP(F12,'3-Productie normen'!A:M,VLOOKUP(K12,'3-Productie normen'!P:Q,2,FALSE),FALSE)))</f>
        <v>0</v>
      </c>
      <c r="P12" s="158">
        <f t="shared" si="2"/>
        <v>0</v>
      </c>
      <c r="Q12" s="159" t="str">
        <f>VLOOKUP(F12,'3-Productie normen'!A:I,9,FALSE)</f>
        <v>B</v>
      </c>
      <c r="R12" s="526"/>
      <c r="T12" s="126">
        <f t="shared" si="3"/>
        <v>2132</v>
      </c>
    </row>
    <row r="13" spans="1:20" ht="14.1" customHeight="1">
      <c r="A13" s="141">
        <v>13</v>
      </c>
      <c r="B13" s="155" t="s">
        <v>285</v>
      </c>
      <c r="C13" s="155" t="s">
        <v>351</v>
      </c>
      <c r="D13" s="127" t="s">
        <v>103</v>
      </c>
      <c r="E13" s="123" t="s">
        <v>261</v>
      </c>
      <c r="F13" s="123" t="s">
        <v>345</v>
      </c>
      <c r="G13" s="162" t="s">
        <v>283</v>
      </c>
      <c r="H13" s="534">
        <v>7</v>
      </c>
      <c r="I13" s="453">
        <v>1</v>
      </c>
      <c r="J13" s="453">
        <v>1</v>
      </c>
      <c r="K13" s="156">
        <v>52</v>
      </c>
      <c r="L13" s="156"/>
      <c r="M13" s="157" t="e">
        <f t="shared" si="0"/>
        <v>#DIV/0!</v>
      </c>
      <c r="N13" s="157">
        <f t="shared" si="1"/>
        <v>0</v>
      </c>
      <c r="O13" s="158">
        <f>IF(K13="nio",0,IF(K13&gt;0,VLOOKUP(F13,'3-Productie normen'!A:M,VLOOKUP(K13,'3-Productie normen'!P:Q,2,FALSE),FALSE)))</f>
        <v>0</v>
      </c>
      <c r="P13" s="158">
        <f t="shared" si="2"/>
        <v>0</v>
      </c>
      <c r="Q13" s="159" t="str">
        <f>VLOOKUP(F13,'3-Productie normen'!A:I,9,FALSE)</f>
        <v>B</v>
      </c>
      <c r="R13" s="526"/>
      <c r="T13" s="126">
        <f t="shared" si="3"/>
        <v>364</v>
      </c>
    </row>
    <row r="14" spans="1:20" ht="14.1" customHeight="1">
      <c r="A14" s="141">
        <v>14</v>
      </c>
      <c r="B14" s="155" t="s">
        <v>285</v>
      </c>
      <c r="C14" s="155" t="s">
        <v>351</v>
      </c>
      <c r="D14" s="127" t="s">
        <v>103</v>
      </c>
      <c r="E14" s="163" t="s">
        <v>280</v>
      </c>
      <c r="F14" s="155" t="s">
        <v>17</v>
      </c>
      <c r="G14" s="123" t="s">
        <v>268</v>
      </c>
      <c r="H14" s="534">
        <v>10</v>
      </c>
      <c r="I14" s="453">
        <v>1</v>
      </c>
      <c r="J14" s="453">
        <v>1</v>
      </c>
      <c r="K14" s="156">
        <v>52</v>
      </c>
      <c r="L14" s="156"/>
      <c r="M14" s="157" t="e">
        <f t="shared" si="0"/>
        <v>#DIV/0!</v>
      </c>
      <c r="N14" s="157">
        <f t="shared" si="1"/>
        <v>0</v>
      </c>
      <c r="O14" s="158">
        <f>IF(K14="nio",0,IF(K14&gt;0,VLOOKUP(F14,'3-Productie normen'!A:M,VLOOKUP(K14,'3-Productie normen'!P:Q,2,FALSE),FALSE)))</f>
        <v>0</v>
      </c>
      <c r="P14" s="158">
        <f t="shared" si="2"/>
        <v>0</v>
      </c>
      <c r="Q14" s="159" t="str">
        <f>VLOOKUP(F14,'3-Productie normen'!A:I,9,FALSE)</f>
        <v>S</v>
      </c>
      <c r="R14" s="526"/>
      <c r="T14" s="126">
        <f t="shared" si="3"/>
        <v>520</v>
      </c>
    </row>
    <row r="15" spans="1:20" ht="14.1" customHeight="1">
      <c r="A15" s="141">
        <v>15</v>
      </c>
      <c r="B15" s="155" t="s">
        <v>285</v>
      </c>
      <c r="C15" s="155" t="s">
        <v>351</v>
      </c>
      <c r="D15" s="127" t="s">
        <v>103</v>
      </c>
      <c r="E15" s="123" t="s">
        <v>281</v>
      </c>
      <c r="F15" s="123" t="s">
        <v>213</v>
      </c>
      <c r="G15" s="123" t="s">
        <v>274</v>
      </c>
      <c r="H15" s="534">
        <v>115</v>
      </c>
      <c r="I15" s="453">
        <v>1</v>
      </c>
      <c r="J15" s="453">
        <v>1</v>
      </c>
      <c r="K15" s="156">
        <v>52</v>
      </c>
      <c r="L15" s="156"/>
      <c r="M15" s="157" t="e">
        <f t="shared" si="0"/>
        <v>#DIV/0!</v>
      </c>
      <c r="N15" s="157">
        <f t="shared" si="1"/>
        <v>0</v>
      </c>
      <c r="O15" s="158">
        <f>IF(K15="nio",0,IF(K15&gt;0,VLOOKUP(F15,'3-Productie normen'!A:M,VLOOKUP(K15,'3-Productie normen'!P:Q,2,FALSE),FALSE)))</f>
        <v>0</v>
      </c>
      <c r="P15" s="158">
        <f t="shared" si="2"/>
        <v>0</v>
      </c>
      <c r="Q15" s="159" t="str">
        <f>VLOOKUP(F15,'3-Productie normen'!A:I,9,FALSE)</f>
        <v>B</v>
      </c>
      <c r="R15" s="526"/>
      <c r="T15" s="126">
        <f t="shared" si="3"/>
        <v>5980</v>
      </c>
    </row>
    <row r="16" spans="1:20" ht="14.1" customHeight="1">
      <c r="A16" s="141">
        <v>16</v>
      </c>
      <c r="B16" s="155" t="s">
        <v>285</v>
      </c>
      <c r="C16" s="155" t="s">
        <v>351</v>
      </c>
      <c r="D16" s="127" t="s">
        <v>103</v>
      </c>
      <c r="E16" s="123" t="s">
        <v>282</v>
      </c>
      <c r="F16" s="123" t="s">
        <v>269</v>
      </c>
      <c r="G16" s="123" t="s">
        <v>284</v>
      </c>
      <c r="H16" s="534">
        <v>8.9</v>
      </c>
      <c r="I16" s="453">
        <v>1</v>
      </c>
      <c r="J16" s="453">
        <v>1</v>
      </c>
      <c r="K16" s="156">
        <v>52</v>
      </c>
      <c r="L16" s="156"/>
      <c r="M16" s="157" t="e">
        <f t="shared" si="0"/>
        <v>#DIV/0!</v>
      </c>
      <c r="N16" s="157">
        <f t="shared" si="1"/>
        <v>0</v>
      </c>
      <c r="O16" s="158">
        <f>IF(K16="nio",0,IF(K16&gt;0,VLOOKUP(F16,'3-Productie normen'!A:M,VLOOKUP(K16,'3-Productie normen'!P:Q,2,FALSE),FALSE)))</f>
        <v>0</v>
      </c>
      <c r="P16" s="158">
        <f t="shared" si="2"/>
        <v>0</v>
      </c>
      <c r="Q16" s="159" t="str">
        <f>VLOOKUP(F16,'3-Productie normen'!A:I,9,FALSE)</f>
        <v>V</v>
      </c>
      <c r="R16" s="526"/>
      <c r="T16" s="126">
        <f t="shared" si="3"/>
        <v>462.8</v>
      </c>
    </row>
    <row r="17" spans="1:20" ht="14.1" customHeight="1">
      <c r="A17" s="141">
        <v>17</v>
      </c>
      <c r="B17" s="155" t="s">
        <v>285</v>
      </c>
      <c r="C17" s="155" t="s">
        <v>351</v>
      </c>
      <c r="D17" s="127" t="s">
        <v>262</v>
      </c>
      <c r="E17" s="123" t="s">
        <v>287</v>
      </c>
      <c r="F17" s="123" t="s">
        <v>345</v>
      </c>
      <c r="G17" s="123" t="s">
        <v>336</v>
      </c>
      <c r="H17" s="534">
        <v>25</v>
      </c>
      <c r="I17" s="453">
        <v>1</v>
      </c>
      <c r="J17" s="453">
        <v>1</v>
      </c>
      <c r="K17" s="156">
        <v>52</v>
      </c>
      <c r="L17" s="156"/>
      <c r="M17" s="157" t="e">
        <f t="shared" si="0"/>
        <v>#DIV/0!</v>
      </c>
      <c r="N17" s="157">
        <f t="shared" si="1"/>
        <v>0</v>
      </c>
      <c r="O17" s="158">
        <f>IF(K17="nio",0,IF(K17&gt;0,VLOOKUP(F17,'3-Productie normen'!A:M,VLOOKUP(K17,'3-Productie normen'!P:Q,2,FALSE),FALSE)))</f>
        <v>0</v>
      </c>
      <c r="P17" s="158">
        <f t="shared" si="2"/>
        <v>0</v>
      </c>
      <c r="Q17" s="159" t="str">
        <f>VLOOKUP(F17,'3-Productie normen'!A:I,9,FALSE)</f>
        <v>B</v>
      </c>
      <c r="R17" s="526"/>
      <c r="T17" s="126">
        <f t="shared" si="3"/>
        <v>1300</v>
      </c>
    </row>
    <row r="18" spans="1:20" ht="14.1" customHeight="1">
      <c r="A18" s="141">
        <v>18</v>
      </c>
      <c r="B18" s="155" t="s">
        <v>285</v>
      </c>
      <c r="C18" s="155" t="s">
        <v>351</v>
      </c>
      <c r="D18" s="127" t="s">
        <v>262</v>
      </c>
      <c r="E18" s="123" t="s">
        <v>288</v>
      </c>
      <c r="F18" s="123" t="s">
        <v>213</v>
      </c>
      <c r="G18" s="123" t="s">
        <v>274</v>
      </c>
      <c r="H18" s="534">
        <v>29</v>
      </c>
      <c r="I18" s="453">
        <v>1</v>
      </c>
      <c r="J18" s="453">
        <v>1</v>
      </c>
      <c r="K18" s="156">
        <v>52</v>
      </c>
      <c r="L18" s="156"/>
      <c r="M18" s="157" t="e">
        <f t="shared" ref="M18:M48" si="4">IF(K18="nio",0,IF(K18&gt;0,K18*H18/O18,0))*I18</f>
        <v>#DIV/0!</v>
      </c>
      <c r="N18" s="157">
        <f t="shared" ref="N18:N48" si="5">IF(L18&gt;0,L18*H18/P18,0)*J18</f>
        <v>0</v>
      </c>
      <c r="O18" s="158">
        <f>IF(K18="nio",0,IF(K18&gt;0,VLOOKUP(F18,'3-Productie normen'!A:M,VLOOKUP(K18,'3-Productie normen'!P:Q,2,FALSE),FALSE)))</f>
        <v>0</v>
      </c>
      <c r="P18" s="158">
        <f t="shared" ref="P18:P48" si="6">IF(L18&gt;0,O18*$P$8,0)</f>
        <v>0</v>
      </c>
      <c r="Q18" s="159" t="str">
        <f>VLOOKUP(F18,'3-Productie normen'!A:I,9,FALSE)</f>
        <v>B</v>
      </c>
      <c r="R18" s="526"/>
      <c r="T18" s="126">
        <f t="shared" ref="T18:T48" si="7">SUM(K18:L18)*H18</f>
        <v>1508</v>
      </c>
    </row>
    <row r="19" spans="1:20" ht="14.1" customHeight="1">
      <c r="A19" s="141">
        <v>19</v>
      </c>
      <c r="B19" s="155" t="s">
        <v>285</v>
      </c>
      <c r="C19" s="155" t="s">
        <v>351</v>
      </c>
      <c r="D19" s="127" t="s">
        <v>262</v>
      </c>
      <c r="E19" s="123" t="s">
        <v>289</v>
      </c>
      <c r="F19" s="123" t="s">
        <v>213</v>
      </c>
      <c r="G19" s="123" t="s">
        <v>274</v>
      </c>
      <c r="H19" s="534">
        <v>57</v>
      </c>
      <c r="I19" s="453">
        <v>1</v>
      </c>
      <c r="J19" s="453">
        <v>1</v>
      </c>
      <c r="K19" s="156">
        <v>52</v>
      </c>
      <c r="L19" s="156"/>
      <c r="M19" s="157" t="e">
        <f t="shared" si="4"/>
        <v>#DIV/0!</v>
      </c>
      <c r="N19" s="157">
        <f t="shared" si="5"/>
        <v>0</v>
      </c>
      <c r="O19" s="158">
        <f>IF(K19="nio",0,IF(K19&gt;0,VLOOKUP(F19,'3-Productie normen'!A:M,VLOOKUP(K19,'3-Productie normen'!P:Q,2,FALSE),FALSE)))</f>
        <v>0</v>
      </c>
      <c r="P19" s="158">
        <f t="shared" si="6"/>
        <v>0</v>
      </c>
      <c r="Q19" s="159" t="str">
        <f>VLOOKUP(F19,'3-Productie normen'!A:I,9,FALSE)</f>
        <v>B</v>
      </c>
      <c r="R19" s="526"/>
      <c r="T19" s="126">
        <f t="shared" si="7"/>
        <v>2964</v>
      </c>
    </row>
    <row r="20" spans="1:20" ht="14.1" customHeight="1">
      <c r="A20" s="141">
        <v>20</v>
      </c>
      <c r="B20" s="155" t="s">
        <v>285</v>
      </c>
      <c r="C20" s="155" t="s">
        <v>351</v>
      </c>
      <c r="D20" s="127" t="s">
        <v>262</v>
      </c>
      <c r="E20" s="155" t="s">
        <v>287</v>
      </c>
      <c r="F20" s="155" t="s">
        <v>345</v>
      </c>
      <c r="G20" s="123" t="s">
        <v>268</v>
      </c>
      <c r="H20" s="534">
        <v>7</v>
      </c>
      <c r="I20" s="453">
        <v>1</v>
      </c>
      <c r="J20" s="453">
        <v>1</v>
      </c>
      <c r="K20" s="156">
        <v>52</v>
      </c>
      <c r="L20" s="156"/>
      <c r="M20" s="157" t="e">
        <f t="shared" si="4"/>
        <v>#DIV/0!</v>
      </c>
      <c r="N20" s="157">
        <f t="shared" si="5"/>
        <v>0</v>
      </c>
      <c r="O20" s="158">
        <f>IF(K20="nio",0,IF(K20&gt;0,VLOOKUP(F20,'3-Productie normen'!A:M,VLOOKUP(K20,'3-Productie normen'!P:Q,2,FALSE),FALSE)))</f>
        <v>0</v>
      </c>
      <c r="P20" s="158">
        <f t="shared" si="6"/>
        <v>0</v>
      </c>
      <c r="Q20" s="159" t="str">
        <f>VLOOKUP(F20,'3-Productie normen'!A:I,9,FALSE)</f>
        <v>B</v>
      </c>
      <c r="R20" s="526"/>
      <c r="T20" s="126">
        <f t="shared" si="7"/>
        <v>364</v>
      </c>
    </row>
    <row r="21" spans="1:20" ht="14.1" customHeight="1">
      <c r="A21" s="141">
        <v>21</v>
      </c>
      <c r="B21" s="155" t="s">
        <v>285</v>
      </c>
      <c r="C21" s="155" t="s">
        <v>351</v>
      </c>
      <c r="D21" s="127" t="s">
        <v>262</v>
      </c>
      <c r="E21" s="155" t="s">
        <v>290</v>
      </c>
      <c r="F21" s="155" t="s">
        <v>17</v>
      </c>
      <c r="G21" s="123" t="s">
        <v>336</v>
      </c>
      <c r="H21" s="534">
        <v>5</v>
      </c>
      <c r="I21" s="453">
        <v>1</v>
      </c>
      <c r="J21" s="453">
        <v>1</v>
      </c>
      <c r="K21" s="156">
        <v>52</v>
      </c>
      <c r="L21" s="156"/>
      <c r="M21" s="157" t="e">
        <f t="shared" si="4"/>
        <v>#DIV/0!</v>
      </c>
      <c r="N21" s="157">
        <f t="shared" si="5"/>
        <v>0</v>
      </c>
      <c r="O21" s="158">
        <f>IF(K21="nio",0,IF(K21&gt;0,VLOOKUP(F21,'3-Productie normen'!A:M,VLOOKUP(K21,'3-Productie normen'!P:Q,2,FALSE),FALSE)))</f>
        <v>0</v>
      </c>
      <c r="P21" s="158">
        <f t="shared" si="6"/>
        <v>0</v>
      </c>
      <c r="Q21" s="159" t="str">
        <f>VLOOKUP(F21,'3-Productie normen'!A:I,9,FALSE)</f>
        <v>S</v>
      </c>
      <c r="R21" s="526"/>
      <c r="T21" s="126">
        <f t="shared" si="7"/>
        <v>260</v>
      </c>
    </row>
    <row r="22" spans="1:20" ht="14.1" customHeight="1">
      <c r="A22" s="141">
        <v>22</v>
      </c>
      <c r="B22" s="155" t="s">
        <v>285</v>
      </c>
      <c r="C22" s="155" t="s">
        <v>351</v>
      </c>
      <c r="D22" s="127" t="s">
        <v>262</v>
      </c>
      <c r="E22" s="155" t="s">
        <v>291</v>
      </c>
      <c r="F22" s="155" t="s">
        <v>214</v>
      </c>
      <c r="G22" s="123" t="s">
        <v>293</v>
      </c>
      <c r="H22" s="534">
        <v>76</v>
      </c>
      <c r="I22" s="453">
        <v>1</v>
      </c>
      <c r="J22" s="453">
        <v>1</v>
      </c>
      <c r="K22" s="156">
        <v>52</v>
      </c>
      <c r="L22" s="156"/>
      <c r="M22" s="157" t="e">
        <f t="shared" si="4"/>
        <v>#DIV/0!</v>
      </c>
      <c r="N22" s="157">
        <f t="shared" si="5"/>
        <v>0</v>
      </c>
      <c r="O22" s="158">
        <f>IF(K22="nio",0,IF(K22&gt;0,VLOOKUP(F22,'3-Productie normen'!A:M,VLOOKUP(K22,'3-Productie normen'!P:Q,2,FALSE),FALSE)))</f>
        <v>0</v>
      </c>
      <c r="P22" s="158">
        <f t="shared" si="6"/>
        <v>0</v>
      </c>
      <c r="Q22" s="159" t="str">
        <f>VLOOKUP(F22,'3-Productie normen'!A:I,9,FALSE)</f>
        <v>V</v>
      </c>
      <c r="R22" s="526"/>
      <c r="T22" s="126">
        <f t="shared" si="7"/>
        <v>3952</v>
      </c>
    </row>
    <row r="23" spans="1:20" ht="14.1" customHeight="1">
      <c r="A23" s="141">
        <v>23</v>
      </c>
      <c r="B23" s="155" t="s">
        <v>285</v>
      </c>
      <c r="C23" s="155" t="s">
        <v>351</v>
      </c>
      <c r="D23" s="127" t="s">
        <v>262</v>
      </c>
      <c r="E23" s="123" t="s">
        <v>292</v>
      </c>
      <c r="F23" s="123" t="s">
        <v>213</v>
      </c>
      <c r="G23" s="123" t="s">
        <v>274</v>
      </c>
      <c r="H23" s="534">
        <v>30</v>
      </c>
      <c r="I23" s="453">
        <v>1</v>
      </c>
      <c r="J23" s="453">
        <v>1</v>
      </c>
      <c r="K23" s="156">
        <v>52</v>
      </c>
      <c r="L23" s="156"/>
      <c r="M23" s="157" t="e">
        <f t="shared" si="4"/>
        <v>#DIV/0!</v>
      </c>
      <c r="N23" s="157">
        <f t="shared" si="5"/>
        <v>0</v>
      </c>
      <c r="O23" s="158">
        <f>IF(K23="nio",0,IF(K23&gt;0,VLOOKUP(F23,'3-Productie normen'!A:M,VLOOKUP(K23,'3-Productie normen'!P:Q,2,FALSE),FALSE)))</f>
        <v>0</v>
      </c>
      <c r="P23" s="158">
        <f t="shared" si="6"/>
        <v>0</v>
      </c>
      <c r="Q23" s="159" t="str">
        <f>VLOOKUP(F23,'3-Productie normen'!A:I,9,FALSE)</f>
        <v>B</v>
      </c>
      <c r="R23" s="526"/>
      <c r="T23" s="126">
        <f t="shared" si="7"/>
        <v>1560</v>
      </c>
    </row>
    <row r="24" spans="1:20" ht="14.1" customHeight="1">
      <c r="A24" s="141">
        <v>24</v>
      </c>
      <c r="B24" s="155" t="s">
        <v>321</v>
      </c>
      <c r="C24" s="155" t="s">
        <v>352</v>
      </c>
      <c r="D24" s="127" t="s">
        <v>103</v>
      </c>
      <c r="E24" s="123" t="s">
        <v>266</v>
      </c>
      <c r="F24" s="123" t="s">
        <v>345</v>
      </c>
      <c r="G24" s="123" t="s">
        <v>105</v>
      </c>
      <c r="H24" s="534">
        <v>6.8</v>
      </c>
      <c r="I24" s="453">
        <v>1</v>
      </c>
      <c r="J24" s="453">
        <v>1</v>
      </c>
      <c r="K24" s="156">
        <v>52</v>
      </c>
      <c r="L24" s="156"/>
      <c r="M24" s="157" t="e">
        <f t="shared" si="4"/>
        <v>#DIV/0!</v>
      </c>
      <c r="N24" s="157">
        <f t="shared" si="5"/>
        <v>0</v>
      </c>
      <c r="O24" s="158">
        <f>IF(K24="nio",0,IF(K24&gt;0,VLOOKUP(F24,'3-Productie normen'!A:M,VLOOKUP(K24,'3-Productie normen'!P:Q,2,FALSE),FALSE)))</f>
        <v>0</v>
      </c>
      <c r="P24" s="158">
        <f t="shared" si="6"/>
        <v>0</v>
      </c>
      <c r="Q24" s="159" t="str">
        <f>VLOOKUP(F24,'3-Productie normen'!A:I,9,FALSE)</f>
        <v>B</v>
      </c>
      <c r="R24" s="526"/>
      <c r="T24" s="126">
        <f t="shared" si="7"/>
        <v>353.59999999999997</v>
      </c>
    </row>
    <row r="25" spans="1:20" ht="14.1" customHeight="1">
      <c r="A25" s="141">
        <v>25</v>
      </c>
      <c r="B25" s="155" t="s">
        <v>321</v>
      </c>
      <c r="C25" s="155" t="s">
        <v>352</v>
      </c>
      <c r="D25" s="127" t="s">
        <v>103</v>
      </c>
      <c r="E25" s="123" t="s">
        <v>275</v>
      </c>
      <c r="F25" s="155" t="s">
        <v>17</v>
      </c>
      <c r="G25" s="123" t="s">
        <v>268</v>
      </c>
      <c r="H25" s="534">
        <v>3.51</v>
      </c>
      <c r="I25" s="453">
        <v>1</v>
      </c>
      <c r="J25" s="453">
        <v>1</v>
      </c>
      <c r="K25" s="156">
        <v>52</v>
      </c>
      <c r="L25" s="156"/>
      <c r="M25" s="157" t="e">
        <f t="shared" si="4"/>
        <v>#DIV/0!</v>
      </c>
      <c r="N25" s="157">
        <f t="shared" si="5"/>
        <v>0</v>
      </c>
      <c r="O25" s="158">
        <f>IF(K25="nio",0,IF(K25&gt;0,VLOOKUP(F25,'3-Productie normen'!A:M,VLOOKUP(K25,'3-Productie normen'!P:Q,2,FALSE),FALSE)))</f>
        <v>0</v>
      </c>
      <c r="P25" s="158">
        <f t="shared" si="6"/>
        <v>0</v>
      </c>
      <c r="Q25" s="159" t="str">
        <f>VLOOKUP(F25,'3-Productie normen'!A:I,9,FALSE)</f>
        <v>S</v>
      </c>
      <c r="R25" s="526"/>
      <c r="T25" s="126">
        <f t="shared" si="7"/>
        <v>182.51999999999998</v>
      </c>
    </row>
    <row r="26" spans="1:20" ht="14.1" customHeight="1">
      <c r="A26" s="141">
        <v>26</v>
      </c>
      <c r="B26" s="155" t="s">
        <v>321</v>
      </c>
      <c r="C26" s="155" t="s">
        <v>352</v>
      </c>
      <c r="D26" s="127" t="s">
        <v>103</v>
      </c>
      <c r="E26" s="123" t="s">
        <v>265</v>
      </c>
      <c r="F26" s="123" t="s">
        <v>214</v>
      </c>
      <c r="G26" s="123" t="s">
        <v>105</v>
      </c>
      <c r="H26" s="534">
        <v>30</v>
      </c>
      <c r="I26" s="453">
        <v>1</v>
      </c>
      <c r="J26" s="453">
        <v>1</v>
      </c>
      <c r="K26" s="156">
        <v>52</v>
      </c>
      <c r="L26" s="156"/>
      <c r="M26" s="157" t="e">
        <f t="shared" si="4"/>
        <v>#DIV/0!</v>
      </c>
      <c r="N26" s="157">
        <f t="shared" si="5"/>
        <v>0</v>
      </c>
      <c r="O26" s="158">
        <f>IF(K26="nio",0,IF(K26&gt;0,VLOOKUP(F26,'3-Productie normen'!A:M,VLOOKUP(K26,'3-Productie normen'!P:Q,2,FALSE),FALSE)))</f>
        <v>0</v>
      </c>
      <c r="P26" s="158">
        <f t="shared" si="6"/>
        <v>0</v>
      </c>
      <c r="Q26" s="159" t="str">
        <f>VLOOKUP(F26,'3-Productie normen'!A:I,9,FALSE)</f>
        <v>V</v>
      </c>
      <c r="R26" s="526"/>
      <c r="T26" s="126">
        <f t="shared" si="7"/>
        <v>1560</v>
      </c>
    </row>
    <row r="27" spans="1:20" ht="14.1" customHeight="1">
      <c r="A27" s="141">
        <v>27</v>
      </c>
      <c r="B27" s="155" t="s">
        <v>321</v>
      </c>
      <c r="C27" s="155" t="s">
        <v>352</v>
      </c>
      <c r="D27" s="127" t="s">
        <v>103</v>
      </c>
      <c r="E27" s="161" t="s">
        <v>267</v>
      </c>
      <c r="F27" s="123" t="s">
        <v>213</v>
      </c>
      <c r="G27" s="123" t="s">
        <v>105</v>
      </c>
      <c r="H27" s="534">
        <v>11</v>
      </c>
      <c r="I27" s="453">
        <v>1</v>
      </c>
      <c r="J27" s="453">
        <v>1</v>
      </c>
      <c r="K27" s="156">
        <v>52</v>
      </c>
      <c r="L27" s="156"/>
      <c r="M27" s="157" t="e">
        <f t="shared" si="4"/>
        <v>#DIV/0!</v>
      </c>
      <c r="N27" s="157">
        <f t="shared" si="5"/>
        <v>0</v>
      </c>
      <c r="O27" s="158">
        <f>IF(K27="nio",0,IF(K27&gt;0,VLOOKUP(F27,'3-Productie normen'!A:M,VLOOKUP(K27,'3-Productie normen'!P:Q,2,FALSE),FALSE)))</f>
        <v>0</v>
      </c>
      <c r="P27" s="158">
        <f t="shared" si="6"/>
        <v>0</v>
      </c>
      <c r="Q27" s="159" t="str">
        <f>VLOOKUP(F27,'3-Productie normen'!A:I,9,FALSE)</f>
        <v>B</v>
      </c>
      <c r="R27" s="526"/>
      <c r="T27" s="126">
        <f t="shared" si="7"/>
        <v>572</v>
      </c>
    </row>
    <row r="28" spans="1:20" ht="14.1" customHeight="1">
      <c r="A28" s="141">
        <v>28</v>
      </c>
      <c r="B28" s="155" t="s">
        <v>321</v>
      </c>
      <c r="C28" s="155" t="s">
        <v>352</v>
      </c>
      <c r="D28" s="127" t="s">
        <v>103</v>
      </c>
      <c r="E28" s="123" t="s">
        <v>323</v>
      </c>
      <c r="F28" s="123" t="s">
        <v>345</v>
      </c>
      <c r="G28" s="123" t="s">
        <v>371</v>
      </c>
      <c r="H28" s="534">
        <v>60</v>
      </c>
      <c r="I28" s="453">
        <v>1</v>
      </c>
      <c r="J28" s="453">
        <v>1</v>
      </c>
      <c r="K28" s="156">
        <v>26</v>
      </c>
      <c r="L28" s="156"/>
      <c r="M28" s="157" t="e">
        <f t="shared" si="4"/>
        <v>#DIV/0!</v>
      </c>
      <c r="N28" s="157">
        <f t="shared" si="5"/>
        <v>0</v>
      </c>
      <c r="O28" s="158">
        <f>IF(K28="nio",0,IF(K28&gt;0,VLOOKUP(F28,'3-Productie normen'!A:M,VLOOKUP(K28,'3-Productie normen'!P:Q,2,FALSE),FALSE)))</f>
        <v>0</v>
      </c>
      <c r="P28" s="158">
        <f t="shared" si="6"/>
        <v>0</v>
      </c>
      <c r="Q28" s="159" t="str">
        <f>VLOOKUP(F28,'3-Productie normen'!A:I,9,FALSE)</f>
        <v>B</v>
      </c>
      <c r="R28" s="526"/>
      <c r="T28" s="126">
        <f t="shared" si="7"/>
        <v>1560</v>
      </c>
    </row>
    <row r="29" spans="1:20" ht="14.1" customHeight="1">
      <c r="A29" s="141">
        <v>29</v>
      </c>
      <c r="B29" s="155" t="s">
        <v>321</v>
      </c>
      <c r="C29" s="155" t="s">
        <v>352</v>
      </c>
      <c r="D29" s="127" t="s">
        <v>103</v>
      </c>
      <c r="E29" s="163" t="s">
        <v>324</v>
      </c>
      <c r="F29" s="123" t="s">
        <v>393</v>
      </c>
      <c r="G29" s="123" t="s">
        <v>371</v>
      </c>
      <c r="H29" s="534">
        <v>115</v>
      </c>
      <c r="I29" s="453">
        <v>1</v>
      </c>
      <c r="J29" s="453">
        <v>1</v>
      </c>
      <c r="K29" s="156" t="s">
        <v>362</v>
      </c>
      <c r="L29" s="156"/>
      <c r="M29" s="157">
        <f t="shared" si="4"/>
        <v>0</v>
      </c>
      <c r="N29" s="157">
        <f t="shared" si="5"/>
        <v>0</v>
      </c>
      <c r="O29" s="158">
        <f>IF(K29="nio",0,IF(K29&gt;0,VLOOKUP(F29,'3-Productie normen'!A:M,VLOOKUP(K29,'3-Productie normen'!P:Q,2,FALSE),FALSE)))</f>
        <v>0</v>
      </c>
      <c r="P29" s="158">
        <f t="shared" si="6"/>
        <v>0</v>
      </c>
      <c r="Q29" s="159">
        <f>VLOOKUP(F29,'3-Productie normen'!A:I,9,FALSE)</f>
        <v>0</v>
      </c>
      <c r="R29" s="526"/>
      <c r="T29" s="126">
        <f t="shared" si="7"/>
        <v>0</v>
      </c>
    </row>
    <row r="30" spans="1:20" ht="14.1" customHeight="1">
      <c r="A30" s="141">
        <v>30</v>
      </c>
      <c r="B30" s="155" t="s">
        <v>321</v>
      </c>
      <c r="C30" s="155" t="s">
        <v>352</v>
      </c>
      <c r="D30" s="127" t="s">
        <v>262</v>
      </c>
      <c r="E30" s="123" t="s">
        <v>325</v>
      </c>
      <c r="F30" s="123" t="s">
        <v>393</v>
      </c>
      <c r="G30" s="123" t="s">
        <v>327</v>
      </c>
      <c r="H30" s="534">
        <v>70</v>
      </c>
      <c r="I30" s="453">
        <v>1</v>
      </c>
      <c r="J30" s="453">
        <v>1</v>
      </c>
      <c r="K30" s="156" t="s">
        <v>362</v>
      </c>
      <c r="L30" s="156"/>
      <c r="M30" s="157">
        <f t="shared" si="4"/>
        <v>0</v>
      </c>
      <c r="N30" s="157">
        <f t="shared" si="5"/>
        <v>0</v>
      </c>
      <c r="O30" s="158">
        <f>IF(K30="nio",0,IF(K30&gt;0,VLOOKUP(F30,'3-Productie normen'!A:M,VLOOKUP(K30,'3-Productie normen'!P:Q,2,FALSE),FALSE)))</f>
        <v>0</v>
      </c>
      <c r="P30" s="158">
        <f t="shared" si="6"/>
        <v>0</v>
      </c>
      <c r="Q30" s="159">
        <f>VLOOKUP(F30,'3-Productie normen'!A:I,9,FALSE)</f>
        <v>0</v>
      </c>
      <c r="R30" s="526"/>
      <c r="T30" s="126">
        <f t="shared" si="7"/>
        <v>0</v>
      </c>
    </row>
    <row r="31" spans="1:20" ht="14.1" customHeight="1">
      <c r="A31" s="141">
        <v>31</v>
      </c>
      <c r="B31" s="155" t="s">
        <v>321</v>
      </c>
      <c r="C31" s="155" t="s">
        <v>352</v>
      </c>
      <c r="D31" s="127" t="s">
        <v>262</v>
      </c>
      <c r="E31" s="123" t="s">
        <v>326</v>
      </c>
      <c r="F31" s="123" t="s">
        <v>213</v>
      </c>
      <c r="G31" s="504"/>
      <c r="H31" s="534">
        <v>14.5</v>
      </c>
      <c r="I31" s="453">
        <v>1</v>
      </c>
      <c r="J31" s="453">
        <v>1</v>
      </c>
      <c r="K31" s="156">
        <v>52</v>
      </c>
      <c r="L31" s="156"/>
      <c r="M31" s="157" t="e">
        <f t="shared" si="4"/>
        <v>#DIV/0!</v>
      </c>
      <c r="N31" s="157">
        <f t="shared" si="5"/>
        <v>0</v>
      </c>
      <c r="O31" s="158">
        <f>IF(K31="nio",0,IF(K31&gt;0,VLOOKUP(F31,'3-Productie normen'!A:M,VLOOKUP(K31,'3-Productie normen'!P:Q,2,FALSE),FALSE)))</f>
        <v>0</v>
      </c>
      <c r="P31" s="158">
        <f t="shared" si="6"/>
        <v>0</v>
      </c>
      <c r="Q31" s="159" t="str">
        <f>VLOOKUP(F31,'3-Productie normen'!A:I,9,FALSE)</f>
        <v>B</v>
      </c>
      <c r="R31" s="526"/>
      <c r="T31" s="126">
        <f t="shared" si="7"/>
        <v>754</v>
      </c>
    </row>
    <row r="32" spans="1:20" ht="14.1" customHeight="1">
      <c r="A32" s="141">
        <v>32</v>
      </c>
      <c r="B32" s="155" t="s">
        <v>329</v>
      </c>
      <c r="C32" s="155" t="s">
        <v>352</v>
      </c>
      <c r="D32" s="127" t="s">
        <v>103</v>
      </c>
      <c r="E32" s="123" t="s">
        <v>276</v>
      </c>
      <c r="F32" s="155" t="s">
        <v>104</v>
      </c>
      <c r="G32" s="123" t="s">
        <v>335</v>
      </c>
      <c r="H32" s="534">
        <v>8.3000000000000007</v>
      </c>
      <c r="I32" s="453">
        <v>1</v>
      </c>
      <c r="J32" s="453">
        <v>1</v>
      </c>
      <c r="K32" s="156">
        <v>52</v>
      </c>
      <c r="L32" s="156"/>
      <c r="M32" s="157" t="e">
        <f t="shared" si="4"/>
        <v>#DIV/0!</v>
      </c>
      <c r="N32" s="157">
        <f t="shared" si="5"/>
        <v>0</v>
      </c>
      <c r="O32" s="158">
        <f>IF(K32="nio",0,IF(K32&gt;0,VLOOKUP(F32,'3-Productie normen'!A:M,VLOOKUP(K32,'3-Productie normen'!P:Q,2,FALSE),FALSE)))</f>
        <v>0</v>
      </c>
      <c r="P32" s="158">
        <f t="shared" si="6"/>
        <v>0</v>
      </c>
      <c r="Q32" s="159" t="str">
        <f>VLOOKUP(F32,'3-Productie normen'!A:I,9,FALSE)</f>
        <v>V</v>
      </c>
      <c r="R32" s="526"/>
      <c r="T32" s="126">
        <f t="shared" si="7"/>
        <v>431.6</v>
      </c>
    </row>
    <row r="33" spans="1:20" ht="14.1" customHeight="1">
      <c r="A33" s="141">
        <v>33</v>
      </c>
      <c r="B33" s="155" t="s">
        <v>329</v>
      </c>
      <c r="C33" s="155" t="s">
        <v>352</v>
      </c>
      <c r="D33" s="127" t="s">
        <v>103</v>
      </c>
      <c r="E33" s="123" t="s">
        <v>331</v>
      </c>
      <c r="F33" s="123" t="s">
        <v>213</v>
      </c>
      <c r="G33" s="123" t="s">
        <v>336</v>
      </c>
      <c r="H33" s="534">
        <v>93</v>
      </c>
      <c r="I33" s="453">
        <v>1</v>
      </c>
      <c r="J33" s="453">
        <v>1</v>
      </c>
      <c r="K33" s="156">
        <v>52</v>
      </c>
      <c r="L33" s="156"/>
      <c r="M33" s="157" t="e">
        <f t="shared" si="4"/>
        <v>#DIV/0!</v>
      </c>
      <c r="N33" s="157">
        <f t="shared" si="5"/>
        <v>0</v>
      </c>
      <c r="O33" s="158">
        <f>IF(K33="nio",0,IF(K33&gt;0,VLOOKUP(F33,'3-Productie normen'!A:M,VLOOKUP(K33,'3-Productie normen'!P:Q,2,FALSE),FALSE)))</f>
        <v>0</v>
      </c>
      <c r="P33" s="158">
        <f t="shared" si="6"/>
        <v>0</v>
      </c>
      <c r="Q33" s="159" t="str">
        <f>VLOOKUP(F33,'3-Productie normen'!A:I,9,FALSE)</f>
        <v>B</v>
      </c>
      <c r="R33" s="526"/>
      <c r="T33" s="126">
        <f t="shared" si="7"/>
        <v>4836</v>
      </c>
    </row>
    <row r="34" spans="1:20" ht="14.1" customHeight="1">
      <c r="A34" s="141">
        <v>34</v>
      </c>
      <c r="B34" s="155" t="s">
        <v>329</v>
      </c>
      <c r="C34" s="155" t="s">
        <v>352</v>
      </c>
      <c r="D34" s="127" t="s">
        <v>103</v>
      </c>
      <c r="E34" s="123" t="s">
        <v>332</v>
      </c>
      <c r="F34" s="123" t="s">
        <v>345</v>
      </c>
      <c r="G34" s="123" t="s">
        <v>337</v>
      </c>
      <c r="H34" s="534">
        <v>7.2</v>
      </c>
      <c r="I34" s="453">
        <v>1</v>
      </c>
      <c r="J34" s="453">
        <v>1</v>
      </c>
      <c r="K34" s="156">
        <v>52</v>
      </c>
      <c r="L34" s="156"/>
      <c r="M34" s="157" t="e">
        <f t="shared" si="4"/>
        <v>#DIV/0!</v>
      </c>
      <c r="N34" s="157">
        <f t="shared" si="5"/>
        <v>0</v>
      </c>
      <c r="O34" s="158">
        <f>IF(K34="nio",0,IF(K34&gt;0,VLOOKUP(F34,'3-Productie normen'!A:M,VLOOKUP(K34,'3-Productie normen'!P:Q,2,FALSE),FALSE)))</f>
        <v>0</v>
      </c>
      <c r="P34" s="158">
        <f t="shared" si="6"/>
        <v>0</v>
      </c>
      <c r="Q34" s="159" t="str">
        <f>VLOOKUP(F34,'3-Productie normen'!A:I,9,FALSE)</f>
        <v>B</v>
      </c>
      <c r="R34" s="526"/>
      <c r="T34" s="126">
        <f t="shared" si="7"/>
        <v>374.40000000000003</v>
      </c>
    </row>
    <row r="35" spans="1:20" ht="14.1" customHeight="1">
      <c r="A35" s="141">
        <v>35</v>
      </c>
      <c r="B35" s="155" t="s">
        <v>329</v>
      </c>
      <c r="C35" s="155" t="s">
        <v>352</v>
      </c>
      <c r="D35" s="127" t="s">
        <v>262</v>
      </c>
      <c r="E35" s="155" t="s">
        <v>333</v>
      </c>
      <c r="F35" s="155" t="s">
        <v>345</v>
      </c>
      <c r="G35" s="123" t="s">
        <v>105</v>
      </c>
      <c r="H35" s="534">
        <v>13</v>
      </c>
      <c r="I35" s="453">
        <v>1</v>
      </c>
      <c r="J35" s="453">
        <v>1</v>
      </c>
      <c r="K35" s="156">
        <v>52</v>
      </c>
      <c r="L35" s="156"/>
      <c r="M35" s="157" t="e">
        <f t="shared" si="4"/>
        <v>#DIV/0!</v>
      </c>
      <c r="N35" s="157">
        <f t="shared" si="5"/>
        <v>0</v>
      </c>
      <c r="O35" s="158">
        <f>IF(K35="nio",0,IF(K35&gt;0,VLOOKUP(F35,'3-Productie normen'!A:M,VLOOKUP(K35,'3-Productie normen'!P:Q,2,FALSE),FALSE)))</f>
        <v>0</v>
      </c>
      <c r="P35" s="158">
        <f t="shared" si="6"/>
        <v>0</v>
      </c>
      <c r="Q35" s="159" t="str">
        <f>VLOOKUP(F35,'3-Productie normen'!A:I,9,FALSE)</f>
        <v>B</v>
      </c>
      <c r="R35" s="526"/>
      <c r="T35" s="126">
        <f t="shared" si="7"/>
        <v>676</v>
      </c>
    </row>
    <row r="36" spans="1:20" ht="14.1" customHeight="1">
      <c r="A36" s="141">
        <v>36</v>
      </c>
      <c r="B36" s="155" t="s">
        <v>329</v>
      </c>
      <c r="C36" s="155" t="s">
        <v>352</v>
      </c>
      <c r="D36" s="127" t="s">
        <v>262</v>
      </c>
      <c r="E36" s="155" t="s">
        <v>372</v>
      </c>
      <c r="F36" s="155" t="s">
        <v>17</v>
      </c>
      <c r="G36" s="504"/>
      <c r="H36" s="534">
        <v>7.2</v>
      </c>
      <c r="I36" s="453">
        <v>1</v>
      </c>
      <c r="J36" s="453">
        <v>1</v>
      </c>
      <c r="K36" s="156">
        <v>52</v>
      </c>
      <c r="L36" s="156"/>
      <c r="M36" s="157" t="e">
        <f t="shared" si="4"/>
        <v>#DIV/0!</v>
      </c>
      <c r="N36" s="157">
        <f t="shared" si="5"/>
        <v>0</v>
      </c>
      <c r="O36" s="158">
        <f>IF(K36="nio",0,IF(K36&gt;0,VLOOKUP(F36,'3-Productie normen'!A:M,VLOOKUP(K36,'3-Productie normen'!P:Q,2,FALSE),FALSE)))</f>
        <v>0</v>
      </c>
      <c r="P36" s="158">
        <f t="shared" si="6"/>
        <v>0</v>
      </c>
      <c r="Q36" s="159" t="str">
        <f>VLOOKUP(F36,'3-Productie normen'!A:I,9,FALSE)</f>
        <v>S</v>
      </c>
      <c r="R36" s="526"/>
      <c r="T36" s="126">
        <f t="shared" si="7"/>
        <v>374.40000000000003</v>
      </c>
    </row>
    <row r="37" spans="1:20" ht="14.1" customHeight="1">
      <c r="A37" s="141">
        <v>37</v>
      </c>
      <c r="B37" s="155" t="s">
        <v>329</v>
      </c>
      <c r="C37" s="155" t="s">
        <v>352</v>
      </c>
      <c r="D37" s="127" t="s">
        <v>262</v>
      </c>
      <c r="E37" s="155" t="s">
        <v>333</v>
      </c>
      <c r="F37" s="155" t="s">
        <v>345</v>
      </c>
      <c r="G37" s="123" t="s">
        <v>105</v>
      </c>
      <c r="H37" s="534">
        <v>30</v>
      </c>
      <c r="I37" s="453">
        <v>1</v>
      </c>
      <c r="J37" s="453">
        <v>1</v>
      </c>
      <c r="K37" s="156">
        <v>52</v>
      </c>
      <c r="L37" s="156"/>
      <c r="M37" s="157" t="e">
        <f t="shared" si="4"/>
        <v>#DIV/0!</v>
      </c>
      <c r="N37" s="157">
        <f t="shared" si="5"/>
        <v>0</v>
      </c>
      <c r="O37" s="158">
        <f>IF(K37="nio",0,IF(K37&gt;0,VLOOKUP(F37,'3-Productie normen'!A:M,VLOOKUP(K37,'3-Productie normen'!P:Q,2,FALSE),FALSE)))</f>
        <v>0</v>
      </c>
      <c r="P37" s="158">
        <f t="shared" si="6"/>
        <v>0</v>
      </c>
      <c r="Q37" s="159" t="str">
        <f>VLOOKUP(F37,'3-Productie normen'!A:I,9,FALSE)</f>
        <v>B</v>
      </c>
      <c r="R37" s="526"/>
      <c r="T37" s="126">
        <f t="shared" si="7"/>
        <v>1560</v>
      </c>
    </row>
    <row r="38" spans="1:20" ht="14.1" customHeight="1">
      <c r="A38" s="141">
        <v>38</v>
      </c>
      <c r="B38" s="155" t="s">
        <v>329</v>
      </c>
      <c r="C38" s="155" t="s">
        <v>352</v>
      </c>
      <c r="D38" s="127" t="s">
        <v>334</v>
      </c>
      <c r="E38" s="123" t="s">
        <v>273</v>
      </c>
      <c r="F38" s="155" t="s">
        <v>17</v>
      </c>
      <c r="G38" s="123" t="s">
        <v>338</v>
      </c>
      <c r="H38" s="534">
        <v>15</v>
      </c>
      <c r="I38" s="453">
        <v>1</v>
      </c>
      <c r="J38" s="453">
        <v>1</v>
      </c>
      <c r="K38" s="156">
        <v>52</v>
      </c>
      <c r="L38" s="156"/>
      <c r="M38" s="157" t="e">
        <f t="shared" si="4"/>
        <v>#DIV/0!</v>
      </c>
      <c r="N38" s="157">
        <f t="shared" si="5"/>
        <v>0</v>
      </c>
      <c r="O38" s="158">
        <f>IF(K38="nio",0,IF(K38&gt;0,VLOOKUP(F38,'3-Productie normen'!A:M,VLOOKUP(K38,'3-Productie normen'!P:Q,2,FALSE),FALSE)))</f>
        <v>0</v>
      </c>
      <c r="P38" s="158">
        <f t="shared" si="6"/>
        <v>0</v>
      </c>
      <c r="Q38" s="159" t="str">
        <f>VLOOKUP(F38,'3-Productie normen'!A:I,9,FALSE)</f>
        <v>S</v>
      </c>
      <c r="R38" s="526"/>
      <c r="T38" s="126">
        <f t="shared" si="7"/>
        <v>780</v>
      </c>
    </row>
    <row r="39" spans="1:20" ht="14.1" customHeight="1">
      <c r="A39" s="141">
        <v>39</v>
      </c>
      <c r="B39" s="155" t="s">
        <v>339</v>
      </c>
      <c r="C39" s="155" t="s">
        <v>352</v>
      </c>
      <c r="D39" s="127" t="s">
        <v>103</v>
      </c>
      <c r="E39" s="123" t="s">
        <v>340</v>
      </c>
      <c r="F39" s="123" t="s">
        <v>393</v>
      </c>
      <c r="G39" s="123" t="s">
        <v>371</v>
      </c>
      <c r="H39" s="534">
        <v>71</v>
      </c>
      <c r="I39" s="453">
        <v>1</v>
      </c>
      <c r="J39" s="453">
        <v>1</v>
      </c>
      <c r="K39" s="156" t="s">
        <v>362</v>
      </c>
      <c r="L39" s="156"/>
      <c r="M39" s="157">
        <f t="shared" si="4"/>
        <v>0</v>
      </c>
      <c r="N39" s="157">
        <f t="shared" si="5"/>
        <v>0</v>
      </c>
      <c r="O39" s="158">
        <f>IF(K39="nio",0,IF(K39&gt;0,VLOOKUP(F39,'3-Productie normen'!A:M,VLOOKUP(K39,'3-Productie normen'!P:Q,2,FALSE),FALSE)))</f>
        <v>0</v>
      </c>
      <c r="P39" s="158">
        <f t="shared" si="6"/>
        <v>0</v>
      </c>
      <c r="Q39" s="159">
        <f>VLOOKUP(F39,'3-Productie normen'!A:I,9,FALSE)</f>
        <v>0</v>
      </c>
      <c r="R39" s="526"/>
      <c r="T39" s="126">
        <f t="shared" si="7"/>
        <v>0</v>
      </c>
    </row>
    <row r="40" spans="1:20" ht="14.1" customHeight="1">
      <c r="A40" s="141">
        <v>40</v>
      </c>
      <c r="B40" s="155" t="s">
        <v>339</v>
      </c>
      <c r="C40" s="155" t="s">
        <v>352</v>
      </c>
      <c r="D40" s="127" t="s">
        <v>103</v>
      </c>
      <c r="E40" s="123" t="s">
        <v>260</v>
      </c>
      <c r="F40" s="123" t="s">
        <v>214</v>
      </c>
      <c r="G40" s="123" t="s">
        <v>105</v>
      </c>
      <c r="H40" s="534">
        <v>14.8</v>
      </c>
      <c r="I40" s="453">
        <v>1</v>
      </c>
      <c r="J40" s="453">
        <v>1</v>
      </c>
      <c r="K40" s="156">
        <v>26</v>
      </c>
      <c r="L40" s="156"/>
      <c r="M40" s="157" t="e">
        <f t="shared" si="4"/>
        <v>#DIV/0!</v>
      </c>
      <c r="N40" s="157">
        <f t="shared" si="5"/>
        <v>0</v>
      </c>
      <c r="O40" s="158">
        <f>IF(K40="nio",0,IF(K40&gt;0,VLOOKUP(F40,'3-Productie normen'!A:M,VLOOKUP(K40,'3-Productie normen'!P:Q,2,FALSE),FALSE)))</f>
        <v>0</v>
      </c>
      <c r="P40" s="158">
        <f t="shared" si="6"/>
        <v>0</v>
      </c>
      <c r="Q40" s="159" t="str">
        <f>VLOOKUP(F40,'3-Productie normen'!A:I,9,FALSE)</f>
        <v>V</v>
      </c>
      <c r="R40" s="526"/>
      <c r="T40" s="126">
        <f t="shared" si="7"/>
        <v>384.8</v>
      </c>
    </row>
    <row r="41" spans="1:20" ht="14.1" customHeight="1">
      <c r="A41" s="141">
        <v>41</v>
      </c>
      <c r="B41" s="155" t="s">
        <v>339</v>
      </c>
      <c r="C41" s="155" t="s">
        <v>352</v>
      </c>
      <c r="D41" s="127" t="s">
        <v>103</v>
      </c>
      <c r="E41" s="123" t="s">
        <v>341</v>
      </c>
      <c r="F41" s="123" t="s">
        <v>345</v>
      </c>
      <c r="G41" s="123" t="s">
        <v>105</v>
      </c>
      <c r="H41" s="534">
        <v>1.8</v>
      </c>
      <c r="I41" s="453">
        <v>1</v>
      </c>
      <c r="J41" s="453">
        <v>1</v>
      </c>
      <c r="K41" s="156">
        <v>26</v>
      </c>
      <c r="L41" s="156"/>
      <c r="M41" s="157" t="e">
        <f t="shared" si="4"/>
        <v>#DIV/0!</v>
      </c>
      <c r="N41" s="157">
        <f t="shared" si="5"/>
        <v>0</v>
      </c>
      <c r="O41" s="158">
        <f>IF(K41="nio",0,IF(K41&gt;0,VLOOKUP(F41,'3-Productie normen'!A:M,VLOOKUP(K41,'3-Productie normen'!P:Q,2,FALSE),FALSE)))</f>
        <v>0</v>
      </c>
      <c r="P41" s="158">
        <f t="shared" si="6"/>
        <v>0</v>
      </c>
      <c r="Q41" s="159" t="str">
        <f>VLOOKUP(F41,'3-Productie normen'!A:I,9,FALSE)</f>
        <v>B</v>
      </c>
      <c r="R41" s="526"/>
      <c r="T41" s="126">
        <f t="shared" si="7"/>
        <v>46.800000000000004</v>
      </c>
    </row>
    <row r="42" spans="1:20" ht="14.1" customHeight="1">
      <c r="A42" s="141">
        <v>42</v>
      </c>
      <c r="B42" s="155" t="s">
        <v>339</v>
      </c>
      <c r="C42" s="155" t="s">
        <v>352</v>
      </c>
      <c r="D42" s="127" t="s">
        <v>103</v>
      </c>
      <c r="E42" s="161" t="s">
        <v>273</v>
      </c>
      <c r="F42" s="155" t="s">
        <v>17</v>
      </c>
      <c r="G42" s="123" t="s">
        <v>268</v>
      </c>
      <c r="H42" s="534">
        <v>1.6</v>
      </c>
      <c r="I42" s="453">
        <v>1</v>
      </c>
      <c r="J42" s="453">
        <v>1</v>
      </c>
      <c r="K42" s="156">
        <v>26</v>
      </c>
      <c r="L42" s="156"/>
      <c r="M42" s="157" t="e">
        <f t="shared" si="4"/>
        <v>#DIV/0!</v>
      </c>
      <c r="N42" s="157">
        <f t="shared" si="5"/>
        <v>0</v>
      </c>
      <c r="O42" s="158">
        <f>IF(K42="nio",0,IF(K42&gt;0,VLOOKUP(F42,'3-Productie normen'!A:M,VLOOKUP(K42,'3-Productie normen'!P:Q,2,FALSE),FALSE)))</f>
        <v>0</v>
      </c>
      <c r="P42" s="158">
        <f t="shared" si="6"/>
        <v>0</v>
      </c>
      <c r="Q42" s="159" t="str">
        <f>VLOOKUP(F42,'3-Productie normen'!A:I,9,FALSE)</f>
        <v>S</v>
      </c>
      <c r="R42" s="526"/>
      <c r="T42" s="126">
        <f t="shared" si="7"/>
        <v>41.6</v>
      </c>
    </row>
    <row r="43" spans="1:20" ht="14.1" customHeight="1">
      <c r="A43" s="141">
        <v>43</v>
      </c>
      <c r="B43" s="155" t="s">
        <v>339</v>
      </c>
      <c r="C43" s="155" t="s">
        <v>352</v>
      </c>
      <c r="D43" s="127" t="s">
        <v>103</v>
      </c>
      <c r="E43" s="123" t="s">
        <v>342</v>
      </c>
      <c r="F43" s="123" t="s">
        <v>213</v>
      </c>
      <c r="G43" s="123" t="s">
        <v>371</v>
      </c>
      <c r="H43" s="534">
        <v>10</v>
      </c>
      <c r="I43" s="453">
        <v>1</v>
      </c>
      <c r="J43" s="453">
        <v>1</v>
      </c>
      <c r="K43" s="156">
        <v>26</v>
      </c>
      <c r="L43" s="156"/>
      <c r="M43" s="157" t="e">
        <f t="shared" si="4"/>
        <v>#DIV/0!</v>
      </c>
      <c r="N43" s="157">
        <f t="shared" si="5"/>
        <v>0</v>
      </c>
      <c r="O43" s="158">
        <f>IF(K43="nio",0,IF(K43&gt;0,VLOOKUP(F43,'3-Productie normen'!A:M,VLOOKUP(K43,'3-Productie normen'!P:Q,2,FALSE),FALSE)))</f>
        <v>0</v>
      </c>
      <c r="P43" s="158">
        <f t="shared" si="6"/>
        <v>0</v>
      </c>
      <c r="Q43" s="159" t="str">
        <f>VLOOKUP(F43,'3-Productie normen'!A:I,9,FALSE)</f>
        <v>B</v>
      </c>
      <c r="R43" s="526"/>
      <c r="T43" s="126">
        <f t="shared" si="7"/>
        <v>260</v>
      </c>
    </row>
    <row r="44" spans="1:20" ht="14.1" customHeight="1">
      <c r="A44" s="141">
        <v>44</v>
      </c>
      <c r="B44" s="155" t="s">
        <v>343</v>
      </c>
      <c r="C44" s="155" t="s">
        <v>352</v>
      </c>
      <c r="D44" s="127" t="s">
        <v>103</v>
      </c>
      <c r="E44" s="163" t="s">
        <v>340</v>
      </c>
      <c r="F44" s="123" t="s">
        <v>393</v>
      </c>
      <c r="G44" s="123" t="s">
        <v>371</v>
      </c>
      <c r="H44" s="534">
        <v>75</v>
      </c>
      <c r="I44" s="453">
        <v>1</v>
      </c>
      <c r="J44" s="453">
        <v>1</v>
      </c>
      <c r="K44" s="156" t="s">
        <v>362</v>
      </c>
      <c r="L44" s="156"/>
      <c r="M44" s="157">
        <f t="shared" si="4"/>
        <v>0</v>
      </c>
      <c r="N44" s="157">
        <f t="shared" si="5"/>
        <v>0</v>
      </c>
      <c r="O44" s="158">
        <f>IF(K44="nio",0,IF(K44&gt;0,VLOOKUP(F44,'3-Productie normen'!A:M,VLOOKUP(K44,'3-Productie normen'!P:Q,2,FALSE),FALSE)))</f>
        <v>0</v>
      </c>
      <c r="P44" s="158">
        <f t="shared" si="6"/>
        <v>0</v>
      </c>
      <c r="Q44" s="159">
        <f>VLOOKUP(F44,'3-Productie normen'!A:I,9,FALSE)</f>
        <v>0</v>
      </c>
      <c r="R44" s="526"/>
      <c r="T44" s="126">
        <f t="shared" si="7"/>
        <v>0</v>
      </c>
    </row>
    <row r="45" spans="1:20" ht="14.1" customHeight="1">
      <c r="A45" s="141">
        <v>45</v>
      </c>
      <c r="B45" s="155" t="s">
        <v>343</v>
      </c>
      <c r="C45" s="155" t="s">
        <v>352</v>
      </c>
      <c r="D45" s="127" t="s">
        <v>103</v>
      </c>
      <c r="E45" s="123" t="s">
        <v>260</v>
      </c>
      <c r="F45" s="123" t="s">
        <v>214</v>
      </c>
      <c r="G45" s="123" t="s">
        <v>105</v>
      </c>
      <c r="H45" s="534">
        <v>15</v>
      </c>
      <c r="I45" s="453">
        <v>1</v>
      </c>
      <c r="J45" s="453">
        <v>1</v>
      </c>
      <c r="K45" s="156">
        <v>52</v>
      </c>
      <c r="L45" s="156"/>
      <c r="M45" s="157" t="e">
        <f t="shared" si="4"/>
        <v>#DIV/0!</v>
      </c>
      <c r="N45" s="157">
        <f t="shared" si="5"/>
        <v>0</v>
      </c>
      <c r="O45" s="158">
        <f>IF(K45="nio",0,IF(K45&gt;0,VLOOKUP(F45,'3-Productie normen'!A:M,VLOOKUP(K45,'3-Productie normen'!P:Q,2,FALSE),FALSE)))</f>
        <v>0</v>
      </c>
      <c r="P45" s="158">
        <f t="shared" si="6"/>
        <v>0</v>
      </c>
      <c r="Q45" s="159" t="str">
        <f>VLOOKUP(F45,'3-Productie normen'!A:I,9,FALSE)</f>
        <v>V</v>
      </c>
      <c r="R45" s="526"/>
      <c r="T45" s="126">
        <f t="shared" si="7"/>
        <v>780</v>
      </c>
    </row>
    <row r="46" spans="1:20" ht="14.1" customHeight="1">
      <c r="A46" s="141">
        <v>46</v>
      </c>
      <c r="B46" s="155" t="s">
        <v>343</v>
      </c>
      <c r="C46" s="155" t="s">
        <v>352</v>
      </c>
      <c r="D46" s="127" t="s">
        <v>103</v>
      </c>
      <c r="E46" s="155" t="s">
        <v>341</v>
      </c>
      <c r="F46" s="123" t="s">
        <v>345</v>
      </c>
      <c r="G46" s="123" t="s">
        <v>105</v>
      </c>
      <c r="H46" s="534">
        <v>2</v>
      </c>
      <c r="I46" s="453">
        <v>1</v>
      </c>
      <c r="J46" s="453">
        <v>1</v>
      </c>
      <c r="K46" s="156">
        <v>52</v>
      </c>
      <c r="L46" s="156"/>
      <c r="M46" s="157" t="e">
        <f t="shared" si="4"/>
        <v>#DIV/0!</v>
      </c>
      <c r="N46" s="157">
        <f t="shared" si="5"/>
        <v>0</v>
      </c>
      <c r="O46" s="158">
        <f>IF(K46="nio",0,IF(K46&gt;0,VLOOKUP(F46,'3-Productie normen'!A:M,VLOOKUP(K46,'3-Productie normen'!P:Q,2,FALSE),FALSE)))</f>
        <v>0</v>
      </c>
      <c r="P46" s="158">
        <f t="shared" si="6"/>
        <v>0</v>
      </c>
      <c r="Q46" s="159" t="str">
        <f>VLOOKUP(F46,'3-Productie normen'!A:I,9,FALSE)</f>
        <v>B</v>
      </c>
      <c r="R46" s="526"/>
      <c r="T46" s="126">
        <f t="shared" si="7"/>
        <v>104</v>
      </c>
    </row>
    <row r="47" spans="1:20" ht="14.1" customHeight="1">
      <c r="A47" s="141">
        <v>47</v>
      </c>
      <c r="B47" s="155" t="s">
        <v>343</v>
      </c>
      <c r="C47" s="155" t="s">
        <v>352</v>
      </c>
      <c r="D47" s="127" t="s">
        <v>103</v>
      </c>
      <c r="E47" s="155" t="s">
        <v>273</v>
      </c>
      <c r="F47" s="155" t="s">
        <v>17</v>
      </c>
      <c r="G47" s="123" t="s">
        <v>268</v>
      </c>
      <c r="H47" s="534">
        <v>1.5</v>
      </c>
      <c r="I47" s="453">
        <v>1</v>
      </c>
      <c r="J47" s="453">
        <v>1</v>
      </c>
      <c r="K47" s="156">
        <v>52</v>
      </c>
      <c r="L47" s="156"/>
      <c r="M47" s="157" t="e">
        <f t="shared" si="4"/>
        <v>#DIV/0!</v>
      </c>
      <c r="N47" s="157">
        <f t="shared" si="5"/>
        <v>0</v>
      </c>
      <c r="O47" s="158">
        <f>IF(K47="nio",0,IF(K47&gt;0,VLOOKUP(F47,'3-Productie normen'!A:M,VLOOKUP(K47,'3-Productie normen'!P:Q,2,FALSE),FALSE)))</f>
        <v>0</v>
      </c>
      <c r="P47" s="158">
        <f t="shared" si="6"/>
        <v>0</v>
      </c>
      <c r="Q47" s="159" t="str">
        <f>VLOOKUP(F47,'3-Productie normen'!A:I,9,FALSE)</f>
        <v>S</v>
      </c>
      <c r="R47" s="526"/>
      <c r="T47" s="126">
        <f t="shared" si="7"/>
        <v>78</v>
      </c>
    </row>
    <row r="48" spans="1:20" ht="14.1" customHeight="1">
      <c r="A48" s="141">
        <v>48</v>
      </c>
      <c r="B48" s="155" t="s">
        <v>343</v>
      </c>
      <c r="C48" s="155" t="s">
        <v>352</v>
      </c>
      <c r="D48" s="127" t="s">
        <v>103</v>
      </c>
      <c r="E48" s="155" t="s">
        <v>267</v>
      </c>
      <c r="F48" s="123" t="s">
        <v>213</v>
      </c>
      <c r="G48" s="123" t="s">
        <v>105</v>
      </c>
      <c r="H48" s="534">
        <v>10</v>
      </c>
      <c r="I48" s="453">
        <v>1</v>
      </c>
      <c r="J48" s="453">
        <v>1</v>
      </c>
      <c r="K48" s="156">
        <v>52</v>
      </c>
      <c r="L48" s="156"/>
      <c r="M48" s="157" t="e">
        <f t="shared" si="4"/>
        <v>#DIV/0!</v>
      </c>
      <c r="N48" s="157">
        <f t="shared" si="5"/>
        <v>0</v>
      </c>
      <c r="O48" s="158">
        <f>IF(K48="nio",0,IF(K48&gt;0,VLOOKUP(F48,'3-Productie normen'!A:M,VLOOKUP(K48,'3-Productie normen'!P:Q,2,FALSE),FALSE)))</f>
        <v>0</v>
      </c>
      <c r="P48" s="158">
        <f t="shared" si="6"/>
        <v>0</v>
      </c>
      <c r="Q48" s="159" t="str">
        <f>VLOOKUP(F48,'3-Productie normen'!A:I,9,FALSE)</f>
        <v>B</v>
      </c>
      <c r="R48" s="526"/>
      <c r="T48" s="126">
        <f t="shared" si="7"/>
        <v>520</v>
      </c>
    </row>
    <row r="49" spans="2:18" ht="14.1" customHeight="1">
      <c r="B49" s="164"/>
      <c r="C49" s="164"/>
      <c r="D49" s="165"/>
      <c r="E49" s="166"/>
      <c r="F49" s="166"/>
      <c r="H49" s="167"/>
      <c r="I49" s="410"/>
      <c r="J49" s="410"/>
      <c r="K49" s="168"/>
      <c r="L49" s="168"/>
      <c r="M49" s="169"/>
      <c r="N49" s="169"/>
      <c r="O49" s="170"/>
      <c r="P49" s="170"/>
      <c r="Q49" s="171"/>
      <c r="R49" s="530"/>
    </row>
    <row r="50" spans="2:18" ht="14.1" customHeight="1">
      <c r="B50" s="164"/>
      <c r="C50" s="164"/>
      <c r="D50" s="165"/>
      <c r="E50" s="166"/>
      <c r="F50" s="166"/>
      <c r="H50" s="167"/>
      <c r="I50" s="410"/>
      <c r="J50" s="410"/>
      <c r="K50" s="168"/>
      <c r="L50" s="168"/>
      <c r="M50" s="169"/>
      <c r="N50" s="169"/>
      <c r="O50" s="170"/>
      <c r="P50" s="170"/>
      <c r="Q50" s="171"/>
      <c r="R50" s="530"/>
    </row>
    <row r="51" spans="2:18" ht="14.1" customHeight="1">
      <c r="B51" s="164"/>
      <c r="C51" s="164"/>
      <c r="D51" s="165"/>
      <c r="E51" s="166"/>
      <c r="F51" s="166"/>
      <c r="H51" s="167"/>
      <c r="I51" s="410"/>
      <c r="J51" s="410"/>
      <c r="K51" s="168"/>
      <c r="L51" s="168"/>
      <c r="M51" s="169"/>
      <c r="N51" s="169"/>
      <c r="O51" s="170"/>
      <c r="P51" s="170"/>
      <c r="Q51" s="171"/>
      <c r="R51" s="530"/>
    </row>
    <row r="52" spans="2:18" ht="14.1" customHeight="1">
      <c r="B52" s="164"/>
      <c r="C52" s="164"/>
      <c r="D52" s="165"/>
      <c r="E52" s="166"/>
      <c r="F52" s="166"/>
      <c r="H52" s="167"/>
      <c r="I52" s="410"/>
      <c r="J52" s="410"/>
      <c r="K52" s="168"/>
      <c r="L52" s="168"/>
      <c r="M52" s="169"/>
      <c r="N52" s="169"/>
      <c r="O52" s="170"/>
      <c r="P52" s="170"/>
      <c r="Q52" s="171"/>
      <c r="R52" s="530"/>
    </row>
    <row r="53" spans="2:18" ht="14.1" customHeight="1">
      <c r="B53" s="164"/>
      <c r="C53" s="164"/>
      <c r="D53" s="165"/>
      <c r="E53" s="166"/>
      <c r="F53" s="166"/>
      <c r="H53" s="167"/>
      <c r="I53" s="410"/>
      <c r="J53" s="410"/>
      <c r="K53" s="168"/>
      <c r="L53" s="168"/>
      <c r="M53" s="169"/>
      <c r="N53" s="169"/>
      <c r="O53" s="170"/>
      <c r="P53" s="170"/>
      <c r="Q53" s="171"/>
      <c r="R53" s="530"/>
    </row>
    <row r="54" spans="2:18" ht="14.1" customHeight="1">
      <c r="B54" s="164"/>
      <c r="C54" s="164"/>
      <c r="D54" s="165"/>
      <c r="E54" s="166"/>
      <c r="F54" s="166"/>
      <c r="H54" s="167"/>
      <c r="I54" s="410"/>
      <c r="J54" s="410"/>
      <c r="K54" s="168"/>
      <c r="L54" s="168"/>
      <c r="M54" s="169"/>
      <c r="N54" s="169"/>
      <c r="O54" s="170"/>
      <c r="P54" s="170"/>
      <c r="Q54" s="171"/>
      <c r="R54" s="530"/>
    </row>
    <row r="55" spans="2:18" ht="14.1" customHeight="1">
      <c r="B55" s="164"/>
      <c r="C55" s="164"/>
      <c r="D55" s="165"/>
      <c r="E55" s="166"/>
      <c r="F55" s="166"/>
      <c r="H55" s="167"/>
      <c r="I55" s="410"/>
      <c r="J55" s="410"/>
      <c r="K55" s="168"/>
      <c r="L55" s="168"/>
      <c r="M55" s="169"/>
      <c r="N55" s="169"/>
      <c r="O55" s="170"/>
      <c r="P55" s="170"/>
      <c r="Q55" s="171"/>
      <c r="R55" s="530"/>
    </row>
    <row r="56" spans="2:18" ht="14.1" customHeight="1">
      <c r="B56" s="164"/>
      <c r="C56" s="164"/>
      <c r="D56" s="165"/>
      <c r="E56" s="166"/>
      <c r="F56" s="166"/>
      <c r="H56" s="167"/>
      <c r="I56" s="410"/>
      <c r="J56" s="410"/>
      <c r="K56" s="168"/>
      <c r="L56" s="168"/>
      <c r="M56" s="169"/>
      <c r="N56" s="169"/>
      <c r="O56" s="170"/>
      <c r="P56" s="170"/>
      <c r="Q56" s="171"/>
      <c r="R56" s="530"/>
    </row>
    <row r="57" spans="2:18" ht="14.1" customHeight="1">
      <c r="B57" s="164"/>
      <c r="C57" s="164"/>
      <c r="D57" s="165"/>
      <c r="E57" s="166"/>
      <c r="F57" s="166"/>
      <c r="H57" s="167"/>
      <c r="I57" s="410"/>
      <c r="J57" s="410"/>
      <c r="K57" s="168"/>
      <c r="L57" s="168"/>
      <c r="M57" s="169"/>
      <c r="N57" s="169"/>
      <c r="O57" s="170"/>
      <c r="P57" s="170"/>
      <c r="Q57" s="171"/>
      <c r="R57" s="530"/>
    </row>
    <row r="58" spans="2:18" ht="14.1" customHeight="1">
      <c r="B58" s="164"/>
      <c r="C58" s="164"/>
      <c r="D58" s="165"/>
      <c r="E58" s="166"/>
      <c r="F58" s="166"/>
      <c r="H58" s="167"/>
      <c r="I58" s="410"/>
      <c r="J58" s="410"/>
      <c r="K58" s="168"/>
      <c r="L58" s="168"/>
      <c r="M58" s="169"/>
      <c r="N58" s="169"/>
      <c r="O58" s="170"/>
      <c r="P58" s="170"/>
      <c r="Q58" s="171"/>
      <c r="R58" s="530"/>
    </row>
    <row r="59" spans="2:18" ht="14.1" customHeight="1">
      <c r="B59" s="164"/>
      <c r="C59" s="164"/>
      <c r="D59" s="165"/>
      <c r="E59" s="166"/>
      <c r="F59" s="166"/>
      <c r="H59" s="167"/>
      <c r="I59" s="410"/>
      <c r="J59" s="410"/>
      <c r="K59" s="168"/>
      <c r="L59" s="168"/>
      <c r="M59" s="169"/>
      <c r="N59" s="169"/>
      <c r="O59" s="170"/>
      <c r="P59" s="170"/>
      <c r="Q59" s="171"/>
      <c r="R59" s="530"/>
    </row>
    <row r="60" spans="2:18" ht="14.1" customHeight="1">
      <c r="B60" s="164"/>
      <c r="C60" s="164"/>
      <c r="D60" s="165"/>
      <c r="E60" s="166"/>
      <c r="F60" s="166"/>
      <c r="H60" s="167"/>
      <c r="I60" s="410"/>
      <c r="J60" s="410"/>
      <c r="K60" s="168"/>
      <c r="L60" s="168"/>
      <c r="M60" s="169"/>
      <c r="N60" s="169"/>
      <c r="O60" s="170"/>
      <c r="P60" s="170"/>
      <c r="Q60" s="171"/>
      <c r="R60" s="530"/>
    </row>
    <row r="61" spans="2:18" ht="14.1" customHeight="1">
      <c r="B61" s="164"/>
      <c r="C61" s="164"/>
      <c r="D61" s="165"/>
      <c r="E61" s="166"/>
      <c r="F61" s="166"/>
      <c r="H61" s="167"/>
      <c r="I61" s="410"/>
      <c r="J61" s="410"/>
      <c r="K61" s="168"/>
      <c r="L61" s="168"/>
      <c r="M61" s="169"/>
      <c r="N61" s="169"/>
      <c r="O61" s="170"/>
      <c r="P61" s="170"/>
      <c r="Q61" s="171"/>
      <c r="R61" s="530"/>
    </row>
    <row r="62" spans="2:18" ht="14.1" customHeight="1">
      <c r="B62" s="164"/>
      <c r="C62" s="164"/>
      <c r="D62" s="165"/>
      <c r="E62" s="166"/>
      <c r="F62" s="166"/>
      <c r="H62" s="167"/>
      <c r="I62" s="410"/>
      <c r="J62" s="410"/>
      <c r="K62" s="168"/>
      <c r="L62" s="168"/>
      <c r="M62" s="169"/>
      <c r="N62" s="169"/>
      <c r="O62" s="170"/>
      <c r="P62" s="170"/>
      <c r="Q62" s="171"/>
      <c r="R62" s="530"/>
    </row>
    <row r="63" spans="2:18" ht="14.1" customHeight="1">
      <c r="B63" s="164"/>
      <c r="C63" s="164"/>
      <c r="D63" s="165"/>
      <c r="E63" s="166"/>
      <c r="F63" s="166"/>
      <c r="H63" s="167"/>
      <c r="I63" s="410"/>
      <c r="J63" s="410"/>
      <c r="K63" s="168"/>
      <c r="L63" s="168"/>
      <c r="M63" s="169"/>
      <c r="N63" s="169"/>
      <c r="O63" s="170"/>
      <c r="P63" s="170"/>
      <c r="Q63" s="171"/>
      <c r="R63" s="530"/>
    </row>
    <row r="64" spans="2:18" ht="14.1" customHeight="1">
      <c r="B64" s="164"/>
      <c r="C64" s="164"/>
      <c r="D64" s="165"/>
      <c r="E64" s="166"/>
      <c r="F64" s="166"/>
      <c r="H64" s="167"/>
      <c r="I64" s="410"/>
      <c r="J64" s="410"/>
      <c r="K64" s="168"/>
      <c r="L64" s="168"/>
      <c r="M64" s="169"/>
      <c r="N64" s="169"/>
      <c r="O64" s="170"/>
      <c r="P64" s="170"/>
      <c r="Q64" s="171"/>
      <c r="R64" s="530"/>
    </row>
    <row r="65" spans="2:18" ht="14.1" customHeight="1">
      <c r="B65" s="164"/>
      <c r="C65" s="164"/>
      <c r="D65" s="165"/>
      <c r="E65" s="166"/>
      <c r="F65" s="166"/>
      <c r="H65" s="167"/>
      <c r="I65" s="410"/>
      <c r="J65" s="410"/>
      <c r="K65" s="168"/>
      <c r="L65" s="168"/>
      <c r="M65" s="169"/>
      <c r="N65" s="169"/>
      <c r="O65" s="170"/>
      <c r="P65" s="170"/>
      <c r="Q65" s="171"/>
      <c r="R65" s="530"/>
    </row>
    <row r="66" spans="2:18" ht="14.1" customHeight="1">
      <c r="B66" s="164"/>
      <c r="C66" s="164"/>
      <c r="D66" s="165"/>
      <c r="E66" s="166"/>
      <c r="F66" s="166"/>
      <c r="H66" s="167"/>
      <c r="I66" s="410"/>
      <c r="J66" s="410"/>
      <c r="K66" s="168"/>
      <c r="L66" s="168"/>
      <c r="M66" s="169"/>
      <c r="N66" s="169"/>
      <c r="O66" s="170"/>
      <c r="P66" s="170"/>
      <c r="Q66" s="171"/>
      <c r="R66" s="530"/>
    </row>
    <row r="67" spans="2:18" ht="14.1" customHeight="1">
      <c r="B67" s="164"/>
      <c r="C67" s="164"/>
      <c r="D67" s="165"/>
      <c r="E67" s="166"/>
      <c r="F67" s="166"/>
      <c r="H67" s="167"/>
      <c r="I67" s="410"/>
      <c r="J67" s="410"/>
      <c r="K67" s="168"/>
      <c r="L67" s="168"/>
      <c r="M67" s="169"/>
      <c r="N67" s="169"/>
      <c r="O67" s="170"/>
      <c r="P67" s="170"/>
      <c r="Q67" s="171"/>
      <c r="R67" s="530"/>
    </row>
    <row r="68" spans="2:18" ht="14.1" customHeight="1">
      <c r="B68" s="164"/>
      <c r="C68" s="164"/>
      <c r="D68" s="165"/>
      <c r="E68" s="166"/>
      <c r="F68" s="166"/>
      <c r="H68" s="167"/>
      <c r="I68" s="410"/>
      <c r="J68" s="410"/>
      <c r="K68" s="168"/>
      <c r="L68" s="168"/>
      <c r="M68" s="169"/>
      <c r="N68" s="169"/>
      <c r="O68" s="170"/>
      <c r="P68" s="170"/>
      <c r="Q68" s="171"/>
      <c r="R68" s="530"/>
    </row>
    <row r="69" spans="2:18" ht="14.1" customHeight="1">
      <c r="B69" s="164"/>
      <c r="C69" s="164"/>
      <c r="D69" s="165"/>
      <c r="E69" s="166"/>
      <c r="F69" s="166"/>
      <c r="H69" s="167"/>
      <c r="I69" s="410"/>
      <c r="J69" s="410"/>
      <c r="K69" s="168"/>
      <c r="L69" s="168"/>
      <c r="M69" s="169"/>
      <c r="N69" s="169"/>
      <c r="O69" s="170"/>
      <c r="P69" s="170"/>
      <c r="Q69" s="171"/>
      <c r="R69" s="530"/>
    </row>
    <row r="70" spans="2:18" ht="14.1" customHeight="1">
      <c r="B70" s="164"/>
      <c r="C70" s="164"/>
      <c r="D70" s="165"/>
      <c r="E70" s="166"/>
      <c r="F70" s="166"/>
      <c r="H70" s="167"/>
      <c r="I70" s="410"/>
      <c r="J70" s="410"/>
      <c r="K70" s="168"/>
      <c r="L70" s="168"/>
      <c r="M70" s="169"/>
      <c r="N70" s="169"/>
      <c r="O70" s="170"/>
      <c r="P70" s="170"/>
      <c r="Q70" s="171"/>
      <c r="R70" s="530"/>
    </row>
    <row r="71" spans="2:18" ht="14.1" customHeight="1">
      <c r="B71" s="164"/>
      <c r="C71" s="164"/>
      <c r="D71" s="165"/>
      <c r="E71" s="166"/>
      <c r="F71" s="166"/>
      <c r="H71" s="167"/>
      <c r="I71" s="410"/>
      <c r="J71" s="410"/>
      <c r="K71" s="168"/>
      <c r="L71" s="168"/>
      <c r="M71" s="169"/>
      <c r="N71" s="169"/>
      <c r="O71" s="170"/>
      <c r="P71" s="170"/>
      <c r="Q71" s="171"/>
      <c r="R71" s="530"/>
    </row>
    <row r="72" spans="2:18" ht="14.1" customHeight="1">
      <c r="B72" s="164"/>
      <c r="C72" s="164"/>
      <c r="D72" s="165"/>
      <c r="E72" s="166"/>
      <c r="F72" s="166"/>
      <c r="H72" s="167"/>
      <c r="I72" s="410"/>
      <c r="J72" s="410"/>
      <c r="K72" s="168"/>
      <c r="L72" s="168"/>
      <c r="M72" s="169"/>
      <c r="N72" s="169"/>
      <c r="O72" s="170"/>
      <c r="P72" s="170"/>
      <c r="Q72" s="171"/>
      <c r="R72" s="530"/>
    </row>
    <row r="73" spans="2:18" ht="14.1" customHeight="1">
      <c r="B73" s="164"/>
      <c r="C73" s="164"/>
      <c r="D73" s="165"/>
      <c r="E73" s="166"/>
      <c r="F73" s="166"/>
      <c r="H73" s="167"/>
      <c r="I73" s="410"/>
      <c r="J73" s="410"/>
      <c r="K73" s="168"/>
      <c r="L73" s="168"/>
      <c r="M73" s="169"/>
      <c r="N73" s="169"/>
      <c r="O73" s="170"/>
      <c r="P73" s="170"/>
      <c r="Q73" s="171"/>
      <c r="R73" s="530"/>
    </row>
    <row r="74" spans="2:18" ht="14.1" customHeight="1">
      <c r="B74" s="164"/>
      <c r="C74" s="164"/>
      <c r="D74" s="165"/>
      <c r="E74" s="166"/>
      <c r="F74" s="166"/>
      <c r="H74" s="167"/>
      <c r="I74" s="410"/>
      <c r="J74" s="410"/>
      <c r="K74" s="168"/>
      <c r="L74" s="168"/>
      <c r="M74" s="169"/>
      <c r="N74" s="169"/>
      <c r="O74" s="170"/>
      <c r="P74" s="170"/>
      <c r="Q74" s="171"/>
      <c r="R74" s="530"/>
    </row>
    <row r="75" spans="2:18" ht="14.1" customHeight="1">
      <c r="B75" s="164"/>
      <c r="C75" s="164"/>
      <c r="D75" s="165"/>
      <c r="E75" s="166"/>
      <c r="F75" s="166"/>
      <c r="H75" s="167"/>
      <c r="I75" s="410"/>
      <c r="J75" s="410"/>
      <c r="K75" s="168"/>
      <c r="L75" s="168"/>
      <c r="M75" s="169"/>
      <c r="N75" s="169"/>
      <c r="O75" s="170"/>
      <c r="P75" s="170"/>
      <c r="Q75" s="171"/>
      <c r="R75" s="530"/>
    </row>
    <row r="76" spans="2:18" ht="14.1" customHeight="1">
      <c r="B76" s="164"/>
      <c r="C76" s="164"/>
      <c r="D76" s="165"/>
      <c r="E76" s="166"/>
      <c r="F76" s="166"/>
      <c r="H76" s="167"/>
      <c r="I76" s="410"/>
      <c r="J76" s="410"/>
      <c r="K76" s="168"/>
      <c r="L76" s="168"/>
      <c r="M76" s="169"/>
      <c r="N76" s="169"/>
      <c r="O76" s="170"/>
      <c r="P76" s="170"/>
      <c r="Q76" s="171"/>
      <c r="R76" s="530"/>
    </row>
    <row r="77" spans="2:18" ht="14.1" customHeight="1">
      <c r="B77" s="164"/>
      <c r="C77" s="164"/>
      <c r="D77" s="165"/>
      <c r="E77" s="166"/>
      <c r="F77" s="166"/>
      <c r="H77" s="167"/>
      <c r="I77" s="410"/>
      <c r="J77" s="410"/>
      <c r="K77" s="168"/>
      <c r="L77" s="168"/>
      <c r="M77" s="169"/>
      <c r="N77" s="169"/>
      <c r="O77" s="170"/>
      <c r="P77" s="170"/>
      <c r="Q77" s="171"/>
      <c r="R77" s="530"/>
    </row>
    <row r="78" spans="2:18" ht="14.1" customHeight="1">
      <c r="B78" s="164"/>
      <c r="C78" s="164"/>
      <c r="D78" s="165"/>
      <c r="E78" s="166"/>
      <c r="F78" s="166"/>
      <c r="H78" s="167"/>
      <c r="I78" s="410"/>
      <c r="J78" s="410"/>
      <c r="K78" s="168"/>
      <c r="L78" s="168"/>
      <c r="M78" s="169"/>
      <c r="N78" s="169"/>
      <c r="O78" s="170"/>
      <c r="P78" s="170"/>
      <c r="Q78" s="171"/>
      <c r="R78" s="530"/>
    </row>
    <row r="79" spans="2:18" ht="14.1" customHeight="1">
      <c r="B79" s="164"/>
      <c r="C79" s="164"/>
      <c r="D79" s="165"/>
      <c r="E79" s="166"/>
      <c r="F79" s="166"/>
      <c r="H79" s="167"/>
      <c r="I79" s="410"/>
      <c r="J79" s="410"/>
      <c r="K79" s="168"/>
      <c r="L79" s="168"/>
      <c r="M79" s="169"/>
      <c r="N79" s="169"/>
      <c r="O79" s="170"/>
      <c r="P79" s="170"/>
      <c r="Q79" s="171"/>
      <c r="R79" s="530"/>
    </row>
    <row r="80" spans="2:18" ht="14.1" customHeight="1">
      <c r="B80" s="164"/>
      <c r="C80" s="164"/>
      <c r="D80" s="165"/>
      <c r="E80" s="166"/>
      <c r="F80" s="166"/>
      <c r="H80" s="167"/>
      <c r="I80" s="410"/>
      <c r="J80" s="410"/>
      <c r="K80" s="168"/>
      <c r="L80" s="168"/>
      <c r="M80" s="169"/>
      <c r="N80" s="169"/>
      <c r="O80" s="170"/>
      <c r="P80" s="170"/>
      <c r="Q80" s="171"/>
      <c r="R80" s="530"/>
    </row>
    <row r="81" spans="2:18" ht="14.1" customHeight="1">
      <c r="B81" s="164"/>
      <c r="C81" s="164"/>
      <c r="D81" s="165"/>
      <c r="E81" s="166"/>
      <c r="F81" s="166"/>
      <c r="H81" s="167"/>
      <c r="I81" s="410"/>
      <c r="J81" s="410"/>
      <c r="K81" s="168"/>
      <c r="L81" s="168"/>
      <c r="M81" s="169"/>
      <c r="N81" s="169"/>
      <c r="O81" s="170"/>
      <c r="P81" s="170"/>
      <c r="Q81" s="171"/>
      <c r="R81" s="530"/>
    </row>
    <row r="82" spans="2:18" ht="14.1" customHeight="1">
      <c r="B82" s="164"/>
      <c r="C82" s="164"/>
      <c r="D82" s="165"/>
      <c r="E82" s="166"/>
      <c r="F82" s="166"/>
      <c r="H82" s="167"/>
      <c r="I82" s="410"/>
      <c r="J82" s="410"/>
      <c r="K82" s="168"/>
      <c r="L82" s="168"/>
      <c r="M82" s="169"/>
      <c r="N82" s="169"/>
      <c r="O82" s="170"/>
      <c r="P82" s="170"/>
      <c r="Q82" s="171"/>
      <c r="R82" s="530"/>
    </row>
    <row r="83" spans="2:18" ht="14.1" customHeight="1">
      <c r="B83" s="164"/>
      <c r="C83" s="164"/>
      <c r="D83" s="165"/>
      <c r="E83" s="166"/>
      <c r="F83" s="166"/>
      <c r="H83" s="167"/>
      <c r="I83" s="410"/>
      <c r="J83" s="410"/>
      <c r="K83" s="168"/>
      <c r="L83" s="168"/>
      <c r="M83" s="169"/>
      <c r="N83" s="169"/>
      <c r="O83" s="170"/>
      <c r="P83" s="170"/>
      <c r="Q83" s="171"/>
      <c r="R83" s="530"/>
    </row>
    <row r="84" spans="2:18" ht="14.1" customHeight="1">
      <c r="B84" s="164"/>
      <c r="C84" s="164"/>
      <c r="D84" s="165"/>
      <c r="E84" s="166"/>
      <c r="F84" s="166"/>
      <c r="H84" s="167"/>
      <c r="I84" s="410"/>
      <c r="J84" s="410"/>
      <c r="K84" s="168"/>
      <c r="L84" s="168"/>
      <c r="M84" s="169"/>
      <c r="N84" s="169"/>
      <c r="O84" s="170"/>
      <c r="P84" s="170"/>
      <c r="Q84" s="171"/>
      <c r="R84" s="530"/>
    </row>
    <row r="85" spans="2:18" ht="14.1" customHeight="1">
      <c r="B85" s="164"/>
      <c r="C85" s="164"/>
      <c r="D85" s="165"/>
      <c r="E85" s="166"/>
      <c r="F85" s="166"/>
      <c r="H85" s="167"/>
      <c r="I85" s="410"/>
      <c r="J85" s="410"/>
      <c r="K85" s="168"/>
      <c r="L85" s="168"/>
      <c r="M85" s="169"/>
      <c r="N85" s="169"/>
      <c r="O85" s="170"/>
      <c r="P85" s="170"/>
      <c r="Q85" s="171"/>
      <c r="R85" s="530"/>
    </row>
    <row r="86" spans="2:18" ht="14.1" customHeight="1">
      <c r="B86" s="164"/>
      <c r="C86" s="164"/>
      <c r="D86" s="165"/>
      <c r="E86" s="166"/>
      <c r="F86" s="166"/>
      <c r="H86" s="167"/>
      <c r="I86" s="410"/>
      <c r="J86" s="410"/>
      <c r="K86" s="168"/>
      <c r="L86" s="168"/>
      <c r="M86" s="169"/>
      <c r="N86" s="169"/>
      <c r="O86" s="170"/>
      <c r="P86" s="170"/>
      <c r="Q86" s="171"/>
      <c r="R86" s="530"/>
    </row>
    <row r="87" spans="2:18" ht="14.1" customHeight="1">
      <c r="B87" s="164"/>
      <c r="C87" s="164"/>
      <c r="D87" s="165"/>
      <c r="E87" s="166"/>
      <c r="F87" s="166"/>
      <c r="H87" s="167"/>
      <c r="I87" s="410"/>
      <c r="J87" s="410"/>
      <c r="K87" s="168"/>
      <c r="L87" s="168"/>
      <c r="M87" s="169"/>
      <c r="N87" s="169"/>
      <c r="O87" s="170"/>
      <c r="P87" s="170"/>
      <c r="Q87" s="171"/>
      <c r="R87" s="530"/>
    </row>
    <row r="88" spans="2:18" ht="14.1" customHeight="1">
      <c r="B88" s="164"/>
      <c r="C88" s="164"/>
      <c r="D88" s="165"/>
      <c r="E88" s="166"/>
      <c r="F88" s="166"/>
      <c r="H88" s="167"/>
      <c r="I88" s="410"/>
      <c r="J88" s="410"/>
      <c r="K88" s="168"/>
      <c r="L88" s="168"/>
      <c r="M88" s="169"/>
      <c r="N88" s="169"/>
      <c r="O88" s="170"/>
      <c r="P88" s="170"/>
      <c r="Q88" s="171"/>
      <c r="R88" s="530"/>
    </row>
    <row r="89" spans="2:18" ht="14.1" customHeight="1">
      <c r="B89" s="164"/>
      <c r="C89" s="164"/>
      <c r="D89" s="165"/>
      <c r="E89" s="166"/>
      <c r="F89" s="166"/>
      <c r="H89" s="167"/>
      <c r="I89" s="410"/>
      <c r="J89" s="410"/>
      <c r="K89" s="168"/>
      <c r="L89" s="168"/>
      <c r="M89" s="169"/>
      <c r="N89" s="169"/>
      <c r="O89" s="170"/>
      <c r="P89" s="170"/>
      <c r="Q89" s="171"/>
      <c r="R89" s="530"/>
    </row>
    <row r="90" spans="2:18" ht="14.1" customHeight="1">
      <c r="B90" s="164"/>
      <c r="C90" s="164"/>
      <c r="D90" s="165"/>
      <c r="E90" s="166"/>
      <c r="F90" s="166"/>
      <c r="H90" s="167"/>
      <c r="I90" s="410"/>
      <c r="J90" s="410"/>
      <c r="K90" s="168"/>
      <c r="L90" s="168"/>
      <c r="M90" s="169"/>
      <c r="N90" s="169"/>
      <c r="O90" s="170"/>
      <c r="P90" s="170"/>
      <c r="Q90" s="171"/>
      <c r="R90" s="530"/>
    </row>
    <row r="91" spans="2:18" ht="14.1" customHeight="1">
      <c r="B91" s="164"/>
      <c r="C91" s="164"/>
      <c r="D91" s="165"/>
      <c r="E91" s="166"/>
      <c r="F91" s="166"/>
      <c r="H91" s="167"/>
      <c r="I91" s="410"/>
      <c r="J91" s="410"/>
      <c r="K91" s="168"/>
      <c r="L91" s="168"/>
      <c r="M91" s="169"/>
      <c r="N91" s="169"/>
      <c r="O91" s="170"/>
      <c r="P91" s="170"/>
      <c r="Q91" s="171"/>
      <c r="R91" s="530"/>
    </row>
    <row r="92" spans="2:18" ht="14.1" customHeight="1">
      <c r="B92" s="164"/>
      <c r="C92" s="164"/>
      <c r="D92" s="165"/>
      <c r="E92" s="166"/>
      <c r="F92" s="166"/>
      <c r="H92" s="167"/>
      <c r="I92" s="410"/>
      <c r="J92" s="410"/>
      <c r="K92" s="168"/>
      <c r="L92" s="168"/>
      <c r="M92" s="169"/>
      <c r="N92" s="169"/>
      <c r="O92" s="170"/>
      <c r="P92" s="170"/>
      <c r="Q92" s="171"/>
      <c r="R92" s="530"/>
    </row>
    <row r="93" spans="2:18" ht="14.1" customHeight="1">
      <c r="B93" s="164"/>
      <c r="C93" s="164"/>
      <c r="D93" s="165"/>
      <c r="E93" s="166"/>
      <c r="F93" s="166"/>
      <c r="H93" s="167"/>
      <c r="I93" s="410"/>
      <c r="J93" s="410"/>
      <c r="K93" s="168"/>
      <c r="L93" s="168"/>
      <c r="M93" s="169"/>
      <c r="N93" s="169"/>
      <c r="O93" s="170"/>
      <c r="P93" s="170"/>
      <c r="Q93" s="171"/>
      <c r="R93" s="530"/>
    </row>
    <row r="94" spans="2:18" ht="14.1" customHeight="1">
      <c r="B94" s="164"/>
      <c r="C94" s="164"/>
      <c r="D94" s="165"/>
      <c r="E94" s="166"/>
      <c r="F94" s="166"/>
      <c r="H94" s="167"/>
      <c r="I94" s="410"/>
      <c r="J94" s="410"/>
      <c r="K94" s="168"/>
      <c r="L94" s="168"/>
      <c r="M94" s="169"/>
      <c r="N94" s="169"/>
      <c r="O94" s="170"/>
      <c r="P94" s="170"/>
      <c r="Q94" s="171"/>
      <c r="R94" s="530"/>
    </row>
    <row r="95" spans="2:18" ht="14.1" customHeight="1">
      <c r="B95" s="164"/>
      <c r="C95" s="164"/>
      <c r="D95" s="165"/>
      <c r="E95" s="166"/>
      <c r="F95" s="166"/>
      <c r="H95" s="167"/>
      <c r="I95" s="410"/>
      <c r="J95" s="410"/>
      <c r="K95" s="168"/>
      <c r="L95" s="168"/>
      <c r="M95" s="169"/>
      <c r="N95" s="169"/>
      <c r="O95" s="170"/>
      <c r="P95" s="170"/>
      <c r="Q95" s="171"/>
      <c r="R95" s="530"/>
    </row>
    <row r="96" spans="2:18" ht="14.1" customHeight="1">
      <c r="B96" s="164"/>
      <c r="C96" s="164"/>
      <c r="D96" s="165"/>
      <c r="E96" s="166"/>
      <c r="F96" s="166"/>
      <c r="H96" s="167"/>
      <c r="I96" s="410"/>
      <c r="J96" s="410"/>
      <c r="K96" s="168"/>
      <c r="L96" s="168"/>
      <c r="M96" s="169"/>
      <c r="N96" s="169"/>
      <c r="O96" s="170"/>
      <c r="P96" s="170"/>
      <c r="Q96" s="171"/>
      <c r="R96" s="530"/>
    </row>
    <row r="97" spans="2:18" ht="14.1" customHeight="1">
      <c r="B97" s="164"/>
      <c r="C97" s="164"/>
      <c r="D97" s="165"/>
      <c r="E97" s="166"/>
      <c r="F97" s="166"/>
      <c r="H97" s="167"/>
      <c r="I97" s="410"/>
      <c r="J97" s="410"/>
      <c r="K97" s="168"/>
      <c r="L97" s="168"/>
      <c r="M97" s="169"/>
      <c r="N97" s="169"/>
      <c r="O97" s="170"/>
      <c r="P97" s="170"/>
      <c r="Q97" s="171"/>
      <c r="R97" s="530"/>
    </row>
    <row r="98" spans="2:18" ht="14.1" customHeight="1">
      <c r="B98" s="164"/>
      <c r="C98" s="164"/>
      <c r="D98" s="165"/>
      <c r="E98" s="166"/>
      <c r="F98" s="166"/>
      <c r="H98" s="167"/>
      <c r="I98" s="410"/>
      <c r="J98" s="410"/>
      <c r="K98" s="168"/>
      <c r="L98" s="168"/>
      <c r="M98" s="169"/>
      <c r="N98" s="169"/>
      <c r="O98" s="170"/>
      <c r="P98" s="170"/>
      <c r="Q98" s="171"/>
      <c r="R98" s="530"/>
    </row>
    <row r="99" spans="2:18" ht="14.1" customHeight="1">
      <c r="B99" s="164"/>
      <c r="C99" s="164"/>
      <c r="D99" s="165"/>
      <c r="E99" s="166"/>
      <c r="F99" s="166"/>
      <c r="H99" s="167"/>
      <c r="I99" s="410"/>
      <c r="J99" s="410"/>
      <c r="K99" s="168"/>
      <c r="L99" s="168"/>
      <c r="M99" s="169"/>
      <c r="N99" s="169"/>
      <c r="O99" s="170"/>
      <c r="P99" s="170"/>
      <c r="Q99" s="171"/>
      <c r="R99" s="530"/>
    </row>
    <row r="100" spans="2:18" ht="14.1" customHeight="1">
      <c r="B100" s="164"/>
      <c r="C100" s="164"/>
      <c r="D100" s="165"/>
      <c r="E100" s="166"/>
      <c r="F100" s="166"/>
      <c r="H100" s="167"/>
      <c r="I100" s="410"/>
      <c r="J100" s="410"/>
      <c r="K100" s="168"/>
      <c r="L100" s="168"/>
      <c r="M100" s="169"/>
      <c r="N100" s="169"/>
      <c r="O100" s="170"/>
      <c r="P100" s="170"/>
      <c r="Q100" s="171"/>
      <c r="R100" s="530"/>
    </row>
    <row r="101" spans="2:18" ht="14.1" customHeight="1">
      <c r="B101" s="164"/>
      <c r="C101" s="164"/>
      <c r="D101" s="165"/>
      <c r="E101" s="166"/>
      <c r="F101" s="166"/>
      <c r="H101" s="167"/>
      <c r="I101" s="410"/>
      <c r="J101" s="410"/>
      <c r="K101" s="168"/>
      <c r="L101" s="168"/>
      <c r="M101" s="169"/>
      <c r="N101" s="169"/>
      <c r="O101" s="170"/>
      <c r="P101" s="170"/>
      <c r="Q101" s="171"/>
      <c r="R101" s="530"/>
    </row>
    <row r="102" spans="2:18" ht="14.1" customHeight="1">
      <c r="B102" s="164"/>
      <c r="C102" s="164"/>
      <c r="D102" s="165"/>
      <c r="E102" s="166"/>
      <c r="F102" s="166"/>
      <c r="H102" s="167"/>
      <c r="I102" s="410"/>
      <c r="J102" s="410"/>
      <c r="K102" s="168"/>
      <c r="L102" s="168"/>
      <c r="M102" s="169"/>
      <c r="N102" s="169"/>
      <c r="O102" s="170"/>
      <c r="P102" s="170"/>
      <c r="Q102" s="171"/>
      <c r="R102" s="530"/>
    </row>
    <row r="103" spans="2:18" ht="14.1" customHeight="1">
      <c r="B103" s="164"/>
      <c r="C103" s="164"/>
      <c r="D103" s="165"/>
      <c r="E103" s="166"/>
      <c r="F103" s="166"/>
      <c r="H103" s="167"/>
      <c r="I103" s="410"/>
      <c r="J103" s="410"/>
      <c r="K103" s="168"/>
      <c r="L103" s="168"/>
      <c r="M103" s="169"/>
      <c r="N103" s="169"/>
      <c r="O103" s="170"/>
      <c r="P103" s="170"/>
      <c r="Q103" s="171"/>
      <c r="R103" s="530"/>
    </row>
    <row r="104" spans="2:18" ht="14.1" customHeight="1">
      <c r="B104" s="164"/>
      <c r="C104" s="164"/>
      <c r="D104" s="165"/>
      <c r="E104" s="166"/>
      <c r="F104" s="166"/>
      <c r="H104" s="167"/>
      <c r="I104" s="410"/>
      <c r="J104" s="410"/>
      <c r="K104" s="168"/>
      <c r="L104" s="168"/>
      <c r="M104" s="169"/>
      <c r="N104" s="169"/>
      <c r="O104" s="170"/>
      <c r="P104" s="170"/>
      <c r="Q104" s="171"/>
      <c r="R104" s="530"/>
    </row>
    <row r="105" spans="2:18" ht="14.1" customHeight="1">
      <c r="B105" s="164"/>
      <c r="C105" s="164"/>
      <c r="D105" s="165"/>
      <c r="E105" s="166"/>
      <c r="F105" s="166"/>
      <c r="H105" s="167"/>
      <c r="I105" s="410"/>
      <c r="J105" s="410"/>
      <c r="K105" s="168"/>
      <c r="L105" s="168"/>
      <c r="M105" s="169"/>
      <c r="N105" s="169"/>
      <c r="O105" s="170"/>
      <c r="P105" s="170"/>
      <c r="Q105" s="171"/>
      <c r="R105" s="530"/>
    </row>
    <row r="106" spans="2:18" ht="14.1" customHeight="1">
      <c r="B106" s="164"/>
      <c r="C106" s="164"/>
      <c r="D106" s="165"/>
      <c r="E106" s="166"/>
      <c r="F106" s="166"/>
      <c r="H106" s="167"/>
      <c r="I106" s="410"/>
      <c r="J106" s="410"/>
      <c r="K106" s="168"/>
      <c r="L106" s="168"/>
      <c r="M106" s="169"/>
      <c r="N106" s="169"/>
      <c r="O106" s="170"/>
      <c r="P106" s="170"/>
      <c r="Q106" s="171"/>
      <c r="R106" s="530"/>
    </row>
    <row r="107" spans="2:18" ht="14.1" customHeight="1">
      <c r="B107" s="164"/>
      <c r="C107" s="164"/>
      <c r="D107" s="165"/>
      <c r="E107" s="166"/>
      <c r="F107" s="166"/>
      <c r="H107" s="167"/>
      <c r="I107" s="410"/>
      <c r="J107" s="410"/>
      <c r="K107" s="168"/>
      <c r="L107" s="168"/>
      <c r="M107" s="169"/>
      <c r="N107" s="169"/>
      <c r="O107" s="170"/>
      <c r="P107" s="170"/>
      <c r="Q107" s="171"/>
      <c r="R107" s="530"/>
    </row>
    <row r="108" spans="2:18" ht="14.1" customHeight="1">
      <c r="B108" s="164"/>
      <c r="C108" s="164"/>
      <c r="D108" s="165"/>
      <c r="E108" s="166"/>
      <c r="F108" s="166"/>
      <c r="H108" s="167"/>
      <c r="I108" s="410"/>
      <c r="J108" s="410"/>
      <c r="K108" s="168"/>
      <c r="L108" s="168"/>
      <c r="M108" s="169"/>
      <c r="N108" s="169"/>
      <c r="O108" s="170"/>
      <c r="P108" s="170"/>
      <c r="Q108" s="171"/>
      <c r="R108" s="530"/>
    </row>
    <row r="109" spans="2:18" ht="14.1" customHeight="1">
      <c r="B109" s="164"/>
      <c r="C109" s="164"/>
      <c r="D109" s="165"/>
      <c r="E109" s="166"/>
      <c r="F109" s="166"/>
      <c r="H109" s="167"/>
      <c r="I109" s="410"/>
      <c r="J109" s="410"/>
      <c r="K109" s="168"/>
      <c r="L109" s="168"/>
      <c r="M109" s="169"/>
      <c r="N109" s="169"/>
      <c r="O109" s="170"/>
      <c r="P109" s="170"/>
      <c r="Q109" s="171"/>
      <c r="R109" s="530"/>
    </row>
    <row r="110" spans="2:18" ht="14.1" customHeight="1">
      <c r="B110" s="164"/>
      <c r="C110" s="164"/>
      <c r="D110" s="165"/>
      <c r="E110" s="166"/>
      <c r="F110" s="166"/>
      <c r="H110" s="167"/>
      <c r="I110" s="410"/>
      <c r="J110" s="410"/>
      <c r="K110" s="168"/>
      <c r="L110" s="168"/>
      <c r="M110" s="169"/>
      <c r="N110" s="169"/>
      <c r="O110" s="170"/>
      <c r="P110" s="170"/>
      <c r="Q110" s="171"/>
      <c r="R110" s="530"/>
    </row>
    <row r="111" spans="2:18" ht="14.1" customHeight="1">
      <c r="B111" s="164"/>
      <c r="C111" s="164"/>
      <c r="D111" s="165"/>
      <c r="E111" s="166"/>
      <c r="F111" s="166"/>
      <c r="H111" s="167"/>
      <c r="I111" s="410"/>
      <c r="J111" s="410"/>
      <c r="K111" s="168"/>
      <c r="L111" s="168"/>
      <c r="M111" s="169"/>
      <c r="N111" s="169"/>
      <c r="O111" s="170"/>
      <c r="P111" s="170"/>
      <c r="Q111" s="171"/>
      <c r="R111" s="530"/>
    </row>
    <row r="112" spans="2:18" ht="14.1" customHeight="1">
      <c r="B112" s="164"/>
      <c r="C112" s="164"/>
      <c r="D112" s="165"/>
      <c r="E112" s="166"/>
      <c r="F112" s="166"/>
      <c r="H112" s="167"/>
      <c r="I112" s="410"/>
      <c r="J112" s="410"/>
      <c r="K112" s="168"/>
      <c r="L112" s="168"/>
      <c r="M112" s="169"/>
      <c r="N112" s="169"/>
      <c r="O112" s="170"/>
      <c r="P112" s="170"/>
      <c r="Q112" s="171"/>
      <c r="R112" s="530"/>
    </row>
    <row r="113" spans="2:18" ht="14.1" customHeight="1">
      <c r="B113" s="164"/>
      <c r="C113" s="164"/>
      <c r="D113" s="165"/>
      <c r="E113" s="166"/>
      <c r="F113" s="166"/>
      <c r="H113" s="167"/>
      <c r="I113" s="410"/>
      <c r="J113" s="410"/>
      <c r="K113" s="168"/>
      <c r="L113" s="168"/>
      <c r="M113" s="169"/>
      <c r="N113" s="169"/>
      <c r="O113" s="170"/>
      <c r="P113" s="170"/>
      <c r="Q113" s="171"/>
      <c r="R113" s="530"/>
    </row>
    <row r="114" spans="2:18" ht="14.1" customHeight="1">
      <c r="B114" s="164"/>
      <c r="C114" s="164"/>
      <c r="D114" s="165"/>
      <c r="E114" s="166"/>
      <c r="F114" s="166"/>
      <c r="H114" s="167"/>
      <c r="I114" s="410"/>
      <c r="J114" s="410"/>
      <c r="K114" s="168"/>
      <c r="L114" s="168"/>
      <c r="M114" s="169"/>
      <c r="N114" s="169"/>
      <c r="O114" s="170"/>
      <c r="P114" s="170"/>
      <c r="Q114" s="171"/>
      <c r="R114" s="530"/>
    </row>
    <row r="115" spans="2:18" ht="14.1" customHeight="1">
      <c r="B115" s="164"/>
      <c r="C115" s="164"/>
      <c r="D115" s="165"/>
      <c r="E115" s="166"/>
      <c r="F115" s="166"/>
      <c r="H115" s="167"/>
      <c r="I115" s="410"/>
      <c r="J115" s="410"/>
      <c r="K115" s="168"/>
      <c r="L115" s="168"/>
      <c r="M115" s="169"/>
      <c r="N115" s="169"/>
      <c r="O115" s="170"/>
      <c r="P115" s="170"/>
      <c r="Q115" s="171"/>
      <c r="R115" s="530"/>
    </row>
    <row r="116" spans="2:18" ht="14.1" customHeight="1">
      <c r="B116" s="164"/>
      <c r="C116" s="164"/>
      <c r="D116" s="165"/>
      <c r="E116" s="166"/>
      <c r="F116" s="166"/>
      <c r="H116" s="167"/>
      <c r="I116" s="410"/>
      <c r="J116" s="410"/>
      <c r="K116" s="168"/>
      <c r="L116" s="168"/>
      <c r="M116" s="169"/>
      <c r="N116" s="169"/>
      <c r="O116" s="170"/>
      <c r="P116" s="170"/>
      <c r="Q116" s="171"/>
      <c r="R116" s="530"/>
    </row>
    <row r="117" spans="2:18" ht="14.1" customHeight="1">
      <c r="B117" s="164"/>
      <c r="C117" s="164"/>
      <c r="D117" s="165"/>
      <c r="E117" s="166"/>
      <c r="F117" s="166"/>
      <c r="H117" s="167"/>
      <c r="I117" s="410"/>
      <c r="J117" s="410"/>
      <c r="K117" s="168"/>
      <c r="L117" s="168"/>
      <c r="M117" s="169"/>
      <c r="N117" s="169"/>
      <c r="O117" s="170"/>
      <c r="P117" s="170"/>
      <c r="Q117" s="171"/>
      <c r="R117" s="530"/>
    </row>
    <row r="118" spans="2:18" ht="14.1" customHeight="1">
      <c r="B118" s="164"/>
      <c r="C118" s="164"/>
      <c r="D118" s="165"/>
      <c r="E118" s="166"/>
      <c r="F118" s="166"/>
      <c r="H118" s="167"/>
      <c r="I118" s="410"/>
      <c r="J118" s="410"/>
      <c r="K118" s="168"/>
      <c r="L118" s="168"/>
      <c r="M118" s="169"/>
      <c r="N118" s="169"/>
      <c r="O118" s="170"/>
      <c r="P118" s="170"/>
      <c r="Q118" s="171"/>
      <c r="R118" s="530"/>
    </row>
    <row r="119" spans="2:18" ht="14.1" customHeight="1">
      <c r="B119" s="164"/>
      <c r="C119" s="164"/>
      <c r="D119" s="165"/>
      <c r="E119" s="166"/>
      <c r="F119" s="166"/>
      <c r="H119" s="167"/>
      <c r="I119" s="410"/>
      <c r="J119" s="410"/>
      <c r="K119" s="168"/>
      <c r="L119" s="168"/>
      <c r="M119" s="169"/>
      <c r="N119" s="169"/>
      <c r="O119" s="170"/>
      <c r="P119" s="170"/>
      <c r="Q119" s="171"/>
      <c r="R119" s="530"/>
    </row>
    <row r="120" spans="2:18" ht="14.1" customHeight="1">
      <c r="B120" s="164"/>
      <c r="C120" s="164"/>
      <c r="D120" s="165"/>
      <c r="E120" s="166"/>
      <c r="F120" s="166"/>
      <c r="H120" s="167"/>
      <c r="I120" s="410"/>
      <c r="J120" s="410"/>
      <c r="K120" s="168"/>
      <c r="L120" s="168"/>
      <c r="M120" s="169"/>
      <c r="N120" s="169"/>
      <c r="O120" s="170"/>
      <c r="P120" s="170"/>
      <c r="Q120" s="171"/>
      <c r="R120" s="530"/>
    </row>
    <row r="121" spans="2:18" ht="14.1" customHeight="1">
      <c r="B121" s="164"/>
      <c r="C121" s="164"/>
      <c r="D121" s="165"/>
      <c r="E121" s="166"/>
      <c r="F121" s="166"/>
      <c r="H121" s="167"/>
      <c r="I121" s="410"/>
      <c r="J121" s="410"/>
      <c r="K121" s="168"/>
      <c r="L121" s="168"/>
      <c r="M121" s="169"/>
      <c r="N121" s="169"/>
      <c r="O121" s="170"/>
      <c r="P121" s="170"/>
      <c r="Q121" s="171"/>
      <c r="R121" s="530"/>
    </row>
    <row r="122" spans="2:18" ht="14.1" customHeight="1">
      <c r="B122" s="164"/>
      <c r="C122" s="164"/>
      <c r="D122" s="165"/>
      <c r="E122" s="166"/>
      <c r="F122" s="166"/>
      <c r="H122" s="167"/>
      <c r="I122" s="410"/>
      <c r="J122" s="410"/>
      <c r="K122" s="168"/>
      <c r="L122" s="168"/>
      <c r="M122" s="169"/>
      <c r="N122" s="169"/>
      <c r="O122" s="170"/>
      <c r="P122" s="170"/>
      <c r="Q122" s="171"/>
      <c r="R122" s="530"/>
    </row>
    <row r="123" spans="2:18" ht="14.1" customHeight="1">
      <c r="B123" s="164"/>
      <c r="C123" s="164"/>
      <c r="D123" s="165"/>
      <c r="E123" s="166"/>
      <c r="F123" s="166"/>
      <c r="H123" s="167"/>
      <c r="I123" s="410"/>
      <c r="J123" s="410"/>
      <c r="K123" s="168"/>
      <c r="L123" s="168"/>
      <c r="M123" s="169"/>
      <c r="N123" s="169"/>
      <c r="O123" s="170"/>
      <c r="P123" s="170"/>
      <c r="Q123" s="171"/>
      <c r="R123" s="530"/>
    </row>
    <row r="124" spans="2:18" ht="14.1" customHeight="1">
      <c r="B124" s="164"/>
      <c r="C124" s="164"/>
      <c r="D124" s="165"/>
      <c r="E124" s="166"/>
      <c r="F124" s="166"/>
      <c r="H124" s="167"/>
      <c r="I124" s="410"/>
      <c r="J124" s="410"/>
      <c r="K124" s="168"/>
      <c r="L124" s="168"/>
      <c r="M124" s="169"/>
      <c r="N124" s="169"/>
      <c r="O124" s="170"/>
      <c r="P124" s="170"/>
      <c r="Q124" s="171"/>
      <c r="R124" s="530"/>
    </row>
    <row r="125" spans="2:18" ht="14.1" customHeight="1">
      <c r="B125" s="164"/>
      <c r="C125" s="164"/>
      <c r="D125" s="165"/>
      <c r="E125" s="166"/>
      <c r="F125" s="166"/>
      <c r="H125" s="167"/>
      <c r="I125" s="410"/>
      <c r="J125" s="410"/>
      <c r="K125" s="168"/>
      <c r="L125" s="168"/>
      <c r="M125" s="169"/>
      <c r="N125" s="169"/>
      <c r="O125" s="170"/>
      <c r="P125" s="170"/>
      <c r="Q125" s="171"/>
      <c r="R125" s="530"/>
    </row>
    <row r="126" spans="2:18" ht="14.1" customHeight="1">
      <c r="B126" s="164"/>
      <c r="C126" s="164"/>
      <c r="D126" s="165"/>
      <c r="E126" s="166"/>
      <c r="F126" s="166"/>
      <c r="H126" s="167"/>
      <c r="I126" s="410"/>
      <c r="J126" s="410"/>
      <c r="K126" s="168"/>
      <c r="L126" s="168"/>
      <c r="M126" s="169"/>
      <c r="N126" s="169"/>
      <c r="O126" s="170"/>
      <c r="P126" s="170"/>
      <c r="Q126" s="171"/>
      <c r="R126" s="530"/>
    </row>
    <row r="127" spans="2:18" ht="14.1" customHeight="1">
      <c r="B127" s="164"/>
      <c r="C127" s="164"/>
      <c r="D127" s="165"/>
      <c r="E127" s="166"/>
      <c r="F127" s="166"/>
      <c r="H127" s="167"/>
      <c r="I127" s="410"/>
      <c r="J127" s="410"/>
      <c r="K127" s="168"/>
      <c r="L127" s="168"/>
      <c r="M127" s="169"/>
      <c r="N127" s="169"/>
      <c r="O127" s="170"/>
      <c r="P127" s="170"/>
      <c r="Q127" s="171"/>
      <c r="R127" s="530"/>
    </row>
    <row r="128" spans="2:18" ht="14.1" customHeight="1">
      <c r="B128" s="164"/>
      <c r="C128" s="164"/>
      <c r="D128" s="165"/>
      <c r="E128" s="166"/>
      <c r="F128" s="166"/>
      <c r="H128" s="167"/>
      <c r="I128" s="410"/>
      <c r="J128" s="410"/>
      <c r="K128" s="168"/>
      <c r="L128" s="168"/>
      <c r="M128" s="169"/>
      <c r="N128" s="169"/>
      <c r="O128" s="170"/>
      <c r="P128" s="170"/>
      <c r="Q128" s="171"/>
      <c r="R128" s="530"/>
    </row>
    <row r="129" spans="2:18" ht="14.1" customHeight="1">
      <c r="B129" s="164"/>
      <c r="C129" s="164"/>
      <c r="D129" s="165"/>
      <c r="E129" s="166"/>
      <c r="F129" s="166"/>
      <c r="H129" s="167"/>
      <c r="I129" s="410"/>
      <c r="J129" s="410"/>
      <c r="K129" s="168"/>
      <c r="L129" s="168"/>
      <c r="M129" s="169"/>
      <c r="N129" s="169"/>
      <c r="O129" s="170"/>
      <c r="P129" s="170"/>
      <c r="Q129" s="171"/>
      <c r="R129" s="530"/>
    </row>
    <row r="130" spans="2:18" ht="14.1" customHeight="1">
      <c r="B130" s="164"/>
      <c r="C130" s="164"/>
      <c r="D130" s="165"/>
      <c r="E130" s="166"/>
      <c r="F130" s="166"/>
      <c r="H130" s="167"/>
      <c r="I130" s="410"/>
      <c r="J130" s="410"/>
      <c r="K130" s="168"/>
      <c r="L130" s="168"/>
      <c r="M130" s="169"/>
      <c r="N130" s="169"/>
      <c r="O130" s="170"/>
      <c r="P130" s="170"/>
      <c r="Q130" s="171"/>
      <c r="R130" s="530"/>
    </row>
    <row r="131" spans="2:18" ht="14.1" customHeight="1">
      <c r="B131" s="164"/>
      <c r="C131" s="164"/>
      <c r="D131" s="165"/>
      <c r="E131" s="166"/>
      <c r="F131" s="166"/>
      <c r="H131" s="167"/>
      <c r="I131" s="410"/>
      <c r="J131" s="410"/>
      <c r="K131" s="168"/>
      <c r="L131" s="168"/>
      <c r="M131" s="169"/>
      <c r="N131" s="169"/>
      <c r="O131" s="170"/>
      <c r="P131" s="170"/>
      <c r="Q131" s="171"/>
      <c r="R131" s="530"/>
    </row>
    <row r="132" spans="2:18" ht="14.1" customHeight="1">
      <c r="B132" s="164"/>
      <c r="C132" s="164"/>
      <c r="D132" s="165"/>
      <c r="E132" s="166"/>
      <c r="F132" s="166"/>
      <c r="H132" s="167"/>
      <c r="I132" s="410"/>
      <c r="J132" s="410"/>
      <c r="K132" s="168"/>
      <c r="L132" s="168"/>
      <c r="M132" s="169"/>
      <c r="N132" s="169"/>
      <c r="O132" s="170"/>
      <c r="P132" s="170"/>
      <c r="Q132" s="171"/>
      <c r="R132" s="530"/>
    </row>
    <row r="133" spans="2:18" ht="14.1" customHeight="1">
      <c r="B133" s="164"/>
      <c r="C133" s="164"/>
      <c r="D133" s="165"/>
      <c r="E133" s="166"/>
      <c r="F133" s="166"/>
      <c r="H133" s="167"/>
      <c r="I133" s="410"/>
      <c r="J133" s="410"/>
      <c r="K133" s="168"/>
      <c r="L133" s="168"/>
      <c r="M133" s="169"/>
      <c r="N133" s="169"/>
      <c r="O133" s="170"/>
      <c r="P133" s="170"/>
      <c r="Q133" s="171"/>
      <c r="R133" s="530"/>
    </row>
    <row r="134" spans="2:18" ht="14.1" customHeight="1">
      <c r="B134" s="164"/>
      <c r="C134" s="164"/>
      <c r="D134" s="165"/>
      <c r="E134" s="166"/>
      <c r="F134" s="166"/>
      <c r="H134" s="167"/>
      <c r="I134" s="410"/>
      <c r="J134" s="410"/>
      <c r="K134" s="168"/>
      <c r="L134" s="168"/>
      <c r="M134" s="169"/>
      <c r="N134" s="169"/>
      <c r="O134" s="170"/>
      <c r="P134" s="170"/>
      <c r="Q134" s="171"/>
      <c r="R134" s="530"/>
    </row>
    <row r="135" spans="2:18" ht="14.1" customHeight="1">
      <c r="B135" s="164"/>
      <c r="C135" s="164"/>
      <c r="D135" s="165"/>
      <c r="E135" s="166"/>
      <c r="F135" s="166"/>
      <c r="H135" s="167"/>
      <c r="I135" s="410"/>
      <c r="J135" s="410"/>
      <c r="K135" s="168"/>
      <c r="L135" s="168"/>
      <c r="M135" s="169"/>
      <c r="N135" s="169"/>
      <c r="O135" s="170"/>
      <c r="P135" s="170"/>
      <c r="Q135" s="171"/>
      <c r="R135" s="530"/>
    </row>
    <row r="136" spans="2:18" ht="14.1" customHeight="1">
      <c r="B136" s="164"/>
      <c r="C136" s="164"/>
      <c r="D136" s="165"/>
      <c r="E136" s="166"/>
      <c r="F136" s="166"/>
      <c r="H136" s="167"/>
      <c r="I136" s="410"/>
      <c r="J136" s="410"/>
      <c r="K136" s="168"/>
      <c r="L136" s="168"/>
      <c r="M136" s="169"/>
      <c r="N136" s="169"/>
      <c r="O136" s="170"/>
      <c r="P136" s="170"/>
      <c r="Q136" s="171"/>
      <c r="R136" s="530"/>
    </row>
    <row r="137" spans="2:18" ht="14.1" customHeight="1">
      <c r="B137" s="164"/>
      <c r="C137" s="164"/>
      <c r="D137" s="165"/>
      <c r="E137" s="166"/>
      <c r="F137" s="166"/>
      <c r="H137" s="167"/>
      <c r="I137" s="410"/>
      <c r="J137" s="410"/>
      <c r="K137" s="168"/>
      <c r="L137" s="168"/>
      <c r="M137" s="169"/>
      <c r="N137" s="169"/>
      <c r="O137" s="170"/>
      <c r="P137" s="170"/>
      <c r="Q137" s="171"/>
      <c r="R137" s="530"/>
    </row>
    <row r="138" spans="2:18" ht="14.1" customHeight="1">
      <c r="B138" s="164"/>
      <c r="C138" s="164"/>
      <c r="D138" s="165"/>
      <c r="E138" s="166"/>
      <c r="F138" s="166"/>
      <c r="H138" s="167"/>
      <c r="I138" s="410"/>
      <c r="J138" s="410"/>
      <c r="K138" s="168"/>
      <c r="L138" s="168"/>
      <c r="M138" s="169"/>
      <c r="N138" s="169"/>
      <c r="O138" s="170"/>
      <c r="P138" s="170"/>
      <c r="Q138" s="171"/>
      <c r="R138" s="530"/>
    </row>
    <row r="139" spans="2:18" ht="14.1" customHeight="1">
      <c r="B139" s="164"/>
      <c r="C139" s="164"/>
      <c r="D139" s="165"/>
      <c r="E139" s="166"/>
      <c r="F139" s="166"/>
      <c r="H139" s="167"/>
      <c r="I139" s="410"/>
      <c r="J139" s="410"/>
      <c r="K139" s="168"/>
      <c r="L139" s="168"/>
      <c r="M139" s="169"/>
      <c r="N139" s="169"/>
      <c r="O139" s="170"/>
      <c r="P139" s="170"/>
      <c r="Q139" s="171"/>
      <c r="R139" s="530"/>
    </row>
    <row r="140" spans="2:18" ht="14.1" customHeight="1">
      <c r="B140" s="164"/>
      <c r="C140" s="164"/>
      <c r="D140" s="165"/>
      <c r="E140" s="166"/>
      <c r="F140" s="166"/>
      <c r="H140" s="167"/>
      <c r="I140" s="410"/>
      <c r="J140" s="410"/>
      <c r="K140" s="168"/>
      <c r="L140" s="168"/>
      <c r="M140" s="169"/>
      <c r="N140" s="169"/>
      <c r="O140" s="170"/>
      <c r="P140" s="170"/>
      <c r="Q140" s="171"/>
      <c r="R140" s="530"/>
    </row>
    <row r="141" spans="2:18" ht="14.1" customHeight="1">
      <c r="B141" s="164"/>
      <c r="C141" s="164"/>
      <c r="D141" s="165"/>
      <c r="E141" s="166"/>
      <c r="F141" s="166"/>
      <c r="H141" s="167"/>
      <c r="I141" s="410"/>
      <c r="J141" s="410"/>
      <c r="K141" s="168"/>
      <c r="L141" s="168"/>
      <c r="M141" s="169"/>
      <c r="N141" s="169"/>
      <c r="O141" s="170"/>
      <c r="P141" s="170"/>
      <c r="Q141" s="171"/>
      <c r="R141" s="530"/>
    </row>
    <row r="142" spans="2:18" ht="14.1" customHeight="1">
      <c r="B142" s="164"/>
      <c r="C142" s="164"/>
      <c r="D142" s="165"/>
      <c r="E142" s="166"/>
      <c r="F142" s="166"/>
      <c r="H142" s="167"/>
      <c r="I142" s="410"/>
      <c r="J142" s="410"/>
      <c r="K142" s="168"/>
      <c r="L142" s="168"/>
      <c r="M142" s="169"/>
      <c r="N142" s="169"/>
      <c r="O142" s="170"/>
      <c r="P142" s="170"/>
      <c r="Q142" s="171"/>
      <c r="R142" s="530"/>
    </row>
    <row r="143" spans="2:18" ht="14.1" customHeight="1">
      <c r="B143" s="164"/>
      <c r="C143" s="164"/>
      <c r="D143" s="165"/>
      <c r="E143" s="166"/>
      <c r="F143" s="166"/>
      <c r="H143" s="167"/>
      <c r="I143" s="410"/>
      <c r="J143" s="410"/>
      <c r="K143" s="168"/>
      <c r="L143" s="168"/>
      <c r="M143" s="169"/>
      <c r="N143" s="169"/>
      <c r="O143" s="170"/>
      <c r="P143" s="170"/>
      <c r="Q143" s="171"/>
      <c r="R143" s="530"/>
    </row>
    <row r="144" spans="2:18" ht="14.1" customHeight="1">
      <c r="B144" s="164"/>
      <c r="C144" s="164"/>
      <c r="D144" s="165"/>
      <c r="E144" s="166"/>
      <c r="F144" s="166"/>
      <c r="H144" s="167"/>
      <c r="I144" s="410"/>
      <c r="J144" s="410"/>
      <c r="K144" s="168"/>
      <c r="L144" s="168"/>
      <c r="M144" s="169"/>
      <c r="N144" s="169"/>
      <c r="O144" s="170"/>
      <c r="P144" s="170"/>
      <c r="Q144" s="171"/>
      <c r="R144" s="530"/>
    </row>
    <row r="145" spans="2:18" ht="14.1" customHeight="1">
      <c r="B145" s="164"/>
      <c r="C145" s="164"/>
      <c r="D145" s="165"/>
      <c r="E145" s="166"/>
      <c r="F145" s="166"/>
      <c r="H145" s="167"/>
      <c r="I145" s="410"/>
      <c r="J145" s="410"/>
      <c r="K145" s="168"/>
      <c r="L145" s="168"/>
      <c r="M145" s="169"/>
      <c r="N145" s="169"/>
      <c r="O145" s="170"/>
      <c r="P145" s="170"/>
      <c r="Q145" s="171"/>
      <c r="R145" s="530"/>
    </row>
    <row r="146" spans="2:18" ht="14.1" customHeight="1">
      <c r="B146" s="164"/>
      <c r="C146" s="164"/>
      <c r="D146" s="165"/>
      <c r="E146" s="166"/>
      <c r="F146" s="166"/>
      <c r="H146" s="167"/>
      <c r="I146" s="410"/>
      <c r="J146" s="410"/>
      <c r="K146" s="168"/>
      <c r="L146" s="168"/>
      <c r="M146" s="169"/>
      <c r="N146" s="169"/>
      <c r="O146" s="170"/>
      <c r="P146" s="170"/>
      <c r="Q146" s="171"/>
      <c r="R146" s="530"/>
    </row>
    <row r="147" spans="2:18" ht="14.1" customHeight="1">
      <c r="B147" s="164"/>
      <c r="C147" s="164"/>
      <c r="D147" s="165"/>
      <c r="E147" s="166"/>
      <c r="F147" s="166"/>
      <c r="H147" s="167"/>
      <c r="I147" s="410"/>
      <c r="J147" s="410"/>
      <c r="K147" s="168"/>
      <c r="L147" s="168"/>
      <c r="M147" s="169"/>
      <c r="N147" s="169"/>
      <c r="O147" s="170"/>
      <c r="P147" s="170"/>
      <c r="Q147" s="171"/>
      <c r="R147" s="530"/>
    </row>
    <row r="148" spans="2:18" ht="14.1" customHeight="1">
      <c r="B148" s="164"/>
      <c r="C148" s="164"/>
      <c r="D148" s="165"/>
      <c r="E148" s="166"/>
      <c r="F148" s="166"/>
      <c r="H148" s="167"/>
      <c r="I148" s="410"/>
      <c r="J148" s="410"/>
      <c r="K148" s="168"/>
      <c r="L148" s="168"/>
      <c r="M148" s="169"/>
      <c r="N148" s="169"/>
      <c r="O148" s="170"/>
      <c r="P148" s="170"/>
      <c r="Q148" s="171"/>
      <c r="R148" s="530"/>
    </row>
    <row r="149" spans="2:18" ht="14.1" customHeight="1">
      <c r="B149" s="164"/>
      <c r="C149" s="164"/>
      <c r="D149" s="165"/>
      <c r="E149" s="166"/>
      <c r="F149" s="166"/>
      <c r="H149" s="167"/>
      <c r="I149" s="410"/>
      <c r="J149" s="410"/>
      <c r="K149" s="168"/>
      <c r="L149" s="168"/>
      <c r="M149" s="169"/>
      <c r="N149" s="169"/>
      <c r="O149" s="170"/>
      <c r="P149" s="170"/>
      <c r="Q149" s="171"/>
      <c r="R149" s="530"/>
    </row>
    <row r="150" spans="2:18" ht="14.1" customHeight="1">
      <c r="B150" s="164"/>
      <c r="C150" s="164"/>
      <c r="D150" s="165"/>
      <c r="E150" s="166"/>
      <c r="F150" s="166"/>
      <c r="H150" s="167"/>
      <c r="I150" s="410"/>
      <c r="J150" s="410"/>
      <c r="K150" s="168"/>
      <c r="L150" s="168"/>
      <c r="M150" s="169"/>
      <c r="N150" s="169"/>
      <c r="O150" s="170"/>
      <c r="P150" s="170"/>
      <c r="Q150" s="171"/>
      <c r="R150" s="530"/>
    </row>
    <row r="151" spans="2:18" ht="14.1" customHeight="1">
      <c r="B151" s="164"/>
      <c r="C151" s="164"/>
      <c r="D151" s="165"/>
      <c r="E151" s="166"/>
      <c r="F151" s="166"/>
      <c r="H151" s="167"/>
      <c r="I151" s="410"/>
      <c r="J151" s="410"/>
      <c r="K151" s="168"/>
      <c r="L151" s="168"/>
      <c r="M151" s="169"/>
      <c r="N151" s="169"/>
      <c r="O151" s="170"/>
      <c r="P151" s="170"/>
      <c r="Q151" s="171"/>
      <c r="R151" s="530"/>
    </row>
    <row r="152" spans="2:18" ht="14.1" customHeight="1">
      <c r="B152" s="164"/>
      <c r="C152" s="164"/>
      <c r="D152" s="165"/>
      <c r="E152" s="166"/>
      <c r="F152" s="166"/>
      <c r="H152" s="167"/>
      <c r="I152" s="410"/>
      <c r="J152" s="410"/>
      <c r="K152" s="168"/>
      <c r="L152" s="168"/>
      <c r="M152" s="169"/>
      <c r="N152" s="169"/>
      <c r="O152" s="170"/>
      <c r="P152" s="170"/>
      <c r="Q152" s="171"/>
      <c r="R152" s="530"/>
    </row>
    <row r="153" spans="2:18" ht="14.1" customHeight="1">
      <c r="B153" s="164"/>
      <c r="C153" s="164"/>
      <c r="D153" s="165"/>
      <c r="E153" s="166"/>
      <c r="F153" s="166"/>
      <c r="H153" s="167"/>
      <c r="I153" s="410"/>
      <c r="J153" s="410"/>
      <c r="K153" s="168"/>
      <c r="L153" s="168"/>
      <c r="M153" s="169"/>
      <c r="N153" s="169"/>
      <c r="O153" s="170"/>
      <c r="P153" s="170"/>
      <c r="Q153" s="171"/>
      <c r="R153" s="530"/>
    </row>
    <row r="154" spans="2:18" ht="14.1" customHeight="1">
      <c r="B154" s="164"/>
      <c r="C154" s="164"/>
      <c r="D154" s="165"/>
      <c r="E154" s="166"/>
      <c r="F154" s="166"/>
      <c r="H154" s="167"/>
      <c r="I154" s="410"/>
      <c r="J154" s="410"/>
      <c r="K154" s="168"/>
      <c r="L154" s="168"/>
      <c r="M154" s="169"/>
      <c r="N154" s="169"/>
      <c r="O154" s="170"/>
      <c r="P154" s="170"/>
      <c r="Q154" s="171"/>
      <c r="R154" s="530"/>
    </row>
    <row r="155" spans="2:18" ht="14.1" customHeight="1">
      <c r="B155" s="164"/>
      <c r="C155" s="164"/>
      <c r="D155" s="165"/>
      <c r="E155" s="166"/>
      <c r="F155" s="166"/>
      <c r="H155" s="167"/>
      <c r="I155" s="410"/>
      <c r="J155" s="410"/>
      <c r="K155" s="168"/>
      <c r="L155" s="168"/>
      <c r="M155" s="169"/>
      <c r="N155" s="169"/>
      <c r="O155" s="170"/>
      <c r="P155" s="170"/>
      <c r="Q155" s="171"/>
      <c r="R155" s="530"/>
    </row>
    <row r="156" spans="2:18" ht="14.1" customHeight="1">
      <c r="B156" s="164"/>
      <c r="C156" s="164"/>
      <c r="D156" s="165"/>
      <c r="E156" s="166"/>
      <c r="F156" s="166"/>
      <c r="H156" s="167"/>
      <c r="I156" s="410"/>
      <c r="J156" s="410"/>
      <c r="K156" s="168"/>
      <c r="L156" s="168"/>
      <c r="M156" s="169"/>
      <c r="N156" s="169"/>
      <c r="O156" s="170"/>
      <c r="P156" s="170"/>
      <c r="Q156" s="171"/>
      <c r="R156" s="530"/>
    </row>
    <row r="157" spans="2:18" ht="14.1" customHeight="1">
      <c r="B157" s="164"/>
      <c r="C157" s="164"/>
      <c r="D157" s="165"/>
      <c r="E157" s="166"/>
      <c r="F157" s="166"/>
      <c r="H157" s="167"/>
      <c r="I157" s="410"/>
      <c r="J157" s="410"/>
      <c r="K157" s="168"/>
      <c r="L157" s="168"/>
      <c r="M157" s="169"/>
      <c r="N157" s="169"/>
      <c r="O157" s="170"/>
      <c r="P157" s="170"/>
      <c r="Q157" s="171"/>
      <c r="R157" s="530"/>
    </row>
    <row r="158" spans="2:18" ht="14.1" customHeight="1">
      <c r="B158" s="164"/>
      <c r="C158" s="164"/>
      <c r="D158" s="165"/>
      <c r="E158" s="166"/>
      <c r="F158" s="166"/>
      <c r="H158" s="167"/>
      <c r="I158" s="410"/>
      <c r="J158" s="410"/>
      <c r="K158" s="168"/>
      <c r="L158" s="168"/>
      <c r="M158" s="169"/>
      <c r="N158" s="169"/>
      <c r="O158" s="170"/>
      <c r="P158" s="170"/>
      <c r="Q158" s="171"/>
      <c r="R158" s="530"/>
    </row>
    <row r="159" spans="2:18" ht="14.1" customHeight="1">
      <c r="B159" s="164"/>
      <c r="C159" s="164"/>
      <c r="D159" s="165"/>
      <c r="E159" s="166"/>
      <c r="F159" s="166"/>
      <c r="H159" s="167"/>
      <c r="I159" s="410"/>
      <c r="J159" s="410"/>
      <c r="K159" s="168"/>
      <c r="L159" s="168"/>
      <c r="M159" s="169"/>
      <c r="N159" s="169"/>
      <c r="O159" s="170"/>
      <c r="P159" s="170"/>
      <c r="Q159" s="171"/>
      <c r="R159" s="530"/>
    </row>
    <row r="160" spans="2:18" ht="14.1" customHeight="1">
      <c r="B160" s="164"/>
      <c r="C160" s="164"/>
      <c r="D160" s="165"/>
      <c r="E160" s="166"/>
      <c r="F160" s="166"/>
      <c r="H160" s="167"/>
      <c r="I160" s="410"/>
      <c r="J160" s="410"/>
      <c r="K160" s="168"/>
      <c r="L160" s="168"/>
      <c r="M160" s="169"/>
      <c r="N160" s="169"/>
      <c r="O160" s="170"/>
      <c r="P160" s="170"/>
      <c r="Q160" s="171"/>
      <c r="R160" s="530"/>
    </row>
    <row r="161" spans="2:18" ht="14.1" customHeight="1">
      <c r="B161" s="164"/>
      <c r="C161" s="164"/>
      <c r="D161" s="165"/>
      <c r="E161" s="166"/>
      <c r="F161" s="166"/>
      <c r="H161" s="167"/>
      <c r="I161" s="410"/>
      <c r="J161" s="410"/>
      <c r="K161" s="168"/>
      <c r="L161" s="168"/>
      <c r="M161" s="169"/>
      <c r="N161" s="169"/>
      <c r="O161" s="170"/>
      <c r="P161" s="170"/>
      <c r="Q161" s="171"/>
      <c r="R161" s="530"/>
    </row>
    <row r="162" spans="2:18" ht="14.1" customHeight="1">
      <c r="B162" s="164"/>
      <c r="C162" s="164"/>
      <c r="D162" s="165"/>
      <c r="E162" s="166"/>
      <c r="F162" s="166"/>
      <c r="H162" s="167"/>
      <c r="I162" s="410"/>
      <c r="J162" s="410"/>
      <c r="K162" s="168"/>
      <c r="L162" s="168"/>
      <c r="M162" s="169"/>
      <c r="N162" s="169"/>
      <c r="O162" s="170"/>
      <c r="P162" s="170"/>
      <c r="Q162" s="171"/>
      <c r="R162" s="530"/>
    </row>
    <row r="163" spans="2:18" ht="14.1" customHeight="1">
      <c r="B163" s="164"/>
      <c r="C163" s="164"/>
      <c r="D163" s="165"/>
      <c r="E163" s="166"/>
      <c r="F163" s="166"/>
      <c r="H163" s="167"/>
      <c r="I163" s="410"/>
      <c r="J163" s="410"/>
      <c r="K163" s="168"/>
      <c r="L163" s="168"/>
      <c r="M163" s="169"/>
      <c r="N163" s="169"/>
      <c r="O163" s="170"/>
      <c r="P163" s="170"/>
      <c r="Q163" s="171"/>
      <c r="R163" s="530"/>
    </row>
    <row r="164" spans="2:18" ht="14.1" customHeight="1">
      <c r="B164" s="164"/>
      <c r="C164" s="164"/>
      <c r="D164" s="165"/>
      <c r="E164" s="166"/>
      <c r="F164" s="166"/>
      <c r="H164" s="167"/>
      <c r="I164" s="410"/>
      <c r="J164" s="410"/>
      <c r="K164" s="168"/>
      <c r="L164" s="168"/>
      <c r="M164" s="169"/>
      <c r="N164" s="169"/>
      <c r="O164" s="170"/>
      <c r="P164" s="170"/>
      <c r="Q164" s="171"/>
      <c r="R164" s="530"/>
    </row>
    <row r="165" spans="2:18" ht="14.1" customHeight="1">
      <c r="B165" s="164"/>
      <c r="C165" s="164"/>
      <c r="D165" s="165"/>
      <c r="E165" s="166"/>
      <c r="F165" s="166"/>
      <c r="H165" s="167"/>
      <c r="I165" s="410"/>
      <c r="J165" s="410"/>
      <c r="K165" s="168"/>
      <c r="L165" s="168"/>
      <c r="M165" s="169"/>
      <c r="N165" s="169"/>
      <c r="O165" s="170"/>
      <c r="P165" s="170"/>
      <c r="Q165" s="171"/>
      <c r="R165" s="530"/>
    </row>
    <row r="166" spans="2:18" ht="14.1" customHeight="1">
      <c r="B166" s="164"/>
      <c r="C166" s="164"/>
      <c r="D166" s="165"/>
      <c r="E166" s="166"/>
      <c r="F166" s="166"/>
      <c r="H166" s="167"/>
      <c r="I166" s="410"/>
      <c r="J166" s="410"/>
      <c r="K166" s="168"/>
      <c r="L166" s="168"/>
      <c r="M166" s="169"/>
      <c r="N166" s="169"/>
      <c r="O166" s="170"/>
      <c r="P166" s="170"/>
      <c r="Q166" s="171"/>
      <c r="R166" s="530"/>
    </row>
    <row r="167" spans="2:18" ht="14.1" customHeight="1">
      <c r="B167" s="164"/>
      <c r="C167" s="164"/>
      <c r="D167" s="165"/>
      <c r="E167" s="166"/>
      <c r="F167" s="166"/>
      <c r="H167" s="167"/>
      <c r="I167" s="410"/>
      <c r="J167" s="410"/>
      <c r="K167" s="168"/>
      <c r="L167" s="168"/>
      <c r="M167" s="169"/>
      <c r="N167" s="169"/>
      <c r="O167" s="170"/>
      <c r="P167" s="170"/>
      <c r="Q167" s="171"/>
      <c r="R167" s="530"/>
    </row>
    <row r="168" spans="2:18" ht="14.1" customHeight="1">
      <c r="B168" s="164"/>
      <c r="C168" s="164"/>
      <c r="D168" s="165"/>
      <c r="E168" s="166"/>
      <c r="F168" s="166"/>
      <c r="H168" s="167"/>
      <c r="I168" s="410"/>
      <c r="J168" s="410"/>
      <c r="K168" s="168"/>
      <c r="L168" s="168"/>
      <c r="M168" s="169"/>
      <c r="N168" s="169"/>
      <c r="O168" s="170"/>
      <c r="P168" s="170"/>
      <c r="Q168" s="171"/>
      <c r="R168" s="530"/>
    </row>
    <row r="169" spans="2:18" ht="14.1" customHeight="1">
      <c r="B169" s="164"/>
      <c r="C169" s="164"/>
      <c r="D169" s="165"/>
      <c r="E169" s="166"/>
      <c r="F169" s="166"/>
      <c r="H169" s="167"/>
      <c r="I169" s="410"/>
      <c r="J169" s="410"/>
      <c r="K169" s="168"/>
      <c r="L169" s="168"/>
      <c r="M169" s="169"/>
      <c r="N169" s="169"/>
      <c r="O169" s="170"/>
      <c r="P169" s="170"/>
      <c r="Q169" s="171"/>
      <c r="R169" s="530"/>
    </row>
    <row r="170" spans="2:18" ht="14.1" customHeight="1">
      <c r="B170" s="164"/>
      <c r="C170" s="164"/>
      <c r="D170" s="165"/>
      <c r="E170" s="166"/>
      <c r="F170" s="166"/>
      <c r="H170" s="167"/>
      <c r="I170" s="410"/>
      <c r="J170" s="410"/>
      <c r="K170" s="168"/>
      <c r="L170" s="168"/>
      <c r="M170" s="169"/>
      <c r="N170" s="169"/>
      <c r="O170" s="170"/>
      <c r="P170" s="170"/>
      <c r="Q170" s="171"/>
      <c r="R170" s="530"/>
    </row>
    <row r="171" spans="2:18" ht="14.1" customHeight="1">
      <c r="B171" s="164"/>
      <c r="C171" s="164"/>
      <c r="D171" s="165"/>
      <c r="E171" s="166"/>
      <c r="F171" s="166"/>
      <c r="H171" s="167"/>
      <c r="I171" s="410"/>
      <c r="J171" s="410"/>
      <c r="K171" s="168"/>
      <c r="L171" s="168"/>
      <c r="M171" s="169"/>
      <c r="N171" s="169"/>
      <c r="O171" s="170"/>
      <c r="P171" s="170"/>
      <c r="Q171" s="171"/>
      <c r="R171" s="530"/>
    </row>
    <row r="172" spans="2:18" ht="14.1" customHeight="1">
      <c r="B172" s="164"/>
      <c r="C172" s="164"/>
      <c r="D172" s="165"/>
      <c r="E172" s="166"/>
      <c r="F172" s="166"/>
      <c r="H172" s="167"/>
      <c r="I172" s="410"/>
      <c r="J172" s="410"/>
      <c r="K172" s="168"/>
      <c r="L172" s="168"/>
      <c r="M172" s="169"/>
      <c r="N172" s="169"/>
      <c r="O172" s="170"/>
      <c r="P172" s="170"/>
      <c r="Q172" s="171"/>
      <c r="R172" s="530"/>
    </row>
    <row r="173" spans="2:18" ht="14.1" customHeight="1">
      <c r="B173" s="164"/>
      <c r="C173" s="164"/>
      <c r="D173" s="165"/>
      <c r="E173" s="166"/>
      <c r="F173" s="166"/>
      <c r="H173" s="167"/>
      <c r="I173" s="410"/>
      <c r="J173" s="410"/>
      <c r="K173" s="168"/>
      <c r="L173" s="168"/>
      <c r="M173" s="169"/>
      <c r="N173" s="169"/>
      <c r="O173" s="170"/>
      <c r="P173" s="170"/>
      <c r="Q173" s="171"/>
      <c r="R173" s="530"/>
    </row>
    <row r="174" spans="2:18" ht="14.1" customHeight="1">
      <c r="B174" s="164"/>
      <c r="C174" s="164"/>
      <c r="D174" s="165"/>
      <c r="E174" s="166"/>
      <c r="F174" s="166"/>
      <c r="H174" s="167"/>
      <c r="I174" s="410"/>
      <c r="J174" s="410"/>
      <c r="K174" s="168"/>
      <c r="L174" s="168"/>
      <c r="M174" s="169"/>
      <c r="N174" s="169"/>
      <c r="O174" s="170"/>
      <c r="P174" s="170"/>
      <c r="Q174" s="171"/>
      <c r="R174" s="530"/>
    </row>
    <row r="175" spans="2:18" ht="14.1" customHeight="1">
      <c r="B175" s="164"/>
      <c r="C175" s="164"/>
      <c r="D175" s="165"/>
      <c r="E175" s="166"/>
      <c r="F175" s="166"/>
      <c r="H175" s="167"/>
      <c r="I175" s="410"/>
      <c r="J175" s="410"/>
      <c r="K175" s="168"/>
      <c r="L175" s="168"/>
      <c r="M175" s="169"/>
      <c r="N175" s="169"/>
      <c r="O175" s="170"/>
      <c r="P175" s="170"/>
      <c r="Q175" s="171"/>
      <c r="R175" s="530"/>
    </row>
    <row r="176" spans="2:18" ht="14.1" customHeight="1">
      <c r="B176" s="164"/>
      <c r="C176" s="164"/>
      <c r="D176" s="165"/>
      <c r="E176" s="166"/>
      <c r="F176" s="166"/>
      <c r="H176" s="167"/>
      <c r="I176" s="410"/>
      <c r="J176" s="410"/>
      <c r="K176" s="168"/>
      <c r="L176" s="168"/>
      <c r="M176" s="169"/>
      <c r="N176" s="169"/>
      <c r="O176" s="170"/>
      <c r="P176" s="170"/>
      <c r="Q176" s="171"/>
      <c r="R176" s="530"/>
    </row>
    <row r="177" spans="2:18" ht="14.1" customHeight="1">
      <c r="B177" s="164"/>
      <c r="C177" s="164"/>
      <c r="D177" s="165"/>
      <c r="E177" s="166"/>
      <c r="F177" s="166"/>
      <c r="H177" s="167"/>
      <c r="I177" s="410"/>
      <c r="J177" s="410"/>
      <c r="K177" s="168"/>
      <c r="L177" s="168"/>
      <c r="M177" s="169"/>
      <c r="N177" s="169"/>
      <c r="O177" s="170"/>
      <c r="P177" s="170"/>
      <c r="Q177" s="171"/>
      <c r="R177" s="530"/>
    </row>
    <row r="178" spans="2:18" ht="14.1" customHeight="1">
      <c r="B178" s="164"/>
      <c r="C178" s="164"/>
      <c r="D178" s="165"/>
      <c r="E178" s="166"/>
      <c r="F178" s="166"/>
      <c r="H178" s="167"/>
      <c r="I178" s="410"/>
      <c r="J178" s="410"/>
      <c r="K178" s="168"/>
      <c r="L178" s="168"/>
      <c r="M178" s="169"/>
      <c r="N178" s="169"/>
      <c r="O178" s="170"/>
      <c r="P178" s="170"/>
      <c r="Q178" s="171"/>
      <c r="R178" s="530"/>
    </row>
    <row r="179" spans="2:18" ht="14.1" customHeight="1">
      <c r="B179" s="164"/>
      <c r="C179" s="164"/>
      <c r="D179" s="165"/>
      <c r="E179" s="166"/>
      <c r="F179" s="166"/>
      <c r="H179" s="167"/>
      <c r="I179" s="410"/>
      <c r="J179" s="410"/>
      <c r="K179" s="168"/>
      <c r="L179" s="168"/>
      <c r="M179" s="169"/>
      <c r="N179" s="169"/>
      <c r="O179" s="170"/>
      <c r="P179" s="170"/>
      <c r="Q179" s="171"/>
      <c r="R179" s="530"/>
    </row>
    <row r="180" spans="2:18" ht="14.1" customHeight="1">
      <c r="B180" s="164"/>
      <c r="C180" s="164"/>
      <c r="D180" s="165"/>
      <c r="E180" s="166"/>
      <c r="F180" s="166"/>
      <c r="H180" s="167"/>
      <c r="I180" s="410"/>
      <c r="J180" s="410"/>
      <c r="K180" s="168"/>
      <c r="L180" s="168"/>
      <c r="M180" s="169"/>
      <c r="N180" s="169"/>
      <c r="O180" s="170"/>
      <c r="P180" s="170"/>
      <c r="Q180" s="171"/>
      <c r="R180" s="530"/>
    </row>
    <row r="181" spans="2:18" ht="14.1" customHeight="1">
      <c r="B181" s="164"/>
      <c r="C181" s="164"/>
      <c r="D181" s="165"/>
      <c r="E181" s="166"/>
      <c r="F181" s="166"/>
      <c r="H181" s="167"/>
      <c r="I181" s="410"/>
      <c r="J181" s="410"/>
      <c r="K181" s="168"/>
      <c r="L181" s="168"/>
      <c r="M181" s="169"/>
      <c r="N181" s="169"/>
      <c r="O181" s="170"/>
      <c r="P181" s="170"/>
      <c r="Q181" s="171"/>
      <c r="R181" s="530"/>
    </row>
    <row r="182" spans="2:18" ht="14.1" customHeight="1">
      <c r="B182" s="164"/>
      <c r="C182" s="164"/>
      <c r="D182" s="165"/>
      <c r="E182" s="166"/>
      <c r="F182" s="166"/>
      <c r="H182" s="167"/>
      <c r="I182" s="410"/>
      <c r="J182" s="410"/>
      <c r="K182" s="168"/>
      <c r="L182" s="168"/>
      <c r="M182" s="169"/>
      <c r="N182" s="169"/>
      <c r="O182" s="170"/>
      <c r="P182" s="170"/>
      <c r="Q182" s="171"/>
      <c r="R182" s="530"/>
    </row>
    <row r="183" spans="2:18" ht="14.1" customHeight="1">
      <c r="B183" s="164"/>
      <c r="C183" s="164"/>
      <c r="D183" s="165"/>
      <c r="E183" s="166"/>
      <c r="F183" s="166"/>
      <c r="H183" s="167"/>
      <c r="I183" s="410"/>
      <c r="J183" s="410"/>
      <c r="K183" s="168"/>
      <c r="L183" s="168"/>
      <c r="M183" s="169"/>
      <c r="N183" s="169"/>
      <c r="O183" s="170"/>
      <c r="P183" s="170"/>
      <c r="Q183" s="171"/>
      <c r="R183" s="530"/>
    </row>
    <row r="184" spans="2:18" ht="14.1" customHeight="1">
      <c r="B184" s="164"/>
      <c r="C184" s="164"/>
      <c r="D184" s="165"/>
      <c r="E184" s="166"/>
      <c r="F184" s="166"/>
      <c r="H184" s="167"/>
      <c r="I184" s="410"/>
      <c r="J184" s="410"/>
      <c r="K184" s="168"/>
      <c r="L184" s="168"/>
      <c r="M184" s="169"/>
      <c r="N184" s="169"/>
      <c r="O184" s="170"/>
      <c r="P184" s="170"/>
      <c r="Q184" s="171"/>
      <c r="R184" s="530"/>
    </row>
    <row r="185" spans="2:18" ht="14.1" customHeight="1">
      <c r="B185" s="164"/>
      <c r="C185" s="164"/>
      <c r="D185" s="165"/>
      <c r="E185" s="166"/>
      <c r="F185" s="166"/>
      <c r="H185" s="167"/>
      <c r="I185" s="410"/>
      <c r="J185" s="410"/>
      <c r="K185" s="168"/>
      <c r="L185" s="168"/>
      <c r="M185" s="169"/>
      <c r="N185" s="169"/>
      <c r="O185" s="170"/>
      <c r="P185" s="170"/>
      <c r="Q185" s="171"/>
      <c r="R185" s="530"/>
    </row>
    <row r="186" spans="2:18" ht="14.1" customHeight="1">
      <c r="B186" s="164"/>
      <c r="C186" s="164"/>
      <c r="D186" s="165"/>
      <c r="E186" s="166"/>
      <c r="F186" s="166"/>
      <c r="H186" s="167"/>
      <c r="I186" s="410"/>
      <c r="J186" s="410"/>
      <c r="K186" s="168"/>
      <c r="L186" s="168"/>
      <c r="M186" s="169"/>
      <c r="N186" s="169"/>
      <c r="O186" s="170"/>
      <c r="P186" s="170"/>
      <c r="Q186" s="171"/>
      <c r="R186" s="530"/>
    </row>
    <row r="187" spans="2:18" ht="14.1" customHeight="1">
      <c r="B187" s="164"/>
      <c r="C187" s="164"/>
      <c r="D187" s="165"/>
      <c r="E187" s="166"/>
      <c r="F187" s="166"/>
      <c r="H187" s="167"/>
      <c r="I187" s="410"/>
      <c r="J187" s="410"/>
      <c r="K187" s="168"/>
      <c r="L187" s="168"/>
      <c r="M187" s="169"/>
      <c r="N187" s="169"/>
      <c r="O187" s="170"/>
      <c r="P187" s="170"/>
      <c r="Q187" s="171"/>
      <c r="R187" s="530"/>
    </row>
    <row r="188" spans="2:18" ht="14.1" customHeight="1">
      <c r="B188" s="164"/>
      <c r="C188" s="164"/>
      <c r="D188" s="165"/>
      <c r="E188" s="166"/>
      <c r="F188" s="166"/>
      <c r="H188" s="167"/>
      <c r="I188" s="410"/>
      <c r="J188" s="410"/>
      <c r="K188" s="168"/>
      <c r="L188" s="168"/>
      <c r="M188" s="169"/>
      <c r="N188" s="169"/>
      <c r="O188" s="170"/>
      <c r="P188" s="170"/>
      <c r="Q188" s="171"/>
      <c r="R188" s="530"/>
    </row>
    <row r="189" spans="2:18" ht="14.1" customHeight="1">
      <c r="B189" s="164"/>
      <c r="C189" s="164"/>
      <c r="D189" s="165"/>
      <c r="E189" s="166"/>
      <c r="F189" s="166"/>
      <c r="H189" s="167"/>
      <c r="I189" s="410"/>
      <c r="J189" s="410"/>
      <c r="K189" s="168"/>
      <c r="L189" s="168"/>
      <c r="M189" s="169"/>
      <c r="N189" s="169"/>
      <c r="O189" s="170"/>
      <c r="P189" s="170"/>
      <c r="Q189" s="171"/>
      <c r="R189" s="530"/>
    </row>
    <row r="190" spans="2:18" ht="14.1" customHeight="1">
      <c r="B190" s="164"/>
      <c r="C190" s="164"/>
      <c r="D190" s="165"/>
      <c r="E190" s="166"/>
      <c r="F190" s="166"/>
      <c r="H190" s="167"/>
      <c r="I190" s="410"/>
      <c r="J190" s="410"/>
      <c r="K190" s="168"/>
      <c r="L190" s="168"/>
      <c r="M190" s="169"/>
      <c r="N190" s="169"/>
      <c r="O190" s="170"/>
      <c r="P190" s="170"/>
      <c r="Q190" s="171"/>
      <c r="R190" s="530"/>
    </row>
    <row r="191" spans="2:18" ht="14.1" customHeight="1">
      <c r="B191" s="164"/>
      <c r="C191" s="164"/>
      <c r="D191" s="165"/>
      <c r="E191" s="166"/>
      <c r="F191" s="166"/>
      <c r="H191" s="167"/>
      <c r="I191" s="410"/>
      <c r="J191" s="410"/>
      <c r="K191" s="168"/>
      <c r="L191" s="168"/>
      <c r="M191" s="169"/>
      <c r="N191" s="169"/>
      <c r="O191" s="170"/>
      <c r="P191" s="170"/>
      <c r="Q191" s="171"/>
      <c r="R191" s="530"/>
    </row>
    <row r="192" spans="2:18" ht="14.1" customHeight="1">
      <c r="B192" s="164"/>
      <c r="C192" s="164"/>
      <c r="D192" s="165"/>
      <c r="E192" s="166"/>
      <c r="F192" s="166"/>
      <c r="H192" s="167"/>
      <c r="I192" s="410"/>
      <c r="J192" s="410"/>
      <c r="K192" s="168"/>
      <c r="L192" s="168"/>
      <c r="M192" s="169"/>
      <c r="N192" s="169"/>
      <c r="O192" s="170"/>
      <c r="P192" s="170"/>
      <c r="Q192" s="171"/>
      <c r="R192" s="530"/>
    </row>
    <row r="193" spans="2:18" ht="14.1" customHeight="1">
      <c r="B193" s="164"/>
      <c r="C193" s="164"/>
      <c r="D193" s="165"/>
      <c r="E193" s="166"/>
      <c r="F193" s="166"/>
      <c r="H193" s="167"/>
      <c r="I193" s="410"/>
      <c r="J193" s="410"/>
      <c r="K193" s="168"/>
      <c r="L193" s="168"/>
      <c r="M193" s="169"/>
      <c r="N193" s="169"/>
      <c r="O193" s="170"/>
      <c r="P193" s="170"/>
      <c r="Q193" s="171"/>
      <c r="R193" s="530"/>
    </row>
    <row r="194" spans="2:18" ht="14.1" customHeight="1">
      <c r="B194" s="164"/>
      <c r="C194" s="164"/>
      <c r="D194" s="165"/>
      <c r="E194" s="166"/>
      <c r="F194" s="166"/>
      <c r="H194" s="167"/>
      <c r="I194" s="410"/>
      <c r="J194" s="410"/>
      <c r="K194" s="168"/>
      <c r="L194" s="168"/>
      <c r="M194" s="169"/>
      <c r="N194" s="169"/>
      <c r="O194" s="170"/>
      <c r="P194" s="170"/>
      <c r="Q194" s="171"/>
      <c r="R194" s="530"/>
    </row>
    <row r="195" spans="2:18" ht="14.1" customHeight="1">
      <c r="B195" s="164"/>
      <c r="C195" s="164"/>
      <c r="D195" s="165"/>
      <c r="E195" s="166"/>
      <c r="F195" s="166"/>
      <c r="H195" s="167"/>
      <c r="I195" s="410"/>
      <c r="J195" s="410"/>
      <c r="K195" s="168"/>
      <c r="L195" s="168"/>
      <c r="M195" s="169"/>
      <c r="N195" s="169"/>
      <c r="O195" s="170"/>
      <c r="P195" s="170"/>
      <c r="Q195" s="171"/>
      <c r="R195" s="530"/>
    </row>
    <row r="196" spans="2:18" ht="14.1" customHeight="1">
      <c r="B196" s="164"/>
      <c r="C196" s="164"/>
      <c r="D196" s="165"/>
      <c r="E196" s="166"/>
      <c r="F196" s="166"/>
      <c r="H196" s="167"/>
      <c r="I196" s="410"/>
      <c r="J196" s="410"/>
      <c r="K196" s="168"/>
      <c r="L196" s="168"/>
      <c r="M196" s="169"/>
      <c r="N196" s="169"/>
      <c r="O196" s="170"/>
      <c r="P196" s="170"/>
      <c r="Q196" s="171"/>
      <c r="R196" s="530"/>
    </row>
    <row r="197" spans="2:18" ht="14.1" customHeight="1">
      <c r="B197" s="164"/>
      <c r="C197" s="164"/>
      <c r="D197" s="165"/>
      <c r="E197" s="166"/>
      <c r="F197" s="166"/>
      <c r="H197" s="167"/>
      <c r="I197" s="410"/>
      <c r="J197" s="410"/>
      <c r="K197" s="168"/>
      <c r="L197" s="168"/>
      <c r="M197" s="169"/>
      <c r="N197" s="169"/>
      <c r="O197" s="170"/>
      <c r="P197" s="170"/>
      <c r="Q197" s="171"/>
      <c r="R197" s="530"/>
    </row>
    <row r="198" spans="2:18" ht="14.1" customHeight="1">
      <c r="B198" s="164"/>
      <c r="C198" s="164"/>
      <c r="D198" s="165"/>
      <c r="E198" s="166"/>
      <c r="F198" s="166"/>
      <c r="H198" s="167"/>
      <c r="I198" s="410"/>
      <c r="J198" s="410"/>
      <c r="K198" s="168"/>
      <c r="L198" s="168"/>
      <c r="M198" s="169"/>
      <c r="N198" s="169"/>
      <c r="O198" s="170"/>
      <c r="P198" s="170"/>
      <c r="Q198" s="171"/>
      <c r="R198" s="530"/>
    </row>
    <row r="199" spans="2:18" ht="14.1" customHeight="1">
      <c r="B199" s="164"/>
      <c r="C199" s="164"/>
      <c r="D199" s="165"/>
      <c r="E199" s="166"/>
      <c r="F199" s="166"/>
      <c r="H199" s="167"/>
      <c r="I199" s="410"/>
      <c r="J199" s="410"/>
      <c r="K199" s="168"/>
      <c r="L199" s="168"/>
      <c r="M199" s="169"/>
      <c r="N199" s="169"/>
      <c r="O199" s="170"/>
      <c r="P199" s="170"/>
      <c r="Q199" s="171"/>
      <c r="R199" s="530"/>
    </row>
    <row r="200" spans="2:18" ht="14.1" customHeight="1">
      <c r="B200" s="164"/>
      <c r="C200" s="164"/>
      <c r="D200" s="165"/>
      <c r="E200" s="166"/>
      <c r="F200" s="166"/>
      <c r="H200" s="167"/>
      <c r="I200" s="410"/>
      <c r="J200" s="410"/>
      <c r="K200" s="168"/>
      <c r="L200" s="168"/>
      <c r="M200" s="169"/>
      <c r="N200" s="169"/>
      <c r="O200" s="170"/>
      <c r="P200" s="170"/>
      <c r="Q200" s="171"/>
      <c r="R200" s="530"/>
    </row>
    <row r="201" spans="2:18" ht="14.1" customHeight="1">
      <c r="B201" s="164"/>
      <c r="C201" s="164"/>
      <c r="D201" s="165"/>
      <c r="E201" s="166"/>
      <c r="F201" s="166"/>
      <c r="H201" s="167"/>
      <c r="I201" s="410"/>
      <c r="J201" s="410"/>
      <c r="K201" s="168"/>
      <c r="L201" s="168"/>
      <c r="M201" s="169"/>
      <c r="N201" s="169"/>
      <c r="O201" s="170"/>
      <c r="P201" s="170"/>
      <c r="Q201" s="171"/>
      <c r="R201" s="530"/>
    </row>
    <row r="202" spans="2:18" ht="14.1" customHeight="1">
      <c r="B202" s="164"/>
      <c r="C202" s="164"/>
      <c r="D202" s="165"/>
      <c r="E202" s="166"/>
      <c r="F202" s="166"/>
      <c r="H202" s="167"/>
      <c r="I202" s="410"/>
      <c r="J202" s="410"/>
      <c r="K202" s="168"/>
      <c r="L202" s="168"/>
      <c r="M202" s="169"/>
      <c r="N202" s="169"/>
      <c r="O202" s="170"/>
      <c r="P202" s="170"/>
      <c r="Q202" s="171"/>
      <c r="R202" s="530"/>
    </row>
    <row r="203" spans="2:18" ht="14.1" customHeight="1">
      <c r="B203" s="164"/>
      <c r="C203" s="164"/>
      <c r="D203" s="165"/>
      <c r="E203" s="166"/>
      <c r="F203" s="166"/>
      <c r="H203" s="167"/>
      <c r="I203" s="410"/>
      <c r="J203" s="410"/>
      <c r="K203" s="168"/>
      <c r="L203" s="168"/>
      <c r="M203" s="169"/>
      <c r="N203" s="169"/>
      <c r="O203" s="170"/>
      <c r="P203" s="170"/>
      <c r="Q203" s="171"/>
      <c r="R203" s="530"/>
    </row>
    <row r="204" spans="2:18" ht="14.1" customHeight="1">
      <c r="B204" s="164"/>
      <c r="C204" s="164"/>
      <c r="D204" s="165"/>
      <c r="E204" s="166"/>
      <c r="F204" s="166"/>
      <c r="H204" s="167"/>
      <c r="I204" s="410"/>
      <c r="J204" s="410"/>
      <c r="K204" s="168"/>
      <c r="L204" s="168"/>
      <c r="M204" s="169"/>
      <c r="N204" s="169"/>
      <c r="O204" s="170"/>
      <c r="P204" s="170"/>
      <c r="Q204" s="171"/>
      <c r="R204" s="530"/>
    </row>
    <row r="205" spans="2:18" ht="14.1" customHeight="1">
      <c r="B205" s="164"/>
      <c r="C205" s="164"/>
      <c r="D205" s="165"/>
      <c r="E205" s="166"/>
      <c r="F205" s="166"/>
      <c r="H205" s="167"/>
      <c r="I205" s="410"/>
      <c r="J205" s="410"/>
      <c r="K205" s="168"/>
      <c r="L205" s="168"/>
      <c r="M205" s="169"/>
      <c r="N205" s="169"/>
      <c r="O205" s="170"/>
      <c r="P205" s="170"/>
      <c r="Q205" s="171"/>
      <c r="R205" s="530"/>
    </row>
    <row r="206" spans="2:18" ht="14.1" customHeight="1">
      <c r="B206" s="164"/>
      <c r="C206" s="164"/>
      <c r="D206" s="165"/>
      <c r="E206" s="166"/>
      <c r="F206" s="166"/>
      <c r="H206" s="167"/>
      <c r="I206" s="410"/>
      <c r="J206" s="410"/>
      <c r="K206" s="168"/>
      <c r="L206" s="168"/>
      <c r="M206" s="169"/>
      <c r="N206" s="169"/>
      <c r="O206" s="170"/>
      <c r="P206" s="170"/>
      <c r="Q206" s="171"/>
      <c r="R206" s="530"/>
    </row>
    <row r="207" spans="2:18" ht="14.1" customHeight="1">
      <c r="B207" s="164"/>
      <c r="C207" s="164"/>
      <c r="D207" s="165"/>
      <c r="E207" s="166"/>
      <c r="F207" s="166"/>
      <c r="H207" s="167"/>
      <c r="I207" s="410"/>
      <c r="J207" s="410"/>
      <c r="K207" s="168"/>
      <c r="L207" s="168"/>
      <c r="M207" s="169"/>
      <c r="N207" s="169"/>
      <c r="O207" s="170"/>
      <c r="P207" s="170"/>
      <c r="Q207" s="171"/>
      <c r="R207" s="530"/>
    </row>
    <row r="208" spans="2:18" ht="14.1" customHeight="1">
      <c r="B208" s="164"/>
      <c r="C208" s="164"/>
      <c r="D208" s="165"/>
      <c r="E208" s="166"/>
      <c r="F208" s="166"/>
      <c r="H208" s="167"/>
      <c r="I208" s="410"/>
      <c r="J208" s="410"/>
      <c r="K208" s="168"/>
      <c r="L208" s="168"/>
      <c r="M208" s="169"/>
      <c r="N208" s="169"/>
      <c r="O208" s="170"/>
      <c r="P208" s="170"/>
      <c r="Q208" s="171"/>
      <c r="R208" s="530"/>
    </row>
    <row r="209" spans="2:18" ht="14.1" customHeight="1">
      <c r="B209" s="164"/>
      <c r="C209" s="164"/>
      <c r="D209" s="165"/>
      <c r="E209" s="166"/>
      <c r="F209" s="166"/>
      <c r="H209" s="167"/>
      <c r="I209" s="410"/>
      <c r="J209" s="410"/>
      <c r="K209" s="168"/>
      <c r="L209" s="168"/>
      <c r="M209" s="169"/>
      <c r="N209" s="169"/>
      <c r="O209" s="170"/>
      <c r="P209" s="170"/>
      <c r="Q209" s="171"/>
      <c r="R209" s="530"/>
    </row>
    <row r="210" spans="2:18" ht="14.1" customHeight="1">
      <c r="B210" s="164"/>
      <c r="C210" s="164"/>
      <c r="D210" s="165"/>
      <c r="E210" s="166"/>
      <c r="F210" s="166"/>
      <c r="H210" s="167"/>
      <c r="I210" s="410"/>
      <c r="J210" s="410"/>
      <c r="K210" s="168"/>
      <c r="L210" s="168"/>
      <c r="M210" s="169"/>
      <c r="N210" s="169"/>
      <c r="O210" s="170"/>
      <c r="P210" s="170"/>
      <c r="Q210" s="171"/>
      <c r="R210" s="530"/>
    </row>
    <row r="211" spans="2:18" ht="14.1" customHeight="1">
      <c r="B211" s="164"/>
      <c r="C211" s="164"/>
      <c r="D211" s="165"/>
      <c r="E211" s="166"/>
      <c r="F211" s="166"/>
      <c r="H211" s="167"/>
      <c r="I211" s="410"/>
      <c r="J211" s="410"/>
      <c r="K211" s="168"/>
      <c r="L211" s="168"/>
      <c r="M211" s="169"/>
      <c r="N211" s="169"/>
      <c r="O211" s="170"/>
      <c r="P211" s="170"/>
      <c r="Q211" s="171"/>
      <c r="R211" s="530"/>
    </row>
    <row r="212" spans="2:18" ht="14.1" customHeight="1">
      <c r="B212" s="164"/>
      <c r="C212" s="164"/>
      <c r="D212" s="165"/>
      <c r="E212" s="166"/>
      <c r="F212" s="166"/>
      <c r="H212" s="167"/>
      <c r="I212" s="410"/>
      <c r="J212" s="410"/>
      <c r="K212" s="168"/>
      <c r="L212" s="168"/>
      <c r="M212" s="169"/>
      <c r="N212" s="169"/>
      <c r="O212" s="170"/>
      <c r="P212" s="170"/>
      <c r="Q212" s="171"/>
      <c r="R212" s="530"/>
    </row>
    <row r="213" spans="2:18" ht="14.1" customHeight="1">
      <c r="B213" s="164"/>
      <c r="C213" s="164"/>
      <c r="D213" s="165"/>
      <c r="E213" s="166"/>
      <c r="F213" s="166"/>
      <c r="H213" s="167"/>
      <c r="I213" s="410"/>
      <c r="J213" s="410"/>
      <c r="K213" s="168"/>
      <c r="L213" s="168"/>
      <c r="M213" s="169"/>
      <c r="N213" s="169"/>
      <c r="O213" s="170"/>
      <c r="P213" s="170"/>
      <c r="Q213" s="171"/>
      <c r="R213" s="530"/>
    </row>
    <row r="214" spans="2:18" ht="14.1" customHeight="1">
      <c r="B214" s="164"/>
      <c r="C214" s="164"/>
      <c r="D214" s="165"/>
      <c r="E214" s="166"/>
      <c r="F214" s="166"/>
      <c r="H214" s="167"/>
      <c r="I214" s="410"/>
      <c r="J214" s="410"/>
      <c r="K214" s="168"/>
      <c r="L214" s="168"/>
      <c r="M214" s="169"/>
      <c r="N214" s="169"/>
      <c r="O214" s="170"/>
      <c r="P214" s="170"/>
      <c r="Q214" s="171"/>
      <c r="R214" s="530"/>
    </row>
    <row r="215" spans="2:18" ht="14.1" customHeight="1">
      <c r="B215" s="164"/>
      <c r="C215" s="164"/>
      <c r="D215" s="165"/>
      <c r="E215" s="166"/>
      <c r="F215" s="166"/>
      <c r="H215" s="167"/>
      <c r="I215" s="410"/>
      <c r="J215" s="410"/>
      <c r="K215" s="168"/>
      <c r="L215" s="168"/>
      <c r="M215" s="169"/>
      <c r="N215" s="169"/>
      <c r="O215" s="170"/>
      <c r="P215" s="170"/>
      <c r="Q215" s="171"/>
      <c r="R215" s="530"/>
    </row>
    <row r="216" spans="2:18" ht="14.1" customHeight="1">
      <c r="B216" s="164"/>
      <c r="C216" s="164"/>
      <c r="D216" s="165"/>
      <c r="E216" s="166"/>
      <c r="F216" s="166"/>
      <c r="H216" s="167"/>
      <c r="I216" s="410"/>
      <c r="J216" s="410"/>
      <c r="K216" s="168"/>
      <c r="L216" s="168"/>
      <c r="M216" s="169"/>
      <c r="N216" s="169"/>
      <c r="O216" s="170"/>
      <c r="P216" s="170"/>
      <c r="Q216" s="171"/>
      <c r="R216" s="530"/>
    </row>
    <row r="217" spans="2:18" ht="14.1" customHeight="1">
      <c r="B217" s="164"/>
      <c r="C217" s="164"/>
      <c r="D217" s="165"/>
      <c r="E217" s="166"/>
      <c r="F217" s="166"/>
      <c r="H217" s="167"/>
      <c r="I217" s="410"/>
      <c r="J217" s="410"/>
      <c r="K217" s="168"/>
      <c r="L217" s="168"/>
      <c r="M217" s="169"/>
      <c r="N217" s="169"/>
      <c r="O217" s="170"/>
      <c r="P217" s="170"/>
      <c r="Q217" s="171"/>
      <c r="R217" s="530"/>
    </row>
    <row r="218" spans="2:18" ht="14.1" customHeight="1">
      <c r="B218" s="164"/>
      <c r="C218" s="164"/>
      <c r="D218" s="165"/>
      <c r="E218" s="166"/>
      <c r="F218" s="166"/>
      <c r="H218" s="167"/>
      <c r="I218" s="410"/>
      <c r="J218" s="410"/>
      <c r="K218" s="168"/>
      <c r="L218" s="168"/>
      <c r="M218" s="169"/>
      <c r="N218" s="169"/>
      <c r="O218" s="170"/>
      <c r="P218" s="170"/>
      <c r="Q218" s="171"/>
      <c r="R218" s="530"/>
    </row>
    <row r="219" spans="2:18" ht="14.1" customHeight="1">
      <c r="B219" s="164"/>
      <c r="C219" s="164"/>
      <c r="D219" s="165"/>
      <c r="E219" s="166"/>
      <c r="F219" s="166"/>
      <c r="H219" s="167"/>
      <c r="I219" s="410"/>
      <c r="J219" s="410"/>
      <c r="K219" s="168"/>
      <c r="L219" s="168"/>
      <c r="M219" s="169"/>
      <c r="N219" s="169"/>
      <c r="O219" s="170"/>
      <c r="P219" s="170"/>
      <c r="Q219" s="171"/>
      <c r="R219" s="530"/>
    </row>
    <row r="220" spans="2:18" ht="14.1" customHeight="1">
      <c r="B220" s="164"/>
      <c r="C220" s="164"/>
      <c r="D220" s="165"/>
      <c r="E220" s="166"/>
      <c r="F220" s="166"/>
      <c r="H220" s="167"/>
      <c r="I220" s="410"/>
      <c r="J220" s="410"/>
      <c r="K220" s="168"/>
      <c r="L220" s="168"/>
      <c r="M220" s="169"/>
      <c r="N220" s="169"/>
      <c r="O220" s="170"/>
      <c r="P220" s="170"/>
      <c r="Q220" s="171"/>
      <c r="R220" s="530"/>
    </row>
    <row r="221" spans="2:18" ht="14.1" customHeight="1">
      <c r="B221" s="164"/>
      <c r="C221" s="164"/>
      <c r="D221" s="165"/>
      <c r="E221" s="166"/>
      <c r="F221" s="166"/>
      <c r="H221" s="167"/>
      <c r="I221" s="410"/>
      <c r="J221" s="410"/>
      <c r="K221" s="168"/>
      <c r="L221" s="168"/>
      <c r="M221" s="169"/>
      <c r="N221" s="169"/>
      <c r="O221" s="170"/>
      <c r="P221" s="170"/>
      <c r="Q221" s="171"/>
      <c r="R221" s="530"/>
    </row>
    <row r="222" spans="2:18" ht="14.1" customHeight="1">
      <c r="B222" s="164"/>
      <c r="C222" s="164"/>
      <c r="D222" s="165"/>
      <c r="E222" s="166"/>
      <c r="F222" s="166"/>
      <c r="H222" s="167"/>
      <c r="I222" s="410"/>
      <c r="J222" s="410"/>
      <c r="K222" s="168"/>
      <c r="L222" s="168"/>
      <c r="M222" s="169"/>
      <c r="N222" s="169"/>
      <c r="O222" s="170"/>
      <c r="P222" s="170"/>
      <c r="Q222" s="171"/>
      <c r="R222" s="530"/>
    </row>
    <row r="223" spans="2:18" ht="14.1" customHeight="1">
      <c r="B223" s="164"/>
      <c r="C223" s="164"/>
      <c r="D223" s="165"/>
      <c r="E223" s="166"/>
      <c r="F223" s="166"/>
      <c r="H223" s="167"/>
      <c r="I223" s="410"/>
      <c r="J223" s="410"/>
      <c r="K223" s="168"/>
      <c r="L223" s="168"/>
      <c r="M223" s="169"/>
      <c r="N223" s="169"/>
      <c r="O223" s="170"/>
      <c r="P223" s="170"/>
      <c r="Q223" s="171"/>
      <c r="R223" s="530"/>
    </row>
    <row r="224" spans="2:18" ht="14.1" customHeight="1">
      <c r="B224" s="164"/>
      <c r="C224" s="164"/>
      <c r="D224" s="165"/>
      <c r="E224" s="166"/>
      <c r="F224" s="166"/>
      <c r="H224" s="167"/>
      <c r="I224" s="410"/>
      <c r="J224" s="410"/>
      <c r="K224" s="168"/>
      <c r="L224" s="168"/>
      <c r="M224" s="169"/>
      <c r="N224" s="169"/>
      <c r="O224" s="170"/>
      <c r="P224" s="170"/>
      <c r="Q224" s="171"/>
      <c r="R224" s="530"/>
    </row>
    <row r="225" spans="2:18" ht="14.1" customHeight="1">
      <c r="B225" s="164"/>
      <c r="C225" s="164"/>
      <c r="D225" s="165"/>
      <c r="E225" s="166"/>
      <c r="F225" s="166"/>
      <c r="H225" s="167"/>
      <c r="I225" s="410"/>
      <c r="J225" s="410"/>
      <c r="K225" s="168"/>
      <c r="L225" s="168"/>
      <c r="M225" s="169"/>
      <c r="N225" s="169"/>
      <c r="O225" s="170"/>
      <c r="P225" s="170"/>
      <c r="Q225" s="171"/>
      <c r="R225" s="530"/>
    </row>
    <row r="226" spans="2:18" ht="14.1" customHeight="1">
      <c r="B226" s="164"/>
      <c r="C226" s="164"/>
      <c r="D226" s="165"/>
      <c r="E226" s="166"/>
      <c r="F226" s="166"/>
      <c r="H226" s="167"/>
      <c r="I226" s="410"/>
      <c r="J226" s="410"/>
      <c r="K226" s="168"/>
      <c r="L226" s="168"/>
      <c r="M226" s="169"/>
      <c r="N226" s="169"/>
      <c r="O226" s="170"/>
      <c r="P226" s="170"/>
      <c r="Q226" s="171"/>
      <c r="R226" s="530"/>
    </row>
    <row r="227" spans="2:18" ht="14.1" customHeight="1">
      <c r="B227" s="164"/>
      <c r="C227" s="164"/>
      <c r="D227" s="165"/>
      <c r="E227" s="166"/>
      <c r="F227" s="166"/>
      <c r="H227" s="167"/>
      <c r="I227" s="410"/>
      <c r="J227" s="410"/>
      <c r="K227" s="168"/>
      <c r="L227" s="168"/>
      <c r="M227" s="169"/>
      <c r="N227" s="169"/>
      <c r="O227" s="170"/>
      <c r="P227" s="170"/>
      <c r="Q227" s="171"/>
      <c r="R227" s="530"/>
    </row>
    <row r="228" spans="2:18" ht="14.1" customHeight="1">
      <c r="B228" s="164"/>
      <c r="C228" s="164"/>
      <c r="D228" s="165"/>
      <c r="E228" s="166"/>
      <c r="F228" s="166"/>
      <c r="H228" s="167"/>
      <c r="I228" s="410"/>
      <c r="J228" s="410"/>
      <c r="K228" s="168"/>
      <c r="L228" s="168"/>
      <c r="M228" s="169"/>
      <c r="N228" s="169"/>
      <c r="O228" s="170"/>
      <c r="P228" s="170"/>
      <c r="Q228" s="171"/>
      <c r="R228" s="530"/>
    </row>
    <row r="229" spans="2:18" ht="14.1" customHeight="1">
      <c r="B229" s="164"/>
      <c r="C229" s="164"/>
      <c r="D229" s="165"/>
      <c r="E229" s="166"/>
      <c r="F229" s="166"/>
      <c r="H229" s="167"/>
      <c r="I229" s="410"/>
      <c r="J229" s="410"/>
      <c r="K229" s="168"/>
      <c r="L229" s="168"/>
      <c r="M229" s="169"/>
      <c r="N229" s="169"/>
      <c r="O229" s="170"/>
      <c r="P229" s="170"/>
      <c r="Q229" s="171"/>
      <c r="R229" s="530"/>
    </row>
    <row r="230" spans="2:18" ht="14.1" customHeight="1">
      <c r="B230" s="164"/>
      <c r="C230" s="164"/>
      <c r="D230" s="165"/>
      <c r="E230" s="166"/>
      <c r="F230" s="166"/>
      <c r="H230" s="167"/>
      <c r="I230" s="410"/>
      <c r="J230" s="410"/>
      <c r="K230" s="168"/>
      <c r="L230" s="168"/>
      <c r="M230" s="169"/>
      <c r="N230" s="169"/>
      <c r="O230" s="170"/>
      <c r="P230" s="170"/>
      <c r="Q230" s="171"/>
      <c r="R230" s="530"/>
    </row>
    <row r="231" spans="2:18" ht="14.1" customHeight="1">
      <c r="B231" s="164"/>
      <c r="C231" s="164"/>
      <c r="D231" s="165"/>
      <c r="E231" s="166"/>
      <c r="F231" s="166"/>
      <c r="H231" s="167"/>
      <c r="I231" s="410"/>
      <c r="J231" s="410"/>
      <c r="K231" s="168"/>
      <c r="L231" s="168"/>
      <c r="M231" s="169"/>
      <c r="N231" s="169"/>
      <c r="O231" s="170"/>
      <c r="P231" s="170"/>
      <c r="Q231" s="171"/>
      <c r="R231" s="530"/>
    </row>
    <row r="232" spans="2:18" ht="14.1" customHeight="1">
      <c r="B232" s="164"/>
      <c r="C232" s="164"/>
      <c r="D232" s="165"/>
      <c r="E232" s="166"/>
      <c r="F232" s="166"/>
      <c r="H232" s="167"/>
      <c r="I232" s="410"/>
      <c r="J232" s="410"/>
      <c r="K232" s="168"/>
      <c r="L232" s="168"/>
      <c r="M232" s="169"/>
      <c r="N232" s="169"/>
      <c r="O232" s="170"/>
      <c r="P232" s="170"/>
      <c r="Q232" s="171"/>
      <c r="R232" s="530"/>
    </row>
    <row r="233" spans="2:18" ht="14.1" customHeight="1">
      <c r="B233" s="164"/>
      <c r="C233" s="164"/>
      <c r="D233" s="165"/>
      <c r="E233" s="166"/>
      <c r="F233" s="166"/>
      <c r="H233" s="167"/>
      <c r="I233" s="410"/>
      <c r="J233" s="410"/>
      <c r="K233" s="168"/>
      <c r="L233" s="168"/>
      <c r="M233" s="169"/>
      <c r="N233" s="169"/>
      <c r="O233" s="170"/>
      <c r="P233" s="170"/>
      <c r="Q233" s="171"/>
      <c r="R233" s="530"/>
    </row>
    <row r="234" spans="2:18" ht="14.1" customHeight="1">
      <c r="B234" s="164"/>
      <c r="C234" s="164"/>
      <c r="D234" s="165"/>
      <c r="E234" s="166"/>
      <c r="F234" s="166"/>
      <c r="H234" s="167"/>
      <c r="I234" s="410"/>
      <c r="J234" s="410"/>
      <c r="K234" s="168"/>
      <c r="L234" s="168"/>
      <c r="M234" s="169"/>
      <c r="N234" s="169"/>
      <c r="O234" s="170"/>
      <c r="P234" s="170"/>
      <c r="Q234" s="171"/>
      <c r="R234" s="530"/>
    </row>
    <row r="235" spans="2:18" ht="14.1" customHeight="1">
      <c r="B235" s="164"/>
      <c r="C235" s="164"/>
      <c r="D235" s="165"/>
      <c r="E235" s="166"/>
      <c r="F235" s="166"/>
      <c r="H235" s="167"/>
      <c r="I235" s="410"/>
      <c r="J235" s="410"/>
      <c r="K235" s="168"/>
      <c r="L235" s="168"/>
      <c r="M235" s="169"/>
      <c r="N235" s="169"/>
      <c r="O235" s="170"/>
      <c r="P235" s="170"/>
      <c r="Q235" s="171"/>
      <c r="R235" s="530"/>
    </row>
    <row r="236" spans="2:18" ht="14.1" customHeight="1">
      <c r="B236" s="164"/>
      <c r="C236" s="164"/>
      <c r="D236" s="165"/>
      <c r="E236" s="166"/>
      <c r="F236" s="166"/>
      <c r="H236" s="167"/>
      <c r="I236" s="410"/>
      <c r="J236" s="410"/>
      <c r="K236" s="168"/>
      <c r="L236" s="168"/>
      <c r="M236" s="169"/>
      <c r="N236" s="169"/>
      <c r="O236" s="170"/>
      <c r="P236" s="170"/>
      <c r="Q236" s="171"/>
      <c r="R236" s="530"/>
    </row>
    <row r="237" spans="2:18" ht="14.1" customHeight="1">
      <c r="B237" s="164"/>
      <c r="C237" s="164"/>
      <c r="D237" s="165"/>
      <c r="E237" s="166"/>
      <c r="F237" s="166"/>
      <c r="H237" s="167"/>
      <c r="I237" s="410"/>
      <c r="J237" s="410"/>
      <c r="K237" s="168"/>
      <c r="L237" s="168"/>
      <c r="M237" s="169"/>
      <c r="N237" s="169"/>
      <c r="O237" s="170"/>
      <c r="P237" s="170"/>
      <c r="Q237" s="171"/>
      <c r="R237" s="530"/>
    </row>
    <row r="238" spans="2:18" ht="14.1" customHeight="1">
      <c r="B238" s="164"/>
      <c r="C238" s="164"/>
      <c r="D238" s="165"/>
      <c r="E238" s="166"/>
      <c r="F238" s="166"/>
      <c r="H238" s="167"/>
      <c r="I238" s="410"/>
      <c r="J238" s="410"/>
      <c r="K238" s="168"/>
      <c r="L238" s="168"/>
      <c r="M238" s="169"/>
      <c r="N238" s="169"/>
      <c r="O238" s="170"/>
      <c r="P238" s="170"/>
      <c r="Q238" s="171"/>
      <c r="R238" s="530"/>
    </row>
    <row r="239" spans="2:18" ht="14.1" customHeight="1">
      <c r="B239" s="164"/>
      <c r="C239" s="164"/>
      <c r="D239" s="165"/>
      <c r="E239" s="166"/>
      <c r="F239" s="166"/>
      <c r="H239" s="167"/>
      <c r="I239" s="410"/>
      <c r="J239" s="410"/>
      <c r="K239" s="168"/>
      <c r="L239" s="168"/>
      <c r="M239" s="169"/>
      <c r="N239" s="169"/>
      <c r="O239" s="170"/>
      <c r="P239" s="170"/>
      <c r="Q239" s="171"/>
      <c r="R239" s="530"/>
    </row>
    <row r="240" spans="2:18" ht="14.1" customHeight="1">
      <c r="B240" s="164"/>
      <c r="C240" s="164"/>
      <c r="D240" s="165"/>
      <c r="E240" s="166"/>
      <c r="F240" s="166"/>
      <c r="H240" s="167"/>
      <c r="I240" s="410"/>
      <c r="J240" s="410"/>
      <c r="K240" s="168"/>
      <c r="L240" s="168"/>
      <c r="M240" s="169"/>
      <c r="N240" s="169"/>
      <c r="O240" s="170"/>
      <c r="P240" s="170"/>
      <c r="Q240" s="171"/>
      <c r="R240" s="530"/>
    </row>
    <row r="241" spans="2:18" ht="14.1" customHeight="1">
      <c r="B241" s="164"/>
      <c r="C241" s="164"/>
      <c r="D241" s="165"/>
      <c r="E241" s="166"/>
      <c r="F241" s="166"/>
      <c r="H241" s="167"/>
      <c r="I241" s="410"/>
      <c r="J241" s="410"/>
      <c r="K241" s="168"/>
      <c r="L241" s="168"/>
      <c r="M241" s="169"/>
      <c r="N241" s="169"/>
      <c r="O241" s="170"/>
      <c r="P241" s="170"/>
      <c r="Q241" s="171"/>
      <c r="R241" s="530"/>
    </row>
    <row r="242" spans="2:18" ht="14.1" customHeight="1">
      <c r="B242" s="164"/>
      <c r="C242" s="164"/>
      <c r="D242" s="165"/>
      <c r="E242" s="166"/>
      <c r="F242" s="166"/>
      <c r="H242" s="167"/>
      <c r="I242" s="410"/>
      <c r="J242" s="410"/>
      <c r="K242" s="168"/>
      <c r="L242" s="168"/>
      <c r="M242" s="169"/>
      <c r="N242" s="169"/>
      <c r="O242" s="170"/>
      <c r="P242" s="170"/>
      <c r="Q242" s="171"/>
      <c r="R242" s="530"/>
    </row>
    <row r="243" spans="2:18" ht="14.1" customHeight="1">
      <c r="B243" s="164"/>
      <c r="C243" s="164"/>
      <c r="D243" s="165"/>
      <c r="E243" s="166"/>
      <c r="F243" s="166"/>
      <c r="H243" s="167"/>
      <c r="I243" s="410"/>
      <c r="J243" s="410"/>
      <c r="K243" s="168"/>
      <c r="L243" s="168"/>
      <c r="M243" s="169"/>
      <c r="N243" s="169"/>
      <c r="O243" s="170"/>
      <c r="P243" s="170"/>
      <c r="Q243" s="171"/>
      <c r="R243" s="530"/>
    </row>
    <row r="244" spans="2:18" ht="14.1" customHeight="1">
      <c r="B244" s="164"/>
      <c r="C244" s="164"/>
      <c r="D244" s="165"/>
      <c r="E244" s="166"/>
      <c r="F244" s="166"/>
      <c r="H244" s="167"/>
      <c r="I244" s="410"/>
      <c r="J244" s="410"/>
      <c r="K244" s="168"/>
      <c r="L244" s="168"/>
      <c r="M244" s="169"/>
      <c r="N244" s="169"/>
      <c r="O244" s="170"/>
      <c r="P244" s="170"/>
      <c r="Q244" s="171"/>
      <c r="R244" s="530"/>
    </row>
    <row r="245" spans="2:18" ht="14.1" customHeight="1">
      <c r="B245" s="164"/>
      <c r="C245" s="164"/>
      <c r="D245" s="165"/>
      <c r="E245" s="166"/>
      <c r="F245" s="166"/>
      <c r="H245" s="167"/>
      <c r="I245" s="410"/>
      <c r="J245" s="410"/>
      <c r="K245" s="168"/>
      <c r="L245" s="168"/>
      <c r="M245" s="169"/>
      <c r="N245" s="169"/>
      <c r="O245" s="170"/>
      <c r="P245" s="170"/>
      <c r="Q245" s="171"/>
      <c r="R245" s="530"/>
    </row>
    <row r="246" spans="2:18" ht="14.1" customHeight="1">
      <c r="B246" s="164"/>
      <c r="C246" s="164"/>
      <c r="D246" s="165"/>
      <c r="E246" s="166"/>
      <c r="F246" s="166"/>
      <c r="H246" s="167"/>
      <c r="I246" s="410"/>
      <c r="J246" s="410"/>
      <c r="K246" s="168"/>
      <c r="L246" s="168"/>
      <c r="M246" s="169"/>
      <c r="N246" s="169"/>
      <c r="O246" s="170"/>
      <c r="P246" s="170"/>
      <c r="Q246" s="171"/>
      <c r="R246" s="530"/>
    </row>
    <row r="247" spans="2:18" ht="14.1" customHeight="1">
      <c r="B247" s="164"/>
      <c r="C247" s="164"/>
      <c r="D247" s="165"/>
      <c r="E247" s="166"/>
      <c r="F247" s="166"/>
      <c r="H247" s="167"/>
      <c r="I247" s="410"/>
      <c r="J247" s="410"/>
      <c r="K247" s="168"/>
      <c r="L247" s="168"/>
      <c r="M247" s="169"/>
      <c r="N247" s="169"/>
      <c r="O247" s="170"/>
      <c r="P247" s="170"/>
      <c r="Q247" s="171"/>
      <c r="R247" s="530"/>
    </row>
    <row r="248" spans="2:18" ht="14.1" customHeight="1">
      <c r="B248" s="164"/>
      <c r="C248" s="164"/>
      <c r="D248" s="165"/>
      <c r="E248" s="166"/>
      <c r="F248" s="166"/>
      <c r="H248" s="167"/>
      <c r="I248" s="410"/>
      <c r="J248" s="410"/>
      <c r="K248" s="168"/>
      <c r="L248" s="168"/>
      <c r="M248" s="169"/>
      <c r="N248" s="169"/>
      <c r="O248" s="170"/>
      <c r="P248" s="170"/>
      <c r="Q248" s="171"/>
      <c r="R248" s="530"/>
    </row>
    <row r="249" spans="2:18" ht="14.1" customHeight="1">
      <c r="B249" s="164"/>
      <c r="C249" s="164"/>
      <c r="D249" s="165"/>
      <c r="E249" s="166"/>
      <c r="F249" s="166"/>
      <c r="H249" s="167"/>
      <c r="I249" s="410"/>
      <c r="J249" s="410"/>
      <c r="K249" s="168"/>
      <c r="L249" s="168"/>
      <c r="M249" s="169"/>
      <c r="N249" s="169"/>
      <c r="O249" s="170"/>
      <c r="P249" s="170"/>
      <c r="Q249" s="171"/>
      <c r="R249" s="530"/>
    </row>
    <row r="250" spans="2:18" ht="14.1" customHeight="1">
      <c r="B250" s="164"/>
      <c r="C250" s="164"/>
      <c r="D250" s="165"/>
      <c r="E250" s="166"/>
      <c r="F250" s="166"/>
      <c r="H250" s="167"/>
      <c r="I250" s="410"/>
      <c r="J250" s="410"/>
      <c r="K250" s="168"/>
      <c r="L250" s="168"/>
      <c r="M250" s="169"/>
      <c r="N250" s="169"/>
      <c r="O250" s="170"/>
      <c r="P250" s="170"/>
      <c r="Q250" s="171"/>
      <c r="R250" s="530"/>
    </row>
    <row r="251" spans="2:18" ht="14.1" customHeight="1">
      <c r="B251" s="164"/>
      <c r="C251" s="164"/>
      <c r="D251" s="165"/>
      <c r="E251" s="166"/>
      <c r="F251" s="166"/>
      <c r="H251" s="167"/>
      <c r="I251" s="410"/>
      <c r="J251" s="410"/>
      <c r="K251" s="168"/>
      <c r="L251" s="168"/>
      <c r="M251" s="169"/>
      <c r="N251" s="169"/>
      <c r="O251" s="170"/>
      <c r="P251" s="170"/>
      <c r="Q251" s="171"/>
      <c r="R251" s="530"/>
    </row>
    <row r="252" spans="2:18" ht="14.1" customHeight="1">
      <c r="B252" s="164"/>
      <c r="C252" s="164"/>
      <c r="D252" s="165"/>
      <c r="E252" s="166"/>
      <c r="F252" s="166"/>
      <c r="H252" s="167"/>
      <c r="I252" s="410"/>
      <c r="J252" s="410"/>
      <c r="K252" s="168"/>
      <c r="L252" s="168"/>
      <c r="M252" s="169"/>
      <c r="N252" s="169"/>
      <c r="O252" s="170"/>
      <c r="P252" s="170"/>
      <c r="Q252" s="171"/>
      <c r="R252" s="530"/>
    </row>
    <row r="253" spans="2:18" ht="14.1" customHeight="1">
      <c r="B253" s="164"/>
      <c r="C253" s="164"/>
      <c r="D253" s="165"/>
      <c r="E253" s="166"/>
      <c r="F253" s="166"/>
      <c r="H253" s="167"/>
      <c r="I253" s="410"/>
      <c r="J253" s="410"/>
      <c r="K253" s="168"/>
      <c r="L253" s="168"/>
      <c r="M253" s="169"/>
      <c r="N253" s="169"/>
      <c r="O253" s="170"/>
      <c r="P253" s="170"/>
      <c r="Q253" s="171"/>
      <c r="R253" s="530"/>
    </row>
    <row r="254" spans="2:18" ht="14.1" customHeight="1">
      <c r="B254" s="164"/>
      <c r="C254" s="164"/>
      <c r="D254" s="165"/>
      <c r="E254" s="166"/>
      <c r="F254" s="166"/>
      <c r="H254" s="167"/>
      <c r="I254" s="410"/>
      <c r="J254" s="410"/>
      <c r="K254" s="168"/>
      <c r="L254" s="168"/>
      <c r="M254" s="169"/>
      <c r="N254" s="169"/>
      <c r="O254" s="170"/>
      <c r="P254" s="170"/>
      <c r="Q254" s="171"/>
      <c r="R254" s="530"/>
    </row>
    <row r="255" spans="2:18" ht="14.1" customHeight="1">
      <c r="B255" s="164"/>
      <c r="C255" s="164"/>
      <c r="D255" s="165"/>
      <c r="E255" s="166"/>
      <c r="F255" s="166"/>
      <c r="H255" s="167"/>
      <c r="I255" s="410"/>
      <c r="J255" s="410"/>
      <c r="K255" s="168"/>
      <c r="L255" s="168"/>
      <c r="M255" s="169"/>
      <c r="N255" s="169"/>
      <c r="O255" s="170"/>
      <c r="P255" s="170"/>
      <c r="Q255" s="171"/>
      <c r="R255" s="530"/>
    </row>
    <row r="256" spans="2:18" ht="14.1" customHeight="1">
      <c r="B256" s="164"/>
      <c r="C256" s="164"/>
      <c r="D256" s="165"/>
      <c r="E256" s="166"/>
      <c r="F256" s="166"/>
      <c r="H256" s="167"/>
      <c r="I256" s="410"/>
      <c r="J256" s="410"/>
      <c r="K256" s="168"/>
      <c r="L256" s="168"/>
      <c r="M256" s="169"/>
      <c r="N256" s="169"/>
      <c r="O256" s="170"/>
      <c r="P256" s="170"/>
      <c r="Q256" s="171"/>
      <c r="R256" s="530"/>
    </row>
    <row r="257" spans="2:18" ht="14.1" customHeight="1">
      <c r="B257" s="164"/>
      <c r="C257" s="164"/>
      <c r="D257" s="165"/>
      <c r="E257" s="166"/>
      <c r="F257" s="166"/>
      <c r="H257" s="167"/>
      <c r="I257" s="410"/>
      <c r="J257" s="410"/>
      <c r="K257" s="168"/>
      <c r="L257" s="168"/>
      <c r="M257" s="169"/>
      <c r="N257" s="169"/>
      <c r="O257" s="170"/>
      <c r="P257" s="170"/>
      <c r="Q257" s="171"/>
      <c r="R257" s="530"/>
    </row>
    <row r="258" spans="2:18" ht="14.1" customHeight="1">
      <c r="B258" s="164"/>
      <c r="C258" s="164"/>
      <c r="D258" s="165"/>
      <c r="E258" s="166"/>
      <c r="F258" s="166"/>
      <c r="H258" s="167"/>
      <c r="I258" s="410"/>
      <c r="J258" s="410"/>
      <c r="K258" s="168"/>
      <c r="L258" s="168"/>
      <c r="M258" s="169"/>
      <c r="N258" s="169"/>
      <c r="O258" s="170"/>
      <c r="P258" s="170"/>
      <c r="Q258" s="171"/>
      <c r="R258" s="530"/>
    </row>
    <row r="259" spans="2:18" ht="14.1" customHeight="1">
      <c r="B259" s="164"/>
      <c r="C259" s="164"/>
      <c r="D259" s="165"/>
      <c r="E259" s="166"/>
      <c r="F259" s="166"/>
      <c r="H259" s="167"/>
      <c r="I259" s="410"/>
      <c r="J259" s="410"/>
      <c r="K259" s="168"/>
      <c r="L259" s="168"/>
      <c r="M259" s="169"/>
      <c r="N259" s="169"/>
      <c r="O259" s="170"/>
      <c r="P259" s="170"/>
      <c r="Q259" s="171"/>
      <c r="R259" s="530"/>
    </row>
    <row r="260" spans="2:18" ht="14.1" customHeight="1">
      <c r="B260" s="164"/>
      <c r="C260" s="164"/>
      <c r="D260" s="165"/>
      <c r="E260" s="166"/>
      <c r="F260" s="166"/>
      <c r="H260" s="167"/>
      <c r="I260" s="410"/>
      <c r="J260" s="410"/>
      <c r="K260" s="168"/>
      <c r="L260" s="168"/>
      <c r="M260" s="169"/>
      <c r="N260" s="169"/>
      <c r="O260" s="170"/>
      <c r="P260" s="170"/>
      <c r="Q260" s="171"/>
      <c r="R260" s="530"/>
    </row>
    <row r="261" spans="2:18" ht="14.1" customHeight="1">
      <c r="B261" s="164"/>
      <c r="C261" s="164"/>
      <c r="D261" s="165"/>
      <c r="E261" s="166"/>
      <c r="F261" s="166"/>
      <c r="H261" s="167"/>
      <c r="I261" s="410"/>
      <c r="J261" s="410"/>
      <c r="K261" s="168"/>
      <c r="L261" s="168"/>
      <c r="M261" s="169"/>
      <c r="N261" s="169"/>
      <c r="O261" s="170"/>
      <c r="P261" s="170"/>
      <c r="Q261" s="171"/>
      <c r="R261" s="530"/>
    </row>
    <row r="262" spans="2:18" ht="14.1" customHeight="1">
      <c r="B262" s="164"/>
      <c r="C262" s="164"/>
      <c r="D262" s="165"/>
      <c r="E262" s="166"/>
      <c r="F262" s="166"/>
      <c r="H262" s="167"/>
      <c r="I262" s="410"/>
      <c r="J262" s="410"/>
      <c r="K262" s="168"/>
      <c r="L262" s="168"/>
      <c r="M262" s="169"/>
      <c r="N262" s="169"/>
      <c r="O262" s="170"/>
      <c r="P262" s="170"/>
      <c r="Q262" s="171"/>
      <c r="R262" s="530"/>
    </row>
    <row r="263" spans="2:18" ht="14.1" customHeight="1">
      <c r="B263" s="164"/>
      <c r="C263" s="164"/>
      <c r="D263" s="165"/>
      <c r="E263" s="166"/>
      <c r="F263" s="166"/>
      <c r="H263" s="167"/>
      <c r="I263" s="410"/>
      <c r="J263" s="410"/>
      <c r="K263" s="168"/>
      <c r="L263" s="168"/>
      <c r="M263" s="169"/>
      <c r="N263" s="169"/>
      <c r="O263" s="170"/>
      <c r="P263" s="170"/>
      <c r="Q263" s="171"/>
      <c r="R263" s="530"/>
    </row>
    <row r="264" spans="2:18" ht="14.1" customHeight="1">
      <c r="B264" s="164"/>
      <c r="C264" s="164"/>
      <c r="D264" s="165"/>
      <c r="E264" s="166"/>
      <c r="F264" s="166"/>
      <c r="H264" s="167"/>
      <c r="I264" s="410"/>
      <c r="J264" s="410"/>
      <c r="K264" s="168"/>
      <c r="L264" s="168"/>
      <c r="M264" s="169"/>
      <c r="N264" s="169"/>
      <c r="O264" s="170"/>
      <c r="P264" s="170"/>
      <c r="Q264" s="171"/>
      <c r="R264" s="530"/>
    </row>
    <row r="265" spans="2:18" ht="14.1" customHeight="1">
      <c r="B265" s="164"/>
      <c r="C265" s="164"/>
      <c r="D265" s="165"/>
      <c r="E265" s="166"/>
      <c r="F265" s="166"/>
      <c r="H265" s="167"/>
      <c r="I265" s="410"/>
      <c r="J265" s="410"/>
      <c r="K265" s="168"/>
      <c r="L265" s="168"/>
      <c r="M265" s="169"/>
      <c r="N265" s="169"/>
      <c r="O265" s="170"/>
      <c r="P265" s="170"/>
      <c r="Q265" s="171"/>
      <c r="R265" s="530"/>
    </row>
    <row r="266" spans="2:18" ht="14.1" customHeight="1">
      <c r="B266" s="164"/>
      <c r="C266" s="164"/>
      <c r="D266" s="165"/>
      <c r="E266" s="166"/>
      <c r="F266" s="166"/>
      <c r="H266" s="167"/>
      <c r="I266" s="410"/>
      <c r="J266" s="410"/>
      <c r="K266" s="168"/>
      <c r="L266" s="168"/>
      <c r="M266" s="169"/>
      <c r="N266" s="169"/>
      <c r="O266" s="170"/>
      <c r="P266" s="170"/>
      <c r="Q266" s="171"/>
      <c r="R266" s="530"/>
    </row>
    <row r="267" spans="2:18" ht="14.1" customHeight="1">
      <c r="B267" s="164"/>
      <c r="C267" s="164"/>
      <c r="D267" s="165"/>
      <c r="E267" s="166"/>
      <c r="F267" s="166"/>
      <c r="H267" s="167"/>
      <c r="I267" s="410"/>
      <c r="J267" s="410"/>
      <c r="K267" s="168"/>
      <c r="L267" s="168"/>
      <c r="M267" s="169"/>
      <c r="N267" s="169"/>
      <c r="O267" s="170"/>
      <c r="P267" s="170"/>
      <c r="Q267" s="171"/>
      <c r="R267" s="530"/>
    </row>
    <row r="268" spans="2:18" ht="14.1" customHeight="1">
      <c r="B268" s="164"/>
      <c r="C268" s="164"/>
      <c r="D268" s="165"/>
      <c r="E268" s="166"/>
      <c r="F268" s="166"/>
      <c r="H268" s="167"/>
      <c r="I268" s="410"/>
      <c r="J268" s="410"/>
      <c r="K268" s="168"/>
      <c r="L268" s="168"/>
      <c r="M268" s="169"/>
      <c r="N268" s="169"/>
      <c r="O268" s="170"/>
      <c r="P268" s="170"/>
      <c r="Q268" s="171"/>
      <c r="R268" s="530"/>
    </row>
    <row r="269" spans="2:18" ht="14.1" customHeight="1">
      <c r="B269" s="164"/>
      <c r="C269" s="164"/>
      <c r="D269" s="165"/>
      <c r="E269" s="166"/>
      <c r="F269" s="166"/>
      <c r="H269" s="167"/>
      <c r="I269" s="410"/>
      <c r="J269" s="410"/>
      <c r="K269" s="168"/>
      <c r="L269" s="168"/>
      <c r="M269" s="169"/>
      <c r="N269" s="169"/>
      <c r="O269" s="170"/>
      <c r="P269" s="170"/>
      <c r="Q269" s="171"/>
      <c r="R269" s="530"/>
    </row>
    <row r="270" spans="2:18" ht="14.1" customHeight="1">
      <c r="B270" s="164"/>
      <c r="C270" s="164"/>
      <c r="D270" s="165"/>
      <c r="E270" s="166"/>
      <c r="F270" s="166"/>
      <c r="H270" s="167"/>
      <c r="I270" s="410"/>
      <c r="J270" s="410"/>
      <c r="K270" s="168"/>
      <c r="L270" s="168"/>
      <c r="M270" s="169"/>
      <c r="N270" s="169"/>
      <c r="O270" s="170"/>
      <c r="P270" s="170"/>
      <c r="Q270" s="171"/>
      <c r="R270" s="530"/>
    </row>
    <row r="271" spans="2:18" ht="14.1" customHeight="1">
      <c r="B271" s="164"/>
      <c r="C271" s="164"/>
      <c r="D271" s="165"/>
      <c r="E271" s="166"/>
      <c r="F271" s="166"/>
      <c r="H271" s="167"/>
      <c r="I271" s="410"/>
      <c r="J271" s="410"/>
      <c r="K271" s="168"/>
      <c r="L271" s="168"/>
      <c r="M271" s="169"/>
      <c r="N271" s="169"/>
      <c r="O271" s="170"/>
      <c r="P271" s="170"/>
      <c r="Q271" s="171"/>
      <c r="R271" s="530"/>
    </row>
    <row r="272" spans="2:18" ht="14.1" customHeight="1">
      <c r="B272" s="164"/>
      <c r="C272" s="164"/>
      <c r="D272" s="165"/>
      <c r="E272" s="166"/>
      <c r="F272" s="166"/>
      <c r="H272" s="167"/>
      <c r="I272" s="410"/>
      <c r="J272" s="410"/>
      <c r="K272" s="168"/>
      <c r="L272" s="168"/>
      <c r="M272" s="169"/>
      <c r="N272" s="169"/>
      <c r="O272" s="170"/>
      <c r="P272" s="170"/>
      <c r="Q272" s="171"/>
      <c r="R272" s="530"/>
    </row>
    <row r="273" spans="2:18" ht="14.1" customHeight="1">
      <c r="B273" s="164"/>
      <c r="C273" s="164"/>
      <c r="D273" s="165"/>
      <c r="E273" s="166"/>
      <c r="F273" s="166"/>
      <c r="H273" s="167"/>
      <c r="I273" s="410"/>
      <c r="J273" s="410"/>
      <c r="K273" s="168"/>
      <c r="L273" s="168"/>
      <c r="M273" s="169"/>
      <c r="N273" s="169"/>
      <c r="O273" s="170"/>
      <c r="P273" s="170"/>
      <c r="Q273" s="171"/>
      <c r="R273" s="530"/>
    </row>
    <row r="274" spans="2:18" ht="14.1" customHeight="1">
      <c r="B274" s="164"/>
      <c r="C274" s="164"/>
      <c r="D274" s="165"/>
      <c r="E274" s="166"/>
      <c r="F274" s="166"/>
      <c r="H274" s="167"/>
      <c r="I274" s="410"/>
      <c r="J274" s="410"/>
      <c r="K274" s="168"/>
      <c r="L274" s="168"/>
      <c r="M274" s="169"/>
      <c r="N274" s="169"/>
      <c r="O274" s="170"/>
      <c r="P274" s="170"/>
      <c r="Q274" s="171"/>
      <c r="R274" s="530"/>
    </row>
    <row r="275" spans="2:18" ht="14.1" customHeight="1">
      <c r="B275" s="164"/>
      <c r="C275" s="164"/>
      <c r="D275" s="165"/>
      <c r="E275" s="166"/>
      <c r="F275" s="166"/>
      <c r="H275" s="167"/>
      <c r="I275" s="410"/>
      <c r="J275" s="410"/>
      <c r="K275" s="168"/>
      <c r="L275" s="168"/>
      <c r="M275" s="169"/>
      <c r="N275" s="169"/>
      <c r="O275" s="170"/>
      <c r="P275" s="170"/>
      <c r="Q275" s="171"/>
      <c r="R275" s="530"/>
    </row>
    <row r="276" spans="2:18" ht="14.1" customHeight="1">
      <c r="B276" s="164"/>
      <c r="C276" s="164"/>
      <c r="D276" s="165"/>
      <c r="E276" s="166"/>
      <c r="F276" s="166"/>
      <c r="H276" s="167"/>
      <c r="I276" s="410"/>
      <c r="J276" s="410"/>
      <c r="K276" s="168"/>
      <c r="L276" s="168"/>
      <c r="M276" s="169"/>
      <c r="N276" s="169"/>
      <c r="O276" s="170"/>
      <c r="P276" s="170"/>
      <c r="Q276" s="171"/>
      <c r="R276" s="530"/>
    </row>
    <row r="277" spans="2:18" ht="14.1" customHeight="1">
      <c r="B277" s="164"/>
      <c r="C277" s="164"/>
      <c r="D277" s="165"/>
      <c r="E277" s="166"/>
      <c r="F277" s="166"/>
      <c r="H277" s="167"/>
      <c r="I277" s="410"/>
      <c r="J277" s="410"/>
      <c r="K277" s="168"/>
      <c r="L277" s="168"/>
      <c r="M277" s="169"/>
      <c r="N277" s="169"/>
      <c r="O277" s="170"/>
      <c r="P277" s="170"/>
      <c r="Q277" s="171"/>
      <c r="R277" s="530"/>
    </row>
    <row r="278" spans="2:18" ht="14.1" customHeight="1">
      <c r="B278" s="164"/>
      <c r="C278" s="164"/>
      <c r="D278" s="165"/>
      <c r="E278" s="166"/>
      <c r="F278" s="166"/>
      <c r="H278" s="167"/>
      <c r="I278" s="410"/>
      <c r="J278" s="410"/>
      <c r="K278" s="168"/>
      <c r="L278" s="168"/>
      <c r="M278" s="169"/>
      <c r="N278" s="169"/>
      <c r="O278" s="170"/>
      <c r="P278" s="170"/>
      <c r="Q278" s="171"/>
      <c r="R278" s="530"/>
    </row>
  </sheetData>
  <autoFilter ref="B9:T48" xr:uid="{00000000-0009-0000-0000-000004000000}"/>
  <mergeCells count="1">
    <mergeCell ref="P6:P7"/>
  </mergeCells>
  <phoneticPr fontId="9"/>
  <printOptions horizontalCentered="1" gridLinesSet="0"/>
  <pageMargins left="0.19685039370078741" right="0.19685039370078741" top="0.59055118110236227" bottom="0.78740157480314965" header="0.39370078740157483" footer="0.19685039370078741"/>
  <pageSetup paperSize="9" scale="43" fitToHeight="0" orientation="landscape" r:id="rId1"/>
  <headerFooter alignWithMargins="0">
    <oddFooter>&amp;L&amp;"Verdana,Standaard"&amp;F-&amp;A
Atir b.v. ©&amp;R&amp;"Verdana,Standaard"printversie &amp;D</oddFooter>
  </headerFooter>
  <rowBreaks count="1" manualBreakCount="1">
    <brk id="27"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sheetPr>
  <dimension ref="A1:H83"/>
  <sheetViews>
    <sheetView showGridLines="0" showZeros="0" showOutlineSymbols="0" zoomScaleNormal="100" zoomScaleSheetLayoutView="100" workbookViewId="0">
      <pane ySplit="9" topLeftCell="A10" activePane="bottomLeft" state="frozen"/>
      <selection activeCell="A6" sqref="A6:F6"/>
      <selection pane="bottomLeft" activeCell="D27" sqref="D27"/>
    </sheetView>
  </sheetViews>
  <sheetFormatPr defaultColWidth="9.28515625" defaultRowHeight="13.5"/>
  <cols>
    <col min="1" max="1" width="45.5703125" style="3" customWidth="1"/>
    <col min="2" max="2" width="18.28515625" style="3" customWidth="1"/>
    <col min="3" max="3" width="18.42578125" style="3" customWidth="1"/>
    <col min="4" max="4" width="10.7109375" style="3" customWidth="1"/>
    <col min="5" max="5" width="11.140625" style="3" customWidth="1"/>
    <col min="6" max="6" width="2.140625" style="3" customWidth="1"/>
    <col min="7" max="7" width="7.85546875" style="3" customWidth="1"/>
    <col min="8" max="8" width="27" style="3" bestFit="1" customWidth="1"/>
    <col min="9" max="16384" width="9.28515625" style="3"/>
  </cols>
  <sheetData>
    <row r="1" spans="1:8">
      <c r="A1" s="415" t="s">
        <v>27</v>
      </c>
      <c r="B1" s="39"/>
      <c r="C1" s="2"/>
      <c r="D1" s="2"/>
      <c r="E1" s="2"/>
      <c r="F1" s="2"/>
      <c r="G1" s="2"/>
    </row>
    <row r="2" spans="1:8">
      <c r="A2" s="2"/>
      <c r="B2" s="2"/>
      <c r="C2" s="2"/>
      <c r="D2" s="2"/>
      <c r="E2" s="2"/>
      <c r="F2" s="2"/>
      <c r="G2" s="2"/>
    </row>
    <row r="3" spans="1:8" ht="17.25">
      <c r="A3" s="108" t="str">
        <f>'1-Contractblad totaal'!A3</f>
        <v>Naam opdrachtgever</v>
      </c>
      <c r="B3" s="136" t="str">
        <f>'1-Contractblad totaal'!B3</f>
        <v>Hoogheemraadschap De Stichtse Rijnlanden</v>
      </c>
      <c r="C3" s="2"/>
      <c r="D3" s="2"/>
      <c r="E3" s="469"/>
      <c r="F3" s="2"/>
      <c r="G3" s="2"/>
    </row>
    <row r="4" spans="1:8" ht="17.25">
      <c r="A4" s="108" t="str">
        <f>'1-Contractblad totaal'!A4</f>
        <v>Calculatie onderdeel</v>
      </c>
      <c r="B4" s="136" t="str">
        <f ca="1">MID(CELL("bestandsnaam",$C$9),SEARCH("]",CELL("bestandsnaam",$C$9),1)+1,256)</f>
        <v>5-Premies en opslagen</v>
      </c>
      <c r="C4" s="173"/>
      <c r="D4" s="25"/>
      <c r="E4" s="5"/>
      <c r="F4" s="5"/>
      <c r="G4" s="5"/>
    </row>
    <row r="5" spans="1:8" ht="17.25">
      <c r="A5" s="108" t="str">
        <f>'1-Contractblad totaal'!A5</f>
        <v>Gebouw/plaats</v>
      </c>
      <c r="B5" s="136" t="str">
        <f>'1-Contractblad totaal'!B5</f>
        <v>Divers</v>
      </c>
      <c r="C5" s="108"/>
      <c r="D5" s="20"/>
      <c r="E5" s="174"/>
      <c r="F5" s="7"/>
      <c r="G5" s="5"/>
    </row>
    <row r="6" spans="1:8" ht="17.25">
      <c r="A6" s="108" t="str">
        <f>'1-Contractblad totaal'!A6</f>
        <v>Referentie nummer</v>
      </c>
      <c r="B6" s="136" t="str">
        <f>'1-Contractblad totaal'!B6</f>
        <v>Invoer</v>
      </c>
      <c r="C6" s="143"/>
      <c r="D6" s="20"/>
      <c r="E6" s="476"/>
      <c r="F6" s="475"/>
      <c r="G6" s="477"/>
      <c r="H6" s="478"/>
    </row>
    <row r="7" spans="1:8" ht="17.25">
      <c r="A7" s="108" t="str">
        <f>'1-Contractblad totaal'!A8</f>
        <v>Naam dienstverlener</v>
      </c>
      <c r="B7" s="136">
        <f>'1-Contractblad totaal'!B8</f>
        <v>0</v>
      </c>
      <c r="C7" s="143"/>
      <c r="D7" s="20"/>
      <c r="E7" s="174"/>
      <c r="F7" s="7"/>
      <c r="G7" s="5"/>
    </row>
    <row r="8" spans="1:8" ht="15.75">
      <c r="A8" s="108" t="str">
        <f>'1-Contractblad totaal'!A9</f>
        <v>Prijspeil</v>
      </c>
      <c r="B8" s="109">
        <f>'1-Contractblad totaal'!B9</f>
        <v>45017</v>
      </c>
      <c r="C8" s="174"/>
      <c r="D8" s="174"/>
      <c r="E8" s="174"/>
      <c r="F8" s="7"/>
      <c r="G8" s="5"/>
    </row>
    <row r="9" spans="1:8" ht="15">
      <c r="A9" s="175"/>
      <c r="B9" s="174"/>
      <c r="C9" s="174"/>
      <c r="D9" s="174"/>
      <c r="E9" s="174"/>
      <c r="F9" s="7"/>
      <c r="G9" s="5"/>
    </row>
    <row r="10" spans="1:8" ht="18">
      <c r="A10" s="206" t="s">
        <v>3</v>
      </c>
      <c r="B10" s="207"/>
      <c r="C10" s="208"/>
      <c r="D10" s="174"/>
      <c r="E10" s="174"/>
      <c r="F10" s="7"/>
      <c r="G10" s="5"/>
    </row>
    <row r="11" spans="1:8">
      <c r="A11" s="176"/>
      <c r="B11" s="4"/>
      <c r="C11" s="4"/>
      <c r="D11" s="174"/>
      <c r="E11" s="174"/>
      <c r="F11" s="5"/>
      <c r="G11" s="5"/>
    </row>
    <row r="12" spans="1:8">
      <c r="A12" s="177"/>
      <c r="B12" s="162"/>
      <c r="C12" s="178" t="s">
        <v>41</v>
      </c>
      <c r="D12" s="174"/>
      <c r="E12" s="174"/>
      <c r="F12" s="7"/>
      <c r="G12" s="5"/>
    </row>
    <row r="13" spans="1:8">
      <c r="A13" s="179" t="s">
        <v>92</v>
      </c>
      <c r="B13" s="162"/>
      <c r="C13" s="416"/>
      <c r="D13" s="174"/>
      <c r="E13" s="174"/>
      <c r="F13" s="180"/>
      <c r="G13" s="5"/>
    </row>
    <row r="14" spans="1:8">
      <c r="A14" s="179" t="s">
        <v>205</v>
      </c>
      <c r="B14" s="162"/>
      <c r="C14" s="416"/>
      <c r="D14" s="174"/>
      <c r="E14" s="174"/>
      <c r="F14" s="180"/>
      <c r="G14" s="5"/>
    </row>
    <row r="15" spans="1:8">
      <c r="A15" s="179" t="s">
        <v>93</v>
      </c>
      <c r="B15" s="162"/>
      <c r="C15" s="416"/>
      <c r="D15" s="174"/>
      <c r="E15" s="174"/>
      <c r="F15" s="180"/>
      <c r="G15" s="5"/>
    </row>
    <row r="16" spans="1:8">
      <c r="A16" s="181" t="s">
        <v>8</v>
      </c>
      <c r="B16" s="182"/>
      <c r="C16" s="183">
        <f>SUM(C13:C15)</f>
        <v>0</v>
      </c>
      <c r="D16" s="174"/>
      <c r="E16" s="174"/>
      <c r="F16" s="5"/>
    </row>
    <row r="17" spans="1:7">
      <c r="A17" s="181"/>
      <c r="B17" s="182"/>
      <c r="C17" s="183"/>
      <c r="D17" s="174"/>
      <c r="E17" s="174"/>
      <c r="F17" s="5"/>
    </row>
    <row r="18" spans="1:7">
      <c r="A18" s="607" t="s">
        <v>94</v>
      </c>
      <c r="B18" s="608"/>
      <c r="C18" s="416"/>
      <c r="D18" s="174"/>
      <c r="E18" s="174"/>
      <c r="F18" s="5"/>
    </row>
    <row r="19" spans="1:7">
      <c r="A19" s="486" t="s">
        <v>239</v>
      </c>
      <c r="B19" s="484"/>
      <c r="C19" s="485"/>
      <c r="D19" s="174"/>
      <c r="E19" s="174"/>
      <c r="F19" s="5"/>
    </row>
    <row r="20" spans="1:7">
      <c r="A20" s="607" t="s">
        <v>95</v>
      </c>
      <c r="B20" s="608"/>
      <c r="C20" s="416"/>
      <c r="D20" s="174"/>
      <c r="E20" s="174"/>
      <c r="F20" s="5"/>
    </row>
    <row r="21" spans="1:7">
      <c r="A21" s="607" t="s">
        <v>37</v>
      </c>
      <c r="B21" s="608"/>
      <c r="C21" s="184" t="e">
        <f>C34</f>
        <v>#DIV/0!</v>
      </c>
      <c r="D21" s="174"/>
      <c r="E21" s="174"/>
      <c r="F21" s="5"/>
    </row>
    <row r="22" spans="1:7">
      <c r="A22" s="607" t="s">
        <v>76</v>
      </c>
      <c r="B22" s="608"/>
      <c r="C22" s="416"/>
      <c r="D22" s="174"/>
      <c r="E22" s="174"/>
      <c r="F22" s="5"/>
    </row>
    <row r="23" spans="1:7">
      <c r="A23" s="607" t="s">
        <v>231</v>
      </c>
      <c r="B23" s="608"/>
      <c r="C23" s="416"/>
      <c r="D23" s="174"/>
      <c r="E23" s="174"/>
      <c r="F23" s="5"/>
    </row>
    <row r="24" spans="1:7">
      <c r="A24" s="609" t="s">
        <v>75</v>
      </c>
      <c r="B24" s="610"/>
      <c r="C24" s="185" t="e">
        <f>SUM(C16:C23)</f>
        <v>#DIV/0!</v>
      </c>
      <c r="D24" s="174"/>
      <c r="E24" s="174"/>
      <c r="F24" s="5"/>
    </row>
    <row r="25" spans="1:7">
      <c r="A25" s="186"/>
      <c r="B25" s="25"/>
      <c r="C25" s="16"/>
      <c r="D25" s="174"/>
      <c r="E25" s="174"/>
      <c r="F25" s="17"/>
      <c r="G25" s="5"/>
    </row>
    <row r="26" spans="1:7" ht="18">
      <c r="A26" s="206" t="s">
        <v>69</v>
      </c>
      <c r="B26" s="207"/>
      <c r="C26" s="208"/>
      <c r="D26" s="174"/>
      <c r="E26" s="174"/>
      <c r="F26" s="7"/>
      <c r="G26" s="5"/>
    </row>
    <row r="27" spans="1:7">
      <c r="A27" s="176"/>
      <c r="B27" s="4"/>
      <c r="C27" s="4"/>
      <c r="D27" s="174"/>
      <c r="E27" s="174"/>
      <c r="F27" s="5"/>
      <c r="G27" s="5"/>
    </row>
    <row r="28" spans="1:7">
      <c r="A28" s="4"/>
      <c r="B28" s="4"/>
      <c r="C28" s="187" t="s">
        <v>16</v>
      </c>
      <c r="D28" s="174"/>
      <c r="E28" s="174"/>
      <c r="F28" s="5"/>
      <c r="G28" s="5"/>
    </row>
    <row r="29" spans="1:7">
      <c r="A29" s="179" t="s">
        <v>22</v>
      </c>
      <c r="B29" s="162"/>
      <c r="C29" s="188">
        <f>'6a-Opbouw uurtarief productie'!E21</f>
        <v>0</v>
      </c>
      <c r="D29" s="174"/>
      <c r="E29" s="174"/>
      <c r="G29" s="5"/>
    </row>
    <row r="30" spans="1:7">
      <c r="A30" s="179" t="s">
        <v>55</v>
      </c>
      <c r="B30" s="455" t="s">
        <v>211</v>
      </c>
      <c r="C30" s="417"/>
      <c r="D30" s="174"/>
      <c r="E30" s="174"/>
      <c r="F30" s="7"/>
      <c r="G30" s="5"/>
    </row>
    <row r="31" spans="1:7">
      <c r="A31" s="179" t="s">
        <v>49</v>
      </c>
      <c r="B31" s="162"/>
      <c r="C31" s="189">
        <f>C29+C30</f>
        <v>0</v>
      </c>
      <c r="D31" s="174"/>
      <c r="E31" s="174"/>
      <c r="F31" s="7"/>
      <c r="G31" s="5"/>
    </row>
    <row r="32" spans="1:7">
      <c r="A32" s="190" t="s">
        <v>0</v>
      </c>
      <c r="B32" s="191"/>
      <c r="C32" s="418"/>
      <c r="E32" s="192"/>
      <c r="F32" s="7"/>
      <c r="G32" s="5"/>
    </row>
    <row r="33" spans="1:7">
      <c r="A33" s="176"/>
      <c r="B33" s="193"/>
      <c r="C33" s="194"/>
      <c r="E33" s="4"/>
      <c r="F33" s="5"/>
      <c r="G33" s="5"/>
    </row>
    <row r="34" spans="1:7">
      <c r="A34" s="375" t="s">
        <v>50</v>
      </c>
      <c r="B34" s="283"/>
      <c r="C34" s="376" t="e">
        <f>(C31/C29)*C32</f>
        <v>#DIV/0!</v>
      </c>
      <c r="E34" s="195"/>
      <c r="F34" s="7"/>
      <c r="G34" s="196"/>
    </row>
    <row r="35" spans="1:7">
      <c r="A35" s="176"/>
      <c r="B35" s="4"/>
      <c r="C35" s="4"/>
      <c r="E35" s="195"/>
      <c r="F35" s="7"/>
      <c r="G35" s="5"/>
    </row>
    <row r="36" spans="1:7" ht="18">
      <c r="A36" s="209" t="s">
        <v>253</v>
      </c>
      <c r="B36" s="210"/>
      <c r="C36" s="211"/>
      <c r="E36" s="195"/>
      <c r="F36" s="7"/>
      <c r="G36" s="5"/>
    </row>
    <row r="37" spans="1:7">
      <c r="A37" s="186"/>
      <c r="B37" s="25"/>
      <c r="C37" s="16"/>
      <c r="E37" s="195"/>
      <c r="F37" s="7"/>
      <c r="G37" s="5"/>
    </row>
    <row r="38" spans="1:7">
      <c r="A38" s="186"/>
      <c r="B38" s="394" t="s">
        <v>81</v>
      </c>
      <c r="C38" s="16"/>
      <c r="E38" s="195"/>
      <c r="F38" s="7"/>
      <c r="G38" s="5"/>
    </row>
    <row r="39" spans="1:7">
      <c r="A39" s="197" t="s">
        <v>5</v>
      </c>
      <c r="B39" s="490">
        <v>365</v>
      </c>
      <c r="C39" s="16"/>
      <c r="E39" s="195"/>
      <c r="F39" s="7"/>
      <c r="G39" s="22"/>
    </row>
    <row r="40" spans="1:7">
      <c r="A40" s="197" t="s">
        <v>4</v>
      </c>
      <c r="B40" s="490">
        <v>104</v>
      </c>
      <c r="C40" s="16"/>
      <c r="E40" s="195"/>
      <c r="F40" s="7"/>
      <c r="G40" s="22"/>
    </row>
    <row r="41" spans="1:7">
      <c r="A41" s="377" t="s">
        <v>6</v>
      </c>
      <c r="B41" s="378">
        <f>B39-B40</f>
        <v>261</v>
      </c>
      <c r="C41" s="16"/>
      <c r="E41" s="195"/>
      <c r="F41" s="7"/>
      <c r="G41" s="10"/>
    </row>
    <row r="42" spans="1:7">
      <c r="A42" s="198"/>
      <c r="B42" s="120"/>
      <c r="C42" s="16"/>
      <c r="E42" s="195"/>
      <c r="F42" s="7"/>
      <c r="G42" s="10"/>
    </row>
    <row r="43" spans="1:7">
      <c r="A43" s="197" t="s">
        <v>32</v>
      </c>
      <c r="B43" s="419"/>
      <c r="C43" s="16"/>
      <c r="E43" s="195"/>
      <c r="F43" s="7"/>
      <c r="G43" s="10"/>
    </row>
    <row r="44" spans="1:7">
      <c r="A44" s="197" t="s">
        <v>21</v>
      </c>
      <c r="B44" s="419"/>
      <c r="C44" s="16"/>
      <c r="E44" s="195"/>
      <c r="F44" s="7"/>
      <c r="G44" s="10"/>
    </row>
    <row r="45" spans="1:7">
      <c r="A45" s="197" t="s">
        <v>44</v>
      </c>
      <c r="B45" s="419"/>
      <c r="C45" s="16"/>
      <c r="E45" s="195"/>
      <c r="F45" s="7"/>
      <c r="G45" s="10"/>
    </row>
    <row r="46" spans="1:7">
      <c r="A46" s="197" t="s">
        <v>53</v>
      </c>
      <c r="B46" s="419"/>
      <c r="C46" s="16"/>
      <c r="E46" s="195"/>
      <c r="F46" s="7"/>
      <c r="G46" s="10"/>
    </row>
    <row r="47" spans="1:7">
      <c r="A47" s="377" t="s">
        <v>29</v>
      </c>
      <c r="B47" s="378">
        <f>B41-SUM(B43:B46)</f>
        <v>261</v>
      </c>
      <c r="C47" s="16"/>
      <c r="E47" s="195"/>
      <c r="F47" s="7"/>
      <c r="G47" s="10"/>
    </row>
    <row r="48" spans="1:7">
      <c r="A48" s="199"/>
      <c r="B48" s="120"/>
      <c r="C48" s="16"/>
      <c r="E48" s="195"/>
      <c r="F48" s="7"/>
      <c r="G48" s="10"/>
    </row>
    <row r="49" spans="1:7">
      <c r="A49" s="200" t="s">
        <v>70</v>
      </c>
      <c r="B49" s="201">
        <f>IF(B43=0,0,B43/$B$47)</f>
        <v>0</v>
      </c>
      <c r="C49" s="16"/>
      <c r="E49" s="195"/>
      <c r="F49" s="7"/>
      <c r="G49" s="10"/>
    </row>
    <row r="50" spans="1:7">
      <c r="A50" s="200" t="s">
        <v>21</v>
      </c>
      <c r="B50" s="201">
        <f>IF(B44=0,0,B44/$B$47)</f>
        <v>0</v>
      </c>
      <c r="C50" s="16"/>
      <c r="E50" s="195"/>
      <c r="F50" s="7"/>
      <c r="G50" s="10"/>
    </row>
    <row r="51" spans="1:7">
      <c r="A51" s="197" t="s">
        <v>44</v>
      </c>
      <c r="B51" s="201">
        <f>IF(B45=0,0,B45/$B$47)</f>
        <v>0</v>
      </c>
      <c r="C51" s="16"/>
      <c r="E51" s="195"/>
      <c r="F51" s="7"/>
      <c r="G51" s="10"/>
    </row>
    <row r="52" spans="1:7">
      <c r="A52" s="200" t="s">
        <v>53</v>
      </c>
      <c r="B52" s="201">
        <f>IF(B46=0,0,B46/$B$47)</f>
        <v>0</v>
      </c>
      <c r="C52" s="16"/>
      <c r="E52" s="195"/>
      <c r="F52" s="7"/>
      <c r="G52" s="31"/>
    </row>
    <row r="53" spans="1:7">
      <c r="A53" s="377" t="s">
        <v>77</v>
      </c>
      <c r="B53" s="379">
        <f>SUM(B49:B52)</f>
        <v>0</v>
      </c>
      <c r="C53" s="16"/>
      <c r="E53" s="195"/>
      <c r="F53" s="7"/>
      <c r="G53" s="34"/>
    </row>
    <row r="54" spans="1:7">
      <c r="A54" s="38"/>
      <c r="B54" s="38"/>
      <c r="C54" s="38"/>
      <c r="E54" s="195"/>
      <c r="F54" s="7"/>
      <c r="G54" s="2"/>
    </row>
    <row r="55" spans="1:7" ht="31.15" customHeight="1">
      <c r="A55" s="604" t="s">
        <v>254</v>
      </c>
      <c r="B55" s="605"/>
      <c r="C55" s="606"/>
      <c r="E55" s="195"/>
      <c r="F55" s="7"/>
      <c r="G55" s="2"/>
    </row>
    <row r="58" spans="1:7" ht="16.5">
      <c r="A58" s="202"/>
      <c r="B58" s="1"/>
    </row>
    <row r="59" spans="1:7" ht="16.5">
      <c r="A59" s="202"/>
      <c r="B59" s="1"/>
    </row>
    <row r="60" spans="1:7" ht="16.5">
      <c r="A60" s="202"/>
      <c r="B60" s="1"/>
    </row>
    <row r="61" spans="1:7" ht="16.5">
      <c r="A61" s="202"/>
      <c r="B61" s="1"/>
    </row>
    <row r="62" spans="1:7" ht="16.5">
      <c r="A62" s="203"/>
      <c r="B62" s="1"/>
    </row>
    <row r="63" spans="1:7" ht="16.5">
      <c r="A63" s="1"/>
      <c r="B63" s="1"/>
    </row>
    <row r="64" spans="1:7" ht="16.5">
      <c r="A64" s="1"/>
      <c r="B64" s="1"/>
    </row>
    <row r="65" spans="1:3" ht="16.5">
      <c r="A65" s="1"/>
      <c r="B65" s="1"/>
    </row>
    <row r="66" spans="1:3" ht="16.5">
      <c r="A66" s="1"/>
      <c r="B66" s="1"/>
    </row>
    <row r="67" spans="1:3" ht="16.5">
      <c r="A67" s="1"/>
      <c r="B67" s="1"/>
    </row>
    <row r="68" spans="1:3" ht="16.5">
      <c r="A68" s="1"/>
      <c r="B68" s="1"/>
    </row>
    <row r="69" spans="1:3" ht="16.5">
      <c r="A69" s="1"/>
      <c r="B69" s="1"/>
    </row>
    <row r="70" spans="1:3" ht="16.5">
      <c r="A70" s="1"/>
      <c r="B70" s="204"/>
    </row>
    <row r="71" spans="1:3" ht="16.5">
      <c r="A71" s="1"/>
      <c r="B71" s="1"/>
    </row>
    <row r="72" spans="1:3" ht="16.5">
      <c r="B72" s="1"/>
    </row>
    <row r="73" spans="1:3" ht="16.5">
      <c r="A73" s="1"/>
      <c r="B73" s="1"/>
      <c r="C73" s="1"/>
    </row>
    <row r="74" spans="1:3" ht="16.5">
      <c r="A74" s="205"/>
      <c r="B74" s="1"/>
      <c r="C74" s="205"/>
    </row>
    <row r="75" spans="1:3" ht="16.5">
      <c r="A75" s="1"/>
      <c r="B75" s="1"/>
      <c r="C75" s="1"/>
    </row>
    <row r="76" spans="1:3" ht="16.5">
      <c r="A76" s="1"/>
      <c r="B76" s="1"/>
      <c r="C76" s="1"/>
    </row>
    <row r="77" spans="1:3" ht="16.5">
      <c r="A77" s="1"/>
      <c r="B77" s="1"/>
      <c r="C77" s="1"/>
    </row>
    <row r="78" spans="1:3" ht="16.5">
      <c r="A78" s="205"/>
      <c r="B78" s="1"/>
      <c r="C78" s="205"/>
    </row>
    <row r="79" spans="1:3" ht="16.5">
      <c r="A79" s="205"/>
      <c r="B79" s="1"/>
      <c r="C79" s="205"/>
    </row>
    <row r="80" spans="1:3" ht="16.5">
      <c r="A80" s="205"/>
      <c r="B80" s="1"/>
      <c r="C80" s="205"/>
    </row>
    <row r="81" spans="1:2" ht="16.5">
      <c r="A81" s="1"/>
      <c r="B81" s="1"/>
    </row>
    <row r="82" spans="1:2" ht="16.5">
      <c r="A82" s="1"/>
      <c r="B82" s="1"/>
    </row>
    <row r="83" spans="1:2" ht="16.5">
      <c r="A83" s="1"/>
      <c r="B83" s="1"/>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O66"/>
  <sheetViews>
    <sheetView showGridLines="0" showZeros="0" showOutlineSymbols="0" zoomScale="70" zoomScaleNormal="70" zoomScalePageLayoutView="50" workbookViewId="0">
      <pane ySplit="10" topLeftCell="A11" activePane="bottomLeft" state="frozen"/>
      <selection activeCell="A6" sqref="A6:F6"/>
      <selection pane="bottomLeft" activeCell="A11" sqref="A11"/>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5703125" style="3" customWidth="1"/>
    <col min="9" max="15" width="11.42578125" style="3"/>
    <col min="16" max="16" width="31.140625" style="3" customWidth="1"/>
    <col min="17" max="16384" width="11.42578125" style="3"/>
  </cols>
  <sheetData>
    <row r="1" spans="1:15" ht="12.75" customHeight="1">
      <c r="A1" s="415" t="s">
        <v>27</v>
      </c>
      <c r="B1" s="39"/>
      <c r="C1" s="2"/>
      <c r="D1" s="2"/>
      <c r="E1" s="2"/>
      <c r="F1" s="2"/>
      <c r="H1" s="583"/>
      <c r="I1" s="583"/>
      <c r="J1" s="583"/>
      <c r="K1" s="583"/>
      <c r="L1" s="583"/>
      <c r="M1" s="583"/>
      <c r="N1" s="583"/>
    </row>
    <row r="2" spans="1:15">
      <c r="A2" s="212"/>
      <c r="B2" s="213"/>
      <c r="C2" s="214"/>
      <c r="D2" s="213"/>
      <c r="E2" s="215"/>
      <c r="F2" s="216"/>
      <c r="H2" s="583"/>
      <c r="I2" s="583"/>
      <c r="J2" s="583"/>
      <c r="K2" s="583"/>
      <c r="L2" s="583"/>
      <c r="M2" s="583"/>
      <c r="N2" s="583"/>
    </row>
    <row r="3" spans="1:15" ht="14.25" customHeight="1">
      <c r="A3" s="268" t="str">
        <f>'1-Contractblad totaal'!A3</f>
        <v>Naam opdrachtgever</v>
      </c>
      <c r="B3" s="269" t="str">
        <f>'1-Contractblad totaal'!B3</f>
        <v>Hoogheemraadschap De Stichtse Rijnlanden</v>
      </c>
      <c r="C3" s="270"/>
      <c r="D3" s="213"/>
      <c r="E3" s="492"/>
      <c r="F3" s="218"/>
      <c r="H3" s="583"/>
      <c r="I3" s="583"/>
      <c r="J3" s="583"/>
      <c r="K3" s="583"/>
      <c r="L3" s="583"/>
      <c r="M3" s="583"/>
      <c r="N3" s="583"/>
    </row>
    <row r="4" spans="1:15" ht="15.75" customHeight="1">
      <c r="A4" s="268" t="str">
        <f>'1-Contractblad totaal'!A4</f>
        <v>Calculatie onderdeel</v>
      </c>
      <c r="B4" s="271" t="str">
        <f ca="1">MID(CELL("bestandsnaam",$C$9),SEARCH("]",CELL("bestandsnaam",$C$9),1)+1,256)</f>
        <v>6a-Opbouw uurtarief productie</v>
      </c>
      <c r="C4" s="272"/>
      <c r="D4" s="221"/>
      <c r="H4" s="583"/>
      <c r="I4" s="583"/>
      <c r="J4" s="583"/>
      <c r="K4" s="583"/>
      <c r="L4" s="583"/>
      <c r="M4" s="583"/>
      <c r="N4" s="583"/>
    </row>
    <row r="5" spans="1:15" ht="17.25">
      <c r="A5" s="268" t="str">
        <f>'1-Contractblad totaal'!A5</f>
        <v>Gebouw/plaats</v>
      </c>
      <c r="B5" s="269" t="str">
        <f>'1-Contractblad totaal'!B5</f>
        <v>Divers</v>
      </c>
      <c r="C5" s="272"/>
      <c r="D5" s="221"/>
      <c r="H5" s="583"/>
      <c r="I5" s="583"/>
      <c r="J5" s="583"/>
      <c r="K5" s="583"/>
      <c r="L5" s="583"/>
      <c r="M5" s="583"/>
      <c r="N5" s="583"/>
    </row>
    <row r="6" spans="1:15" ht="17.25">
      <c r="A6" s="268" t="str">
        <f>'1-Contractblad totaal'!A6</f>
        <v>Referentie nummer</v>
      </c>
      <c r="B6" s="269" t="str">
        <f>'1-Contractblad totaal'!B6</f>
        <v>Invoer</v>
      </c>
      <c r="C6" s="272"/>
      <c r="D6" s="221"/>
      <c r="H6" s="222"/>
      <c r="I6" s="222"/>
      <c r="J6" s="222"/>
      <c r="K6" s="222"/>
      <c r="L6" s="222"/>
      <c r="M6" s="222"/>
      <c r="N6" s="222"/>
    </row>
    <row r="7" spans="1:15" ht="17.25">
      <c r="A7" s="268" t="str">
        <f>'1-Contractblad totaal'!A8</f>
        <v>Naam dienstverlener</v>
      </c>
      <c r="B7" s="269">
        <f>'1-Contractblad totaal'!B8</f>
        <v>0</v>
      </c>
      <c r="C7" s="272"/>
      <c r="D7" s="221"/>
      <c r="H7" s="222"/>
      <c r="I7" s="222"/>
      <c r="J7" s="222"/>
      <c r="K7" s="222"/>
      <c r="L7" s="222"/>
      <c r="M7" s="222"/>
      <c r="N7" s="222"/>
    </row>
    <row r="8" spans="1:15" ht="15.75">
      <c r="A8" s="268" t="str">
        <f>'1-Contractblad totaal'!A9</f>
        <v>Prijspeil</v>
      </c>
      <c r="B8" s="109">
        <f>'1-Contractblad totaal'!B9</f>
        <v>45017</v>
      </c>
      <c r="C8" s="272"/>
      <c r="D8" s="221"/>
      <c r="J8" s="222"/>
      <c r="K8" s="222"/>
      <c r="L8" s="222"/>
      <c r="M8" s="222"/>
      <c r="N8" s="222"/>
      <c r="O8" s="225"/>
    </row>
    <row r="9" spans="1:15" ht="17.25">
      <c r="A9" s="217"/>
      <c r="B9" s="219"/>
      <c r="C9" s="220"/>
      <c r="D9" s="221"/>
      <c r="E9" s="493"/>
      <c r="F9" s="223"/>
    </row>
    <row r="10" spans="1:15" s="225" customFormat="1" ht="30.75" customHeight="1">
      <c r="A10" s="273" t="s">
        <v>220</v>
      </c>
      <c r="B10" s="274"/>
      <c r="C10" s="275"/>
      <c r="D10" s="224"/>
      <c r="E10" s="612" t="s">
        <v>221</v>
      </c>
      <c r="F10" s="613"/>
      <c r="H10" s="276" t="s">
        <v>153</v>
      </c>
      <c r="I10" s="611" t="s">
        <v>349</v>
      </c>
      <c r="J10" s="611"/>
      <c r="K10" s="611"/>
      <c r="L10" s="611"/>
      <c r="M10" s="611"/>
      <c r="N10" s="611"/>
    </row>
    <row r="11" spans="1:15" ht="30" customHeight="1">
      <c r="A11" s="226"/>
      <c r="B11" s="227" t="s">
        <v>62</v>
      </c>
      <c r="C11" s="228" t="s">
        <v>62</v>
      </c>
      <c r="D11" s="221"/>
      <c r="E11" s="494"/>
      <c r="F11" s="229"/>
      <c r="H11" s="226"/>
      <c r="I11" s="458">
        <v>1</v>
      </c>
      <c r="J11" s="458">
        <v>2</v>
      </c>
      <c r="K11" s="458">
        <v>3</v>
      </c>
      <c r="L11" s="458">
        <v>4</v>
      </c>
      <c r="M11" s="458">
        <v>5</v>
      </c>
      <c r="N11" s="458">
        <v>6</v>
      </c>
    </row>
    <row r="12" spans="1:15">
      <c r="A12" s="226" t="s">
        <v>40</v>
      </c>
      <c r="B12" s="231"/>
      <c r="C12" s="232"/>
      <c r="D12" s="221"/>
      <c r="E12" s="495">
        <f>SUM(I43:N43)</f>
        <v>0</v>
      </c>
      <c r="F12" s="233"/>
      <c r="H12" s="226" t="s">
        <v>154</v>
      </c>
      <c r="I12" s="579"/>
      <c r="J12" s="580"/>
      <c r="K12" s="580"/>
      <c r="L12" s="580"/>
      <c r="M12" s="580"/>
      <c r="N12" s="580"/>
    </row>
    <row r="13" spans="1:15" ht="14.25">
      <c r="A13" s="226" t="s">
        <v>15</v>
      </c>
      <c r="B13" s="234"/>
      <c r="C13" s="235" t="s">
        <v>67</v>
      </c>
      <c r="D13" s="221"/>
      <c r="E13" s="496"/>
      <c r="F13" s="233"/>
      <c r="H13" s="226" t="s">
        <v>146</v>
      </c>
      <c r="I13" s="581"/>
      <c r="J13" s="582"/>
      <c r="K13" s="582"/>
      <c r="L13" s="582"/>
      <c r="M13" s="582"/>
      <c r="N13" s="582"/>
    </row>
    <row r="14" spans="1:15" ht="14.25">
      <c r="A14" s="236" t="s">
        <v>34</v>
      </c>
      <c r="B14" s="237"/>
      <c r="C14" s="238"/>
      <c r="D14" s="221"/>
      <c r="E14" s="496"/>
      <c r="F14" s="233"/>
      <c r="H14" s="226" t="s">
        <v>147</v>
      </c>
      <c r="I14" s="581"/>
      <c r="J14" s="582"/>
      <c r="K14" s="582"/>
      <c r="L14" s="582"/>
      <c r="M14" s="582"/>
      <c r="N14" s="582"/>
    </row>
    <row r="15" spans="1:15" ht="14.25">
      <c r="A15" s="380" t="s">
        <v>13</v>
      </c>
      <c r="B15" s="381"/>
      <c r="C15" s="382"/>
      <c r="D15" s="383"/>
      <c r="E15" s="497">
        <f>SUM(E12:E14)</f>
        <v>0</v>
      </c>
      <c r="F15" s="233"/>
      <c r="H15" s="226" t="s">
        <v>148</v>
      </c>
      <c r="I15" s="579"/>
      <c r="J15" s="580"/>
      <c r="K15" s="580"/>
      <c r="L15" s="580"/>
      <c r="M15" s="580"/>
      <c r="N15" s="580"/>
    </row>
    <row r="16" spans="1:15" ht="14.25">
      <c r="A16" s="236"/>
      <c r="B16" s="239"/>
      <c r="C16" s="240"/>
      <c r="D16" s="221"/>
      <c r="E16" s="498"/>
      <c r="F16" s="233"/>
      <c r="H16" s="226" t="s">
        <v>149</v>
      </c>
      <c r="I16" s="581"/>
      <c r="J16" s="582"/>
      <c r="K16" s="582"/>
      <c r="L16" s="582"/>
      <c r="M16" s="582"/>
      <c r="N16" s="582"/>
    </row>
    <row r="17" spans="1:15" ht="14.25">
      <c r="A17" s="241" t="s">
        <v>58</v>
      </c>
      <c r="B17" s="242"/>
      <c r="C17" s="420"/>
      <c r="D17" s="221"/>
      <c r="E17" s="499">
        <f>$C17*E15</f>
        <v>0</v>
      </c>
      <c r="F17" s="233"/>
      <c r="H17" s="226" t="s">
        <v>150</v>
      </c>
      <c r="I17" s="581"/>
      <c r="J17" s="582"/>
      <c r="K17" s="582"/>
      <c r="L17" s="582"/>
      <c r="M17" s="582"/>
      <c r="N17" s="582"/>
    </row>
    <row r="18" spans="1:15" ht="14.25">
      <c r="A18" s="241" t="s">
        <v>90</v>
      </c>
      <c r="B18" s="242"/>
      <c r="C18" s="420"/>
      <c r="D18" s="221"/>
      <c r="E18" s="500">
        <f>$C18*E15</f>
        <v>0</v>
      </c>
      <c r="F18" s="233"/>
      <c r="H18" s="226" t="s">
        <v>151</v>
      </c>
      <c r="I18" s="581"/>
      <c r="J18" s="582"/>
      <c r="K18" s="582"/>
      <c r="L18" s="582"/>
      <c r="M18" s="582"/>
      <c r="N18" s="582"/>
    </row>
    <row r="19" spans="1:15" ht="14.25">
      <c r="A19" s="380" t="s">
        <v>54</v>
      </c>
      <c r="B19" s="243"/>
      <c r="C19" s="238"/>
      <c r="D19" s="221"/>
      <c r="E19" s="497">
        <f>SUM(E15:E18)</f>
        <v>0</v>
      </c>
      <c r="F19" s="244">
        <f>IF(E19=0,0,E19/E$47)</f>
        <v>0</v>
      </c>
      <c r="H19" s="226" t="s">
        <v>152</v>
      </c>
      <c r="I19" s="581"/>
      <c r="J19" s="582"/>
      <c r="K19" s="582"/>
      <c r="L19" s="582"/>
      <c r="M19" s="582"/>
      <c r="N19" s="582"/>
    </row>
    <row r="20" spans="1:15" ht="14.25">
      <c r="A20" s="236"/>
      <c r="B20" s="239"/>
      <c r="C20" s="240"/>
      <c r="D20" s="221"/>
      <c r="E20" s="498"/>
      <c r="F20" s="233"/>
    </row>
    <row r="21" spans="1:15" ht="14.25">
      <c r="A21" s="387" t="s">
        <v>59</v>
      </c>
      <c r="B21" s="242"/>
      <c r="C21" s="240"/>
      <c r="D21" s="246"/>
      <c r="E21" s="501">
        <f>E19*0.96</f>
        <v>0</v>
      </c>
      <c r="F21" s="247"/>
      <c r="G21" s="160"/>
      <c r="H21" s="276" t="s">
        <v>153</v>
      </c>
      <c r="I21" s="614" t="s">
        <v>156</v>
      </c>
      <c r="J21" s="615"/>
      <c r="K21" s="615"/>
      <c r="L21" s="615"/>
      <c r="M21" s="615"/>
      <c r="N21" s="616"/>
    </row>
    <row r="22" spans="1:15" s="160" customFormat="1" ht="14.25">
      <c r="A22" s="241" t="s">
        <v>71</v>
      </c>
      <c r="B22" s="242"/>
      <c r="C22" s="248" t="s">
        <v>46</v>
      </c>
      <c r="D22" s="221"/>
      <c r="E22" s="499" t="e">
        <f>E21*'5-Premies en opslagen'!$C24</f>
        <v>#DIV/0!</v>
      </c>
      <c r="F22" s="233"/>
      <c r="G22" s="3"/>
      <c r="H22" s="226"/>
      <c r="I22" s="230">
        <v>1</v>
      </c>
      <c r="J22" s="230">
        <v>2</v>
      </c>
      <c r="K22" s="230">
        <v>3</v>
      </c>
      <c r="L22" s="230">
        <v>4</v>
      </c>
      <c r="M22" s="230">
        <v>5</v>
      </c>
      <c r="N22" s="230">
        <v>6</v>
      </c>
    </row>
    <row r="23" spans="1:15" ht="14.25" customHeight="1">
      <c r="A23" s="380" t="s">
        <v>68</v>
      </c>
      <c r="B23" s="277"/>
      <c r="C23" s="238"/>
      <c r="D23" s="221"/>
      <c r="E23" s="497" t="e">
        <f>E22+E19</f>
        <v>#DIV/0!</v>
      </c>
      <c r="F23" s="244" t="e">
        <f>IF(E23=0,0,E23/E$47)</f>
        <v>#DIV/0!</v>
      </c>
      <c r="H23" s="226" t="s">
        <v>154</v>
      </c>
      <c r="I23" s="422"/>
      <c r="J23" s="422"/>
      <c r="K23" s="422"/>
      <c r="L23" s="422"/>
      <c r="M23" s="422"/>
      <c r="N23" s="422"/>
    </row>
    <row r="24" spans="1:15" ht="12.75" customHeight="1">
      <c r="A24" s="236"/>
      <c r="B24" s="243"/>
      <c r="C24" s="238"/>
      <c r="D24" s="221"/>
      <c r="E24" s="494"/>
      <c r="F24" s="233"/>
      <c r="H24" s="226" t="s">
        <v>146</v>
      </c>
      <c r="I24" s="422"/>
      <c r="J24" s="422"/>
      <c r="K24" s="422"/>
      <c r="L24" s="422"/>
      <c r="M24" s="422"/>
      <c r="N24" s="422"/>
    </row>
    <row r="25" spans="1:15" ht="12.75" customHeight="1">
      <c r="A25" s="241" t="s">
        <v>36</v>
      </c>
      <c r="B25" s="242"/>
      <c r="C25" s="248" t="s">
        <v>46</v>
      </c>
      <c r="D25" s="221"/>
      <c r="E25" s="499" t="e">
        <f>E23*'5-Premies en opslagen'!$B53</f>
        <v>#DIV/0!</v>
      </c>
      <c r="F25" s="233"/>
      <c r="H25" s="226" t="s">
        <v>147</v>
      </c>
      <c r="I25" s="422"/>
      <c r="J25" s="422"/>
      <c r="K25" s="422"/>
      <c r="L25" s="422"/>
      <c r="M25" s="422"/>
      <c r="N25" s="422"/>
    </row>
    <row r="26" spans="1:15" ht="14.25">
      <c r="A26" s="380" t="s">
        <v>78</v>
      </c>
      <c r="B26" s="243"/>
      <c r="C26" s="238"/>
      <c r="D26" s="221"/>
      <c r="E26" s="497" t="e">
        <f>SUM(E23:E25)</f>
        <v>#DIV/0!</v>
      </c>
      <c r="F26" s="244" t="e">
        <f>IF(E26=0,0,E26/E$47)</f>
        <v>#DIV/0!</v>
      </c>
      <c r="H26" s="226" t="s">
        <v>148</v>
      </c>
      <c r="I26" s="422"/>
      <c r="J26" s="422"/>
      <c r="K26" s="422"/>
      <c r="L26" s="422"/>
      <c r="M26" s="422"/>
      <c r="N26" s="422"/>
    </row>
    <row r="27" spans="1:15" ht="14.25">
      <c r="A27" s="236"/>
      <c r="B27" s="243"/>
      <c r="C27" s="238"/>
      <c r="D27" s="221"/>
      <c r="E27" s="494"/>
      <c r="F27" s="233"/>
      <c r="H27" s="226" t="s">
        <v>149</v>
      </c>
      <c r="I27" s="422"/>
      <c r="J27" s="422"/>
      <c r="K27" s="422"/>
      <c r="L27" s="422"/>
      <c r="M27" s="422"/>
      <c r="N27" s="422"/>
    </row>
    <row r="28" spans="1:15" ht="14.25">
      <c r="A28" s="236" t="s">
        <v>60</v>
      </c>
      <c r="B28" s="249"/>
      <c r="C28" s="235" t="s">
        <v>67</v>
      </c>
      <c r="D28" s="221"/>
      <c r="E28" s="496"/>
      <c r="F28" s="233">
        <v>0</v>
      </c>
      <c r="H28" s="226" t="s">
        <v>150</v>
      </c>
      <c r="I28" s="422"/>
      <c r="J28" s="422"/>
      <c r="K28" s="422"/>
      <c r="L28" s="422"/>
      <c r="M28" s="422"/>
      <c r="N28" s="422"/>
    </row>
    <row r="29" spans="1:15" ht="14.25">
      <c r="A29" s="236" t="s">
        <v>65</v>
      </c>
      <c r="B29" s="250"/>
      <c r="C29" s="235" t="s">
        <v>67</v>
      </c>
      <c r="D29" s="221"/>
      <c r="E29" s="496"/>
      <c r="F29" s="233">
        <v>0</v>
      </c>
      <c r="H29" s="226" t="s">
        <v>151</v>
      </c>
      <c r="I29" s="422"/>
      <c r="J29" s="422"/>
      <c r="K29" s="422"/>
      <c r="L29" s="422"/>
      <c r="M29" s="422"/>
      <c r="N29" s="422"/>
    </row>
    <row r="30" spans="1:15" ht="14.25">
      <c r="A30" s="236" t="s">
        <v>66</v>
      </c>
      <c r="B30" s="243"/>
      <c r="C30" s="238" t="s">
        <v>62</v>
      </c>
      <c r="D30" s="221"/>
      <c r="E30" s="502" t="s">
        <v>18</v>
      </c>
      <c r="F30" s="233"/>
      <c r="H30" s="226" t="s">
        <v>152</v>
      </c>
      <c r="I30" s="422"/>
      <c r="J30" s="422"/>
      <c r="K30" s="422"/>
      <c r="L30" s="422"/>
      <c r="M30" s="422"/>
      <c r="N30" s="422"/>
    </row>
    <row r="31" spans="1:15" ht="12.75" customHeight="1">
      <c r="A31" s="421"/>
      <c r="B31" s="472"/>
      <c r="C31" s="473" t="s">
        <v>62</v>
      </c>
      <c r="D31" s="221"/>
      <c r="E31" s="496"/>
      <c r="F31" s="233"/>
      <c r="H31" s="252" t="s">
        <v>155</v>
      </c>
      <c r="I31" s="447">
        <f t="shared" ref="I31:N31" si="0">SUM(I23:I30)</f>
        <v>0</v>
      </c>
      <c r="J31" s="447">
        <f t="shared" si="0"/>
        <v>0</v>
      </c>
      <c r="K31" s="447">
        <f t="shared" si="0"/>
        <v>0</v>
      </c>
      <c r="L31" s="447">
        <f t="shared" si="0"/>
        <v>0</v>
      </c>
      <c r="M31" s="447">
        <f t="shared" si="0"/>
        <v>0</v>
      </c>
      <c r="N31" s="447">
        <f t="shared" si="0"/>
        <v>0</v>
      </c>
      <c r="O31" s="278">
        <f>SUM(I31:N31)</f>
        <v>0</v>
      </c>
    </row>
    <row r="32" spans="1:15" ht="12.75" customHeight="1">
      <c r="A32" s="380" t="s">
        <v>56</v>
      </c>
      <c r="B32" s="243"/>
      <c r="C32" s="238"/>
      <c r="D32" s="221"/>
      <c r="E32" s="497" t="e">
        <f>SUM(E26:E31)</f>
        <v>#DIV/0!</v>
      </c>
      <c r="F32" s="244" t="e">
        <f>IF(E32=0,0,E32/E$47)</f>
        <v>#DIV/0!</v>
      </c>
      <c r="H32" s="160"/>
      <c r="I32" s="160"/>
      <c r="J32" s="160"/>
      <c r="K32" s="160"/>
      <c r="L32" s="160"/>
      <c r="M32" s="160"/>
      <c r="N32" s="160"/>
    </row>
    <row r="33" spans="1:15" ht="12.75" customHeight="1">
      <c r="A33" s="236"/>
      <c r="B33" s="243"/>
      <c r="C33" s="238"/>
      <c r="D33" s="221"/>
      <c r="E33" s="494"/>
      <c r="F33" s="233"/>
      <c r="H33" s="456" t="s">
        <v>153</v>
      </c>
      <c r="I33" s="611" t="s">
        <v>157</v>
      </c>
      <c r="J33" s="611"/>
      <c r="K33" s="611"/>
      <c r="L33" s="611"/>
      <c r="M33" s="611"/>
      <c r="N33" s="611"/>
    </row>
    <row r="34" spans="1:15" ht="12.75" customHeight="1">
      <c r="A34" s="236" t="s">
        <v>80</v>
      </c>
      <c r="B34" s="243"/>
      <c r="C34" s="251"/>
      <c r="D34" s="221"/>
      <c r="E34" s="496"/>
      <c r="F34" s="487" t="e">
        <f t="shared" ref="F34:F42" si="1">E34/$E$47</f>
        <v>#DIV/0!</v>
      </c>
      <c r="H34" s="457"/>
      <c r="I34" s="458">
        <v>1</v>
      </c>
      <c r="J34" s="458">
        <v>2</v>
      </c>
      <c r="K34" s="458">
        <v>3</v>
      </c>
      <c r="L34" s="458">
        <v>4</v>
      </c>
      <c r="M34" s="458">
        <v>5</v>
      </c>
      <c r="N34" s="458">
        <v>6</v>
      </c>
    </row>
    <row r="35" spans="1:15" ht="12.75" customHeight="1">
      <c r="A35" s="236" t="s">
        <v>35</v>
      </c>
      <c r="B35" s="243"/>
      <c r="C35" s="251"/>
      <c r="D35" s="221"/>
      <c r="E35" s="496"/>
      <c r="F35" s="487" t="e">
        <f t="shared" si="1"/>
        <v>#DIV/0!</v>
      </c>
      <c r="H35" s="457" t="s">
        <v>154</v>
      </c>
      <c r="I35" s="459">
        <f t="shared" ref="I35:N35" si="2">I23*I12</f>
        <v>0</v>
      </c>
      <c r="J35" s="459">
        <f t="shared" si="2"/>
        <v>0</v>
      </c>
      <c r="K35" s="459">
        <f t="shared" si="2"/>
        <v>0</v>
      </c>
      <c r="L35" s="459">
        <f t="shared" si="2"/>
        <v>0</v>
      </c>
      <c r="M35" s="459">
        <f t="shared" si="2"/>
        <v>0</v>
      </c>
      <c r="N35" s="460">
        <f t="shared" si="2"/>
        <v>0</v>
      </c>
    </row>
    <row r="36" spans="1:15" ht="14.25" customHeight="1">
      <c r="A36" s="236" t="s">
        <v>25</v>
      </c>
      <c r="B36" s="243"/>
      <c r="C36" s="251"/>
      <c r="D36" s="221"/>
      <c r="E36" s="496"/>
      <c r="F36" s="487" t="e">
        <f t="shared" si="1"/>
        <v>#DIV/0!</v>
      </c>
      <c r="H36" s="457" t="s">
        <v>146</v>
      </c>
      <c r="I36" s="459">
        <f t="shared" ref="I36:N36" si="3">I24*I13</f>
        <v>0</v>
      </c>
      <c r="J36" s="459">
        <f t="shared" si="3"/>
        <v>0</v>
      </c>
      <c r="K36" s="459">
        <f t="shared" si="3"/>
        <v>0</v>
      </c>
      <c r="L36" s="459">
        <f t="shared" si="3"/>
        <v>0</v>
      </c>
      <c r="M36" s="459">
        <f t="shared" si="3"/>
        <v>0</v>
      </c>
      <c r="N36" s="460">
        <f t="shared" si="3"/>
        <v>0</v>
      </c>
    </row>
    <row r="37" spans="1:15" ht="14.25">
      <c r="A37" s="236" t="s">
        <v>2</v>
      </c>
      <c r="B37" s="243"/>
      <c r="C37" s="253"/>
      <c r="D37" s="221"/>
      <c r="E37" s="496"/>
      <c r="F37" s="487" t="e">
        <f t="shared" si="1"/>
        <v>#DIV/0!</v>
      </c>
      <c r="H37" s="457" t="s">
        <v>147</v>
      </c>
      <c r="I37" s="459">
        <f t="shared" ref="I37:N37" si="4">I25*I14</f>
        <v>0</v>
      </c>
      <c r="J37" s="459">
        <f t="shared" si="4"/>
        <v>0</v>
      </c>
      <c r="K37" s="459">
        <f t="shared" si="4"/>
        <v>0</v>
      </c>
      <c r="L37" s="459">
        <f t="shared" si="4"/>
        <v>0</v>
      </c>
      <c r="M37" s="459">
        <f t="shared" si="4"/>
        <v>0</v>
      </c>
      <c r="N37" s="460">
        <f t="shared" si="4"/>
        <v>0</v>
      </c>
      <c r="O37" s="160"/>
    </row>
    <row r="38" spans="1:15" ht="14.25">
      <c r="A38" s="236" t="s">
        <v>33</v>
      </c>
      <c r="B38" s="243"/>
      <c r="C38" s="251"/>
      <c r="D38" s="221"/>
      <c r="E38" s="496"/>
      <c r="F38" s="487" t="e">
        <f t="shared" si="1"/>
        <v>#DIV/0!</v>
      </c>
      <c r="H38" s="457" t="s">
        <v>148</v>
      </c>
      <c r="I38" s="459">
        <f t="shared" ref="I38:N38" si="5">I26*I15</f>
        <v>0</v>
      </c>
      <c r="J38" s="459">
        <f t="shared" si="5"/>
        <v>0</v>
      </c>
      <c r="K38" s="459">
        <f t="shared" si="5"/>
        <v>0</v>
      </c>
      <c r="L38" s="459">
        <f t="shared" si="5"/>
        <v>0</v>
      </c>
      <c r="M38" s="459">
        <f t="shared" si="5"/>
        <v>0</v>
      </c>
      <c r="N38" s="460">
        <f t="shared" si="5"/>
        <v>0</v>
      </c>
      <c r="O38" s="160"/>
    </row>
    <row r="39" spans="1:15" ht="14.25">
      <c r="A39" s="236" t="s">
        <v>30</v>
      </c>
      <c r="B39" s="243"/>
      <c r="C39" s="253"/>
      <c r="D39" s="221"/>
      <c r="E39" s="496"/>
      <c r="F39" s="487" t="e">
        <f t="shared" si="1"/>
        <v>#DIV/0!</v>
      </c>
      <c r="H39" s="457" t="s">
        <v>149</v>
      </c>
      <c r="I39" s="459">
        <f t="shared" ref="I39:N39" si="6">I27*I16</f>
        <v>0</v>
      </c>
      <c r="J39" s="459">
        <f t="shared" si="6"/>
        <v>0</v>
      </c>
      <c r="K39" s="459">
        <f t="shared" si="6"/>
        <v>0</v>
      </c>
      <c r="L39" s="459">
        <f t="shared" si="6"/>
        <v>0</v>
      </c>
      <c r="M39" s="459">
        <f t="shared" si="6"/>
        <v>0</v>
      </c>
      <c r="N39" s="460">
        <f t="shared" si="6"/>
        <v>0</v>
      </c>
      <c r="O39" s="160"/>
    </row>
    <row r="40" spans="1:15" ht="14.25">
      <c r="A40" s="236" t="s">
        <v>72</v>
      </c>
      <c r="B40" s="243"/>
      <c r="C40" s="235" t="s">
        <v>67</v>
      </c>
      <c r="D40" s="221"/>
      <c r="E40" s="496"/>
      <c r="F40" s="487" t="e">
        <f t="shared" si="1"/>
        <v>#DIV/0!</v>
      </c>
      <c r="H40" s="457" t="s">
        <v>150</v>
      </c>
      <c r="I40" s="459">
        <f t="shared" ref="I40:N40" si="7">I28*I17</f>
        <v>0</v>
      </c>
      <c r="J40" s="459">
        <f t="shared" si="7"/>
        <v>0</v>
      </c>
      <c r="K40" s="459">
        <f t="shared" si="7"/>
        <v>0</v>
      </c>
      <c r="L40" s="459">
        <f t="shared" si="7"/>
        <v>0</v>
      </c>
      <c r="M40" s="459">
        <f t="shared" si="7"/>
        <v>0</v>
      </c>
      <c r="N40" s="460">
        <f t="shared" si="7"/>
        <v>0</v>
      </c>
      <c r="O40" s="160"/>
    </row>
    <row r="41" spans="1:15" ht="14.25">
      <c r="A41" s="236" t="s">
        <v>89</v>
      </c>
      <c r="B41" s="243"/>
      <c r="C41" s="235"/>
      <c r="D41" s="221"/>
      <c r="E41" s="496"/>
      <c r="F41" s="487" t="e">
        <f t="shared" si="1"/>
        <v>#DIV/0!</v>
      </c>
      <c r="H41" s="457" t="s">
        <v>151</v>
      </c>
      <c r="I41" s="459">
        <f t="shared" ref="I41:N41" si="8">I29*I18</f>
        <v>0</v>
      </c>
      <c r="J41" s="459">
        <f t="shared" si="8"/>
        <v>0</v>
      </c>
      <c r="K41" s="459">
        <f t="shared" si="8"/>
        <v>0</v>
      </c>
      <c r="L41" s="459">
        <f t="shared" si="8"/>
        <v>0</v>
      </c>
      <c r="M41" s="459">
        <f t="shared" si="8"/>
        <v>0</v>
      </c>
      <c r="N41" s="460">
        <f t="shared" si="8"/>
        <v>0</v>
      </c>
      <c r="O41" s="160"/>
    </row>
    <row r="42" spans="1:15" ht="14.25">
      <c r="A42" s="421"/>
      <c r="B42" s="472"/>
      <c r="C42" s="474"/>
      <c r="D42" s="221"/>
      <c r="E42" s="496"/>
      <c r="F42" s="233" t="e">
        <f t="shared" si="1"/>
        <v>#DIV/0!</v>
      </c>
      <c r="H42" s="457" t="s">
        <v>152</v>
      </c>
      <c r="I42" s="459">
        <f t="shared" ref="I42:N42" si="9">I30*I19</f>
        <v>0</v>
      </c>
      <c r="J42" s="459">
        <f t="shared" si="9"/>
        <v>0</v>
      </c>
      <c r="K42" s="459">
        <f t="shared" si="9"/>
        <v>0</v>
      </c>
      <c r="L42" s="459">
        <f t="shared" si="9"/>
        <v>0</v>
      </c>
      <c r="M42" s="459">
        <f t="shared" si="9"/>
        <v>0</v>
      </c>
      <c r="N42" s="460">
        <f t="shared" si="9"/>
        <v>0</v>
      </c>
      <c r="O42" s="160"/>
    </row>
    <row r="43" spans="1:15" ht="14.25">
      <c r="A43" s="380" t="s">
        <v>73</v>
      </c>
      <c r="B43" s="243"/>
      <c r="C43" s="238"/>
      <c r="D43" s="221"/>
      <c r="E43" s="497" t="e">
        <f>SUM(E32:E42)</f>
        <v>#DIV/0!</v>
      </c>
      <c r="F43" s="244" t="e">
        <f>IF(E43=0,0,E43/E$47)</f>
        <v>#DIV/0!</v>
      </c>
      <c r="H43" s="461" t="s">
        <v>155</v>
      </c>
      <c r="I43" s="462">
        <f t="shared" ref="I43:N43" si="10">SUM(I35:I42)</f>
        <v>0</v>
      </c>
      <c r="J43" s="462">
        <f t="shared" si="10"/>
        <v>0</v>
      </c>
      <c r="K43" s="462">
        <f t="shared" si="10"/>
        <v>0</v>
      </c>
      <c r="L43" s="462">
        <f t="shared" si="10"/>
        <v>0</v>
      </c>
      <c r="M43" s="462">
        <f t="shared" si="10"/>
        <v>0</v>
      </c>
      <c r="N43" s="462">
        <f t="shared" si="10"/>
        <v>0</v>
      </c>
      <c r="O43" s="160"/>
    </row>
    <row r="44" spans="1:15" ht="14.25">
      <c r="A44" s="236"/>
      <c r="B44" s="243"/>
      <c r="C44" s="238"/>
      <c r="D44" s="221"/>
      <c r="E44" s="494"/>
      <c r="F44" s="254"/>
      <c r="H44" s="160"/>
      <c r="I44" s="160"/>
      <c r="J44" s="160"/>
      <c r="K44" s="160"/>
      <c r="L44" s="160"/>
      <c r="M44" s="160"/>
      <c r="N44" s="160"/>
      <c r="O44" s="160"/>
    </row>
    <row r="45" spans="1:15" ht="14.25">
      <c r="A45" s="236" t="s">
        <v>74</v>
      </c>
      <c r="B45" s="243"/>
      <c r="C45" s="253"/>
      <c r="D45" s="221"/>
      <c r="E45" s="496"/>
      <c r="F45" s="244">
        <f>(IF(E45=0,0,E45/E$47))</f>
        <v>0</v>
      </c>
      <c r="H45" s="160"/>
      <c r="I45" s="160"/>
      <c r="J45" s="160"/>
      <c r="K45" s="160"/>
      <c r="L45" s="160"/>
      <c r="M45" s="160"/>
      <c r="N45" s="160"/>
      <c r="O45" s="160"/>
    </row>
    <row r="46" spans="1:15" ht="14.25">
      <c r="A46" s="236"/>
      <c r="B46" s="237"/>
      <c r="C46" s="238"/>
      <c r="D46" s="221"/>
      <c r="E46" s="494"/>
      <c r="F46" s="233"/>
      <c r="H46" s="160"/>
      <c r="I46" s="160"/>
      <c r="J46" s="160"/>
      <c r="K46" s="160"/>
      <c r="L46" s="160"/>
      <c r="M46" s="160"/>
      <c r="N46" s="160"/>
      <c r="O46" s="160"/>
    </row>
    <row r="47" spans="1:15" ht="14.25">
      <c r="A47" s="380" t="s">
        <v>47</v>
      </c>
      <c r="B47" s="385"/>
      <c r="C47" s="255"/>
      <c r="D47" s="221"/>
      <c r="E47" s="384" t="e">
        <f>SUM(E43:E46)</f>
        <v>#DIV/0!</v>
      </c>
      <c r="F47" s="386" t="e">
        <f>SUM(F43:F46)</f>
        <v>#DIV/0!</v>
      </c>
      <c r="H47" s="160"/>
      <c r="I47" s="160"/>
      <c r="J47" s="160"/>
      <c r="K47" s="160"/>
      <c r="L47" s="160"/>
      <c r="M47" s="160"/>
      <c r="N47" s="160"/>
      <c r="O47" s="160"/>
    </row>
    <row r="48" spans="1:15" ht="14.25">
      <c r="B48" s="256"/>
      <c r="C48" s="257"/>
      <c r="D48" s="221"/>
      <c r="F48" s="258"/>
      <c r="H48" s="160"/>
      <c r="I48" s="160"/>
      <c r="J48" s="160"/>
      <c r="K48" s="160"/>
      <c r="L48" s="160"/>
      <c r="M48" s="160"/>
      <c r="N48" s="160"/>
      <c r="O48" s="160"/>
    </row>
    <row r="49" spans="1:15" ht="14.25">
      <c r="A49" s="259" t="s">
        <v>237</v>
      </c>
      <c r="B49" s="260"/>
      <c r="C49" s="261"/>
      <c r="D49" s="160"/>
      <c r="E49" s="503" t="e">
        <f>(E$26*1.3)+($E$47-$E$26)</f>
        <v>#DIV/0!</v>
      </c>
      <c r="F49" s="262"/>
      <c r="G49" s="160"/>
      <c r="H49" s="160"/>
      <c r="I49" s="160"/>
      <c r="J49" s="160"/>
      <c r="K49" s="160"/>
      <c r="L49" s="160"/>
      <c r="M49" s="160"/>
      <c r="N49" s="160"/>
      <c r="O49" s="160"/>
    </row>
    <row r="50" spans="1:15" s="160" customFormat="1" ht="14.25">
      <c r="B50" s="263"/>
      <c r="C50" s="264"/>
    </row>
    <row r="51" spans="1:15" s="160" customFormat="1" ht="14.25">
      <c r="A51" s="259" t="s">
        <v>52</v>
      </c>
      <c r="B51" s="260"/>
      <c r="C51" s="261"/>
      <c r="E51" s="503" t="e">
        <f>(E$26*1.5)+($E$47-$E$26)</f>
        <v>#DIV/0!</v>
      </c>
      <c r="F51" s="262"/>
    </row>
    <row r="52" spans="1:15" s="160" customFormat="1" ht="14.25">
      <c r="B52" s="263"/>
      <c r="C52" s="264"/>
    </row>
    <row r="53" spans="1:15" s="160" customFormat="1" ht="14.25">
      <c r="A53" s="259" t="s">
        <v>85</v>
      </c>
      <c r="B53" s="260"/>
      <c r="C53" s="261"/>
      <c r="E53" s="503" t="e">
        <f>(E$26*2.5)+($E$47-$E$26)</f>
        <v>#DIV/0!</v>
      </c>
    </row>
    <row r="54" spans="1:15" s="160" customFormat="1" ht="14.25">
      <c r="B54" s="263"/>
      <c r="C54" s="265"/>
      <c r="F54" s="266"/>
    </row>
    <row r="55" spans="1:15" s="160" customFormat="1" ht="14.25">
      <c r="B55" s="263"/>
      <c r="C55" s="265"/>
      <c r="F55" s="266"/>
    </row>
    <row r="56" spans="1:15" s="160" customFormat="1">
      <c r="C56" s="267"/>
      <c r="F56" s="266"/>
    </row>
    <row r="57" spans="1:15" s="160" customFormat="1">
      <c r="C57" s="267"/>
      <c r="F57" s="266"/>
    </row>
    <row r="58" spans="1:15" s="160" customFormat="1">
      <c r="A58" s="3"/>
      <c r="C58" s="267"/>
      <c r="F58" s="266"/>
      <c r="H58" s="3"/>
      <c r="I58" s="3"/>
      <c r="J58" s="3"/>
      <c r="K58" s="3"/>
      <c r="L58" s="3"/>
      <c r="M58" s="3"/>
      <c r="N58" s="3"/>
    </row>
    <row r="59" spans="1:15" s="160" customFormat="1">
      <c r="C59" s="267"/>
      <c r="F59" s="266"/>
      <c r="H59" s="3"/>
      <c r="I59" s="3"/>
      <c r="J59" s="3"/>
      <c r="K59" s="3"/>
      <c r="L59" s="3"/>
      <c r="M59" s="3"/>
      <c r="N59" s="3"/>
    </row>
    <row r="60" spans="1:15" s="160" customFormat="1">
      <c r="C60" s="267"/>
      <c r="F60" s="266"/>
      <c r="H60" s="3"/>
      <c r="I60" s="3"/>
      <c r="J60" s="3"/>
      <c r="K60" s="3"/>
      <c r="L60" s="3"/>
      <c r="M60" s="3"/>
      <c r="N60" s="3"/>
    </row>
    <row r="61" spans="1:15" s="160" customFormat="1">
      <c r="C61" s="267"/>
      <c r="F61" s="266"/>
      <c r="H61" s="3"/>
      <c r="I61" s="3"/>
      <c r="J61" s="3"/>
      <c r="K61" s="3"/>
      <c r="L61" s="3"/>
      <c r="M61" s="3"/>
      <c r="N61" s="3"/>
    </row>
    <row r="62" spans="1:15" s="160" customFormat="1">
      <c r="C62" s="267"/>
      <c r="F62" s="266"/>
      <c r="H62" s="3"/>
      <c r="I62" s="3"/>
      <c r="J62" s="3"/>
      <c r="K62" s="3"/>
      <c r="L62" s="3"/>
      <c r="M62" s="3"/>
      <c r="N62" s="3"/>
    </row>
    <row r="63" spans="1:15" s="160" customFormat="1">
      <c r="C63" s="267"/>
      <c r="F63" s="266"/>
      <c r="H63" s="3"/>
      <c r="I63" s="3"/>
      <c r="J63" s="3"/>
      <c r="K63" s="3"/>
      <c r="L63" s="3"/>
      <c r="M63" s="3"/>
      <c r="N63" s="3"/>
    </row>
    <row r="64" spans="1:15" s="160" customFormat="1">
      <c r="C64" s="267"/>
      <c r="F64" s="266"/>
      <c r="H64" s="3"/>
      <c r="I64" s="3"/>
      <c r="J64" s="3"/>
      <c r="K64" s="3"/>
      <c r="L64" s="3"/>
      <c r="M64" s="3"/>
      <c r="N64" s="3"/>
    </row>
    <row r="65" spans="1:14" s="160" customFormat="1">
      <c r="C65" s="267"/>
      <c r="E65" s="3"/>
      <c r="F65" s="266"/>
      <c r="H65" s="3"/>
      <c r="I65" s="3"/>
      <c r="J65" s="3"/>
      <c r="K65" s="3"/>
      <c r="L65" s="3"/>
      <c r="M65" s="3"/>
      <c r="N65" s="3"/>
    </row>
    <row r="66" spans="1:14" s="160" customFormat="1">
      <c r="A66" s="3"/>
      <c r="B66" s="3"/>
      <c r="C66" s="3"/>
      <c r="D66" s="3"/>
      <c r="E66" s="3"/>
      <c r="F66" s="3"/>
      <c r="G66" s="3"/>
      <c r="H66" s="3"/>
      <c r="I66" s="3"/>
      <c r="J66" s="3"/>
      <c r="K66" s="3"/>
      <c r="L66" s="3"/>
      <c r="M66" s="3"/>
      <c r="N66" s="3"/>
    </row>
  </sheetData>
  <dataConsolidate/>
  <mergeCells count="7">
    <mergeCell ref="I33:N33"/>
    <mergeCell ref="E10:F10"/>
    <mergeCell ref="H1:N2"/>
    <mergeCell ref="H3:N3"/>
    <mergeCell ref="H4:N5"/>
    <mergeCell ref="I10:N10"/>
    <mergeCell ref="I21:N21"/>
  </mergeCells>
  <phoneticPr fontId="9"/>
  <conditionalFormatting sqref="O31">
    <cfRule type="cellIs" dxfId="16" priority="1" operator="greaterThan">
      <formula>1</formula>
    </cfRule>
    <cfRule type="cellIs" dxfId="15" priority="2" operator="between">
      <formula>0.999999</formula>
      <formula>0</formula>
    </cfRule>
    <cfRule type="cellIs" dxfId="14"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ignoredErrors>
    <ignoredError sqref="I3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C517E-20D1-44FA-92F5-B1ACD1904D99}">
  <sheetPr codeName="Blad8">
    <pageSetUpPr fitToPage="1"/>
  </sheetPr>
  <dimension ref="A1:O66"/>
  <sheetViews>
    <sheetView showGridLines="0" showZeros="0" showOutlineSymbols="0" zoomScale="70" zoomScaleNormal="70" zoomScalePageLayoutView="50" workbookViewId="0">
      <pane ySplit="10" topLeftCell="A11" activePane="bottomLeft" state="frozen"/>
      <selection activeCell="A6" sqref="A6:F6"/>
      <selection pane="bottomLeft" activeCell="P37" sqref="P37"/>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5703125" style="3" customWidth="1"/>
    <col min="9" max="15" width="11.42578125" style="3"/>
    <col min="16" max="16" width="31.140625" style="3" customWidth="1"/>
    <col min="17" max="16384" width="11.42578125" style="3"/>
  </cols>
  <sheetData>
    <row r="1" spans="1:15" ht="12.75" customHeight="1">
      <c r="A1" s="415" t="s">
        <v>27</v>
      </c>
      <c r="B1" s="39"/>
      <c r="C1" s="2"/>
      <c r="D1" s="2"/>
      <c r="E1" s="2"/>
      <c r="F1" s="2"/>
      <c r="H1" s="583"/>
      <c r="I1" s="583"/>
      <c r="J1" s="583"/>
      <c r="K1" s="583"/>
      <c r="L1" s="583"/>
      <c r="M1" s="583"/>
      <c r="N1" s="583"/>
    </row>
    <row r="2" spans="1:15">
      <c r="A2" s="212"/>
      <c r="B2" s="213"/>
      <c r="C2" s="214"/>
      <c r="D2" s="213"/>
      <c r="E2" s="215"/>
      <c r="F2" s="216"/>
      <c r="H2" s="583"/>
      <c r="I2" s="583"/>
      <c r="J2" s="583"/>
      <c r="K2" s="583"/>
      <c r="L2" s="583"/>
      <c r="M2" s="583"/>
      <c r="N2" s="583"/>
    </row>
    <row r="3" spans="1:15" ht="14.25" customHeight="1">
      <c r="A3" s="268" t="str">
        <f>'1-Contractblad totaal'!A3</f>
        <v>Naam opdrachtgever</v>
      </c>
      <c r="B3" s="269" t="str">
        <f>'1-Contractblad totaal'!B3</f>
        <v>Hoogheemraadschap De Stichtse Rijnlanden</v>
      </c>
      <c r="C3" s="270"/>
      <c r="D3" s="213"/>
      <c r="E3" s="492"/>
      <c r="F3" s="218"/>
      <c r="H3" s="583"/>
      <c r="I3" s="583"/>
      <c r="J3" s="583"/>
      <c r="K3" s="583"/>
      <c r="L3" s="583"/>
      <c r="M3" s="583"/>
      <c r="N3" s="583"/>
    </row>
    <row r="4" spans="1:15" ht="15.75" customHeight="1">
      <c r="A4" s="268" t="str">
        <f>'1-Contractblad totaal'!A4</f>
        <v>Calculatie onderdeel</v>
      </c>
      <c r="B4" s="271" t="str">
        <f ca="1">MID(CELL("bestandsnaam",$C$9),SEARCH("]",CELL("bestandsnaam",$C$9),1)+1,256)</f>
        <v>6b-Opbouw uurtarief specialist</v>
      </c>
      <c r="C4" s="272"/>
      <c r="D4" s="221"/>
      <c r="H4" s="583"/>
      <c r="I4" s="583"/>
      <c r="J4" s="583"/>
      <c r="K4" s="583"/>
      <c r="L4" s="583"/>
      <c r="M4" s="583"/>
      <c r="N4" s="583"/>
    </row>
    <row r="5" spans="1:15" ht="17.25">
      <c r="A5" s="268" t="str">
        <f>'1-Contractblad totaal'!A5</f>
        <v>Gebouw/plaats</v>
      </c>
      <c r="B5" s="269" t="str">
        <f>'1-Contractblad totaal'!B5</f>
        <v>Divers</v>
      </c>
      <c r="C5" s="272"/>
      <c r="D5" s="221"/>
      <c r="H5" s="583"/>
      <c r="I5" s="583"/>
      <c r="J5" s="583"/>
      <c r="K5" s="583"/>
      <c r="L5" s="583"/>
      <c r="M5" s="583"/>
      <c r="N5" s="583"/>
    </row>
    <row r="6" spans="1:15" ht="17.25">
      <c r="A6" s="268" t="str">
        <f>'1-Contractblad totaal'!A6</f>
        <v>Referentie nummer</v>
      </c>
      <c r="B6" s="269" t="str">
        <f>'1-Contractblad totaal'!B6</f>
        <v>Invoer</v>
      </c>
      <c r="C6" s="272"/>
      <c r="D6" s="221"/>
      <c r="H6" s="222"/>
      <c r="I6" s="222"/>
      <c r="J6" s="222"/>
      <c r="K6" s="222"/>
      <c r="L6" s="222"/>
      <c r="M6" s="222"/>
      <c r="N6" s="222"/>
    </row>
    <row r="7" spans="1:15" ht="17.25">
      <c r="A7" s="268" t="str">
        <f>'1-Contractblad totaal'!A8</f>
        <v>Naam dienstverlener</v>
      </c>
      <c r="B7" s="269">
        <f>'1-Contractblad totaal'!B8</f>
        <v>0</v>
      </c>
      <c r="C7" s="272"/>
      <c r="D7" s="221"/>
      <c r="H7" s="222"/>
      <c r="I7" s="222"/>
      <c r="J7" s="222"/>
      <c r="K7" s="222"/>
      <c r="L7" s="222"/>
      <c r="M7" s="222"/>
      <c r="N7" s="222"/>
    </row>
    <row r="8" spans="1:15" ht="15.75">
      <c r="A8" s="268" t="str">
        <f>'1-Contractblad totaal'!A9</f>
        <v>Prijspeil</v>
      </c>
      <c r="B8" s="109">
        <f>'1-Contractblad totaal'!B9</f>
        <v>45017</v>
      </c>
      <c r="C8" s="272"/>
      <c r="D8" s="221"/>
      <c r="J8" s="222"/>
      <c r="K8" s="222"/>
      <c r="L8" s="222"/>
      <c r="M8" s="222"/>
      <c r="N8" s="222"/>
      <c r="O8" s="225"/>
    </row>
    <row r="9" spans="1:15" ht="17.25">
      <c r="A9" s="217"/>
      <c r="B9" s="219"/>
      <c r="C9" s="220"/>
      <c r="D9" s="221"/>
      <c r="E9" s="493"/>
      <c r="F9" s="223"/>
    </row>
    <row r="10" spans="1:15" s="225" customFormat="1" ht="30.75" customHeight="1">
      <c r="A10" s="273" t="s">
        <v>220</v>
      </c>
      <c r="B10" s="274"/>
      <c r="C10" s="275"/>
      <c r="D10" s="224"/>
      <c r="E10" s="612" t="s">
        <v>221</v>
      </c>
      <c r="F10" s="613"/>
      <c r="H10" s="276" t="s">
        <v>153</v>
      </c>
      <c r="I10" s="611" t="s">
        <v>349</v>
      </c>
      <c r="J10" s="611"/>
      <c r="K10" s="611"/>
      <c r="L10" s="611"/>
      <c r="M10" s="611"/>
      <c r="N10" s="611"/>
    </row>
    <row r="11" spans="1:15" ht="30" customHeight="1">
      <c r="A11" s="226"/>
      <c r="B11" s="227" t="s">
        <v>62</v>
      </c>
      <c r="C11" s="228" t="s">
        <v>62</v>
      </c>
      <c r="D11" s="221"/>
      <c r="E11" s="494"/>
      <c r="F11" s="229"/>
      <c r="H11" s="226"/>
      <c r="I11" s="458">
        <v>1</v>
      </c>
      <c r="J11" s="458">
        <v>2</v>
      </c>
      <c r="K11" s="458">
        <v>3</v>
      </c>
      <c r="L11" s="458">
        <v>4</v>
      </c>
      <c r="M11" s="458">
        <v>5</v>
      </c>
      <c r="N11" s="458">
        <v>6</v>
      </c>
    </row>
    <row r="12" spans="1:15">
      <c r="A12" s="226" t="s">
        <v>40</v>
      </c>
      <c r="B12" s="231"/>
      <c r="C12" s="232"/>
      <c r="D12" s="221"/>
      <c r="E12" s="495">
        <f>SUM(I43:N43)</f>
        <v>0</v>
      </c>
      <c r="F12" s="233"/>
      <c r="H12" s="226" t="s">
        <v>154</v>
      </c>
      <c r="I12" s="579"/>
      <c r="J12" s="580"/>
      <c r="K12" s="580"/>
      <c r="L12" s="580"/>
      <c r="M12" s="580"/>
      <c r="N12" s="580"/>
    </row>
    <row r="13" spans="1:15" ht="14.25">
      <c r="A13" s="226" t="s">
        <v>15</v>
      </c>
      <c r="B13" s="234"/>
      <c r="C13" s="235" t="s">
        <v>67</v>
      </c>
      <c r="D13" s="221"/>
      <c r="E13" s="496"/>
      <c r="F13" s="233"/>
      <c r="H13" s="226" t="s">
        <v>146</v>
      </c>
      <c r="I13" s="581"/>
      <c r="J13" s="582"/>
      <c r="K13" s="582"/>
      <c r="L13" s="582"/>
      <c r="M13" s="582"/>
      <c r="N13" s="582"/>
    </row>
    <row r="14" spans="1:15" ht="14.25">
      <c r="A14" s="236" t="s">
        <v>34</v>
      </c>
      <c r="B14" s="237"/>
      <c r="C14" s="238"/>
      <c r="D14" s="221"/>
      <c r="E14" s="496"/>
      <c r="F14" s="233"/>
      <c r="H14" s="226" t="s">
        <v>147</v>
      </c>
      <c r="I14" s="581"/>
      <c r="J14" s="582"/>
      <c r="K14" s="582"/>
      <c r="L14" s="582"/>
      <c r="M14" s="582"/>
      <c r="N14" s="582"/>
    </row>
    <row r="15" spans="1:15" ht="14.25">
      <c r="A15" s="380" t="s">
        <v>13</v>
      </c>
      <c r="B15" s="381"/>
      <c r="C15" s="382"/>
      <c r="D15" s="383"/>
      <c r="E15" s="497">
        <f>SUM(E12:E14)</f>
        <v>0</v>
      </c>
      <c r="F15" s="233"/>
      <c r="H15" s="226" t="s">
        <v>148</v>
      </c>
      <c r="I15" s="579"/>
      <c r="J15" s="580"/>
      <c r="K15" s="580"/>
      <c r="L15" s="580"/>
      <c r="M15" s="580"/>
      <c r="N15" s="580"/>
    </row>
    <row r="16" spans="1:15" ht="14.25">
      <c r="A16" s="236"/>
      <c r="B16" s="239"/>
      <c r="C16" s="240"/>
      <c r="D16" s="221"/>
      <c r="E16" s="498"/>
      <c r="F16" s="233"/>
      <c r="H16" s="226" t="s">
        <v>149</v>
      </c>
      <c r="I16" s="581"/>
      <c r="J16" s="582"/>
      <c r="K16" s="582"/>
      <c r="L16" s="582"/>
      <c r="M16" s="582"/>
      <c r="N16" s="582"/>
    </row>
    <row r="17" spans="1:15" ht="14.25">
      <c r="A17" s="241" t="s">
        <v>58</v>
      </c>
      <c r="B17" s="242"/>
      <c r="C17" s="420"/>
      <c r="D17" s="221"/>
      <c r="E17" s="499">
        <f>$C17*E15</f>
        <v>0</v>
      </c>
      <c r="F17" s="233"/>
      <c r="H17" s="226" t="s">
        <v>150</v>
      </c>
      <c r="I17" s="581"/>
      <c r="J17" s="582"/>
      <c r="K17" s="582"/>
      <c r="L17" s="582"/>
      <c r="M17" s="582"/>
      <c r="N17" s="582"/>
    </row>
    <row r="18" spans="1:15" ht="14.25">
      <c r="A18" s="241" t="s">
        <v>90</v>
      </c>
      <c r="B18" s="242"/>
      <c r="C18" s="420"/>
      <c r="D18" s="221"/>
      <c r="E18" s="500">
        <f>$C18*E15</f>
        <v>0</v>
      </c>
      <c r="F18" s="233"/>
      <c r="H18" s="226" t="s">
        <v>151</v>
      </c>
      <c r="I18" s="581"/>
      <c r="J18" s="582"/>
      <c r="K18" s="582"/>
      <c r="L18" s="582"/>
      <c r="M18" s="582"/>
      <c r="N18" s="582"/>
    </row>
    <row r="19" spans="1:15" ht="14.25">
      <c r="A19" s="380" t="s">
        <v>54</v>
      </c>
      <c r="B19" s="243"/>
      <c r="C19" s="238"/>
      <c r="D19" s="221"/>
      <c r="E19" s="497">
        <f>SUM(E15:E18)</f>
        <v>0</v>
      </c>
      <c r="F19" s="244">
        <f>IF(E19=0,0,E19/E$47)</f>
        <v>0</v>
      </c>
      <c r="H19" s="226" t="s">
        <v>152</v>
      </c>
      <c r="I19" s="581"/>
      <c r="J19" s="582"/>
      <c r="K19" s="582"/>
      <c r="L19" s="582"/>
      <c r="M19" s="582"/>
      <c r="N19" s="582"/>
    </row>
    <row r="20" spans="1:15" ht="14.25">
      <c r="A20" s="236"/>
      <c r="B20" s="239"/>
      <c r="C20" s="240"/>
      <c r="D20" s="221"/>
      <c r="E20" s="498"/>
      <c r="F20" s="233"/>
    </row>
    <row r="21" spans="1:15" ht="14.25">
      <c r="A21" s="387" t="s">
        <v>59</v>
      </c>
      <c r="B21" s="242"/>
      <c r="C21" s="240"/>
      <c r="D21" s="246"/>
      <c r="E21" s="501">
        <f>E19*0.96</f>
        <v>0</v>
      </c>
      <c r="F21" s="247"/>
      <c r="G21" s="160"/>
      <c r="H21" s="276" t="s">
        <v>153</v>
      </c>
      <c r="I21" s="614" t="s">
        <v>156</v>
      </c>
      <c r="J21" s="615"/>
      <c r="K21" s="615"/>
      <c r="L21" s="615"/>
      <c r="M21" s="615"/>
      <c r="N21" s="616"/>
    </row>
    <row r="22" spans="1:15" s="160" customFormat="1" ht="14.25">
      <c r="A22" s="241" t="s">
        <v>71</v>
      </c>
      <c r="B22" s="242"/>
      <c r="C22" s="248" t="s">
        <v>46</v>
      </c>
      <c r="D22" s="221"/>
      <c r="E22" s="499" t="e">
        <f>E21*'5-Premies en opslagen'!$C24</f>
        <v>#DIV/0!</v>
      </c>
      <c r="F22" s="233"/>
      <c r="G22" s="3"/>
      <c r="H22" s="226"/>
      <c r="I22" s="230">
        <v>1</v>
      </c>
      <c r="J22" s="230">
        <v>2</v>
      </c>
      <c r="K22" s="230">
        <v>3</v>
      </c>
      <c r="L22" s="230">
        <v>4</v>
      </c>
      <c r="M22" s="230">
        <v>5</v>
      </c>
      <c r="N22" s="230">
        <v>6</v>
      </c>
    </row>
    <row r="23" spans="1:15" ht="14.25" customHeight="1">
      <c r="A23" s="380" t="s">
        <v>68</v>
      </c>
      <c r="B23" s="277"/>
      <c r="C23" s="238"/>
      <c r="D23" s="221"/>
      <c r="E23" s="497" t="e">
        <f>E22+E19</f>
        <v>#DIV/0!</v>
      </c>
      <c r="F23" s="244" t="e">
        <f>IF(E23=0,0,E23/E$47)</f>
        <v>#DIV/0!</v>
      </c>
      <c r="H23" s="226" t="s">
        <v>154</v>
      </c>
      <c r="I23" s="422"/>
      <c r="J23" s="422"/>
      <c r="K23" s="422"/>
      <c r="L23" s="422"/>
      <c r="M23" s="422"/>
      <c r="N23" s="422"/>
    </row>
    <row r="24" spans="1:15" ht="12.75" customHeight="1">
      <c r="A24" s="236"/>
      <c r="B24" s="243"/>
      <c r="C24" s="238"/>
      <c r="D24" s="221"/>
      <c r="E24" s="494"/>
      <c r="F24" s="233"/>
      <c r="H24" s="226" t="s">
        <v>146</v>
      </c>
      <c r="I24" s="422"/>
      <c r="J24" s="422"/>
      <c r="K24" s="422"/>
      <c r="L24" s="422"/>
      <c r="M24" s="422"/>
      <c r="N24" s="422"/>
    </row>
    <row r="25" spans="1:15" ht="12.75" customHeight="1">
      <c r="A25" s="241" t="s">
        <v>36</v>
      </c>
      <c r="B25" s="242"/>
      <c r="C25" s="248" t="s">
        <v>46</v>
      </c>
      <c r="D25" s="221"/>
      <c r="E25" s="499" t="e">
        <f>E23*'5-Premies en opslagen'!$B53</f>
        <v>#DIV/0!</v>
      </c>
      <c r="F25" s="233"/>
      <c r="H25" s="226" t="s">
        <v>147</v>
      </c>
      <c r="I25" s="422"/>
      <c r="J25" s="422"/>
      <c r="K25" s="422"/>
      <c r="L25" s="422"/>
      <c r="M25" s="422"/>
      <c r="N25" s="422"/>
    </row>
    <row r="26" spans="1:15" ht="14.25">
      <c r="A26" s="380" t="s">
        <v>78</v>
      </c>
      <c r="B26" s="243"/>
      <c r="C26" s="238"/>
      <c r="D26" s="221"/>
      <c r="E26" s="497" t="e">
        <f>SUM(E23:E25)</f>
        <v>#DIV/0!</v>
      </c>
      <c r="F26" s="244" t="e">
        <f>IF(E26=0,0,E26/E$47)</f>
        <v>#DIV/0!</v>
      </c>
      <c r="H26" s="226" t="s">
        <v>148</v>
      </c>
      <c r="I26" s="422"/>
      <c r="J26" s="422"/>
      <c r="K26" s="422"/>
      <c r="L26" s="422"/>
      <c r="M26" s="422"/>
      <c r="N26" s="422"/>
    </row>
    <row r="27" spans="1:15" ht="14.25">
      <c r="A27" s="236"/>
      <c r="B27" s="243"/>
      <c r="C27" s="238"/>
      <c r="D27" s="221"/>
      <c r="E27" s="494"/>
      <c r="F27" s="233"/>
      <c r="H27" s="226" t="s">
        <v>149</v>
      </c>
      <c r="I27" s="422"/>
      <c r="J27" s="422"/>
      <c r="K27" s="422"/>
      <c r="L27" s="422"/>
      <c r="M27" s="422"/>
      <c r="N27" s="422"/>
    </row>
    <row r="28" spans="1:15" ht="14.25">
      <c r="A28" s="236" t="s">
        <v>60</v>
      </c>
      <c r="B28" s="249"/>
      <c r="C28" s="235" t="s">
        <v>67</v>
      </c>
      <c r="D28" s="221"/>
      <c r="E28" s="496"/>
      <c r="F28" s="233">
        <v>0</v>
      </c>
      <c r="H28" s="226" t="s">
        <v>150</v>
      </c>
      <c r="I28" s="422"/>
      <c r="J28" s="422"/>
      <c r="K28" s="422"/>
      <c r="L28" s="422"/>
      <c r="M28" s="422"/>
      <c r="N28" s="422"/>
    </row>
    <row r="29" spans="1:15" ht="14.25">
      <c r="A29" s="236" t="s">
        <v>65</v>
      </c>
      <c r="B29" s="250"/>
      <c r="C29" s="235" t="s">
        <v>67</v>
      </c>
      <c r="D29" s="221"/>
      <c r="E29" s="496"/>
      <c r="F29" s="233">
        <v>0</v>
      </c>
      <c r="H29" s="226" t="s">
        <v>151</v>
      </c>
      <c r="I29" s="422">
        <v>0</v>
      </c>
      <c r="J29" s="422"/>
      <c r="K29" s="422"/>
      <c r="L29" s="422"/>
      <c r="M29" s="422"/>
      <c r="N29" s="422"/>
    </row>
    <row r="30" spans="1:15" ht="14.25">
      <c r="A30" s="236" t="s">
        <v>66</v>
      </c>
      <c r="B30" s="243"/>
      <c r="C30" s="238" t="s">
        <v>62</v>
      </c>
      <c r="D30" s="221"/>
      <c r="E30" s="502" t="s">
        <v>18</v>
      </c>
      <c r="F30" s="233"/>
      <c r="H30" s="226" t="s">
        <v>152</v>
      </c>
      <c r="I30" s="422"/>
      <c r="J30" s="422"/>
      <c r="K30" s="422"/>
      <c r="L30" s="422"/>
      <c r="M30" s="422"/>
      <c r="N30" s="422"/>
    </row>
    <row r="31" spans="1:15" ht="12.75" customHeight="1">
      <c r="A31" s="421"/>
      <c r="B31" s="472"/>
      <c r="C31" s="473" t="s">
        <v>62</v>
      </c>
      <c r="D31" s="221"/>
      <c r="E31" s="496"/>
      <c r="F31" s="233"/>
      <c r="H31" s="252" t="s">
        <v>155</v>
      </c>
      <c r="I31" s="447">
        <f t="shared" ref="I31:N31" si="0">SUM(I23:I30)</f>
        <v>0</v>
      </c>
      <c r="J31" s="447">
        <f t="shared" si="0"/>
        <v>0</v>
      </c>
      <c r="K31" s="447">
        <f t="shared" si="0"/>
        <v>0</v>
      </c>
      <c r="L31" s="447">
        <f t="shared" si="0"/>
        <v>0</v>
      </c>
      <c r="M31" s="447">
        <f t="shared" si="0"/>
        <v>0</v>
      </c>
      <c r="N31" s="447">
        <f t="shared" si="0"/>
        <v>0</v>
      </c>
      <c r="O31" s="278">
        <f>SUM(I31:N31)</f>
        <v>0</v>
      </c>
    </row>
    <row r="32" spans="1:15" ht="12.75" customHeight="1">
      <c r="A32" s="380" t="s">
        <v>56</v>
      </c>
      <c r="B32" s="243"/>
      <c r="C32" s="238"/>
      <c r="D32" s="221"/>
      <c r="E32" s="497" t="e">
        <f>SUM(E26:E31)</f>
        <v>#DIV/0!</v>
      </c>
      <c r="F32" s="244" t="e">
        <f>IF(E32=0,0,E32/E$47)</f>
        <v>#DIV/0!</v>
      </c>
      <c r="H32" s="160"/>
      <c r="I32" s="160"/>
      <c r="J32" s="160"/>
      <c r="K32" s="160"/>
      <c r="L32" s="160"/>
      <c r="M32" s="160"/>
      <c r="N32" s="160"/>
    </row>
    <row r="33" spans="1:15" ht="12.75" customHeight="1">
      <c r="A33" s="236"/>
      <c r="B33" s="243"/>
      <c r="C33" s="238"/>
      <c r="D33" s="221"/>
      <c r="E33" s="494"/>
      <c r="F33" s="233"/>
      <c r="H33" s="456" t="s">
        <v>153</v>
      </c>
      <c r="I33" s="611" t="s">
        <v>157</v>
      </c>
      <c r="J33" s="611"/>
      <c r="K33" s="611"/>
      <c r="L33" s="611"/>
      <c r="M33" s="611"/>
      <c r="N33" s="611"/>
    </row>
    <row r="34" spans="1:15" ht="12.75" customHeight="1">
      <c r="A34" s="236" t="s">
        <v>80</v>
      </c>
      <c r="B34" s="243"/>
      <c r="C34" s="251"/>
      <c r="D34" s="221"/>
      <c r="E34" s="496"/>
      <c r="F34" s="487" t="e">
        <f t="shared" ref="F34:F42" si="1">E34/$E$47</f>
        <v>#DIV/0!</v>
      </c>
      <c r="H34" s="457"/>
      <c r="I34" s="458">
        <v>1</v>
      </c>
      <c r="J34" s="458">
        <v>2</v>
      </c>
      <c r="K34" s="458">
        <v>3</v>
      </c>
      <c r="L34" s="458">
        <v>4</v>
      </c>
      <c r="M34" s="458">
        <v>5</v>
      </c>
      <c r="N34" s="458">
        <v>6</v>
      </c>
    </row>
    <row r="35" spans="1:15" ht="12.75" customHeight="1">
      <c r="A35" s="236" t="s">
        <v>35</v>
      </c>
      <c r="B35" s="243"/>
      <c r="C35" s="251"/>
      <c r="D35" s="221"/>
      <c r="E35" s="496"/>
      <c r="F35" s="487" t="e">
        <f t="shared" si="1"/>
        <v>#DIV/0!</v>
      </c>
      <c r="H35" s="457" t="s">
        <v>154</v>
      </c>
      <c r="I35" s="459">
        <f t="shared" ref="I35:N42" si="2">I23*I12</f>
        <v>0</v>
      </c>
      <c r="J35" s="459">
        <f t="shared" si="2"/>
        <v>0</v>
      </c>
      <c r="K35" s="459">
        <f t="shared" si="2"/>
        <v>0</v>
      </c>
      <c r="L35" s="459">
        <f t="shared" si="2"/>
        <v>0</v>
      </c>
      <c r="M35" s="459">
        <f t="shared" si="2"/>
        <v>0</v>
      </c>
      <c r="N35" s="460">
        <f t="shared" si="2"/>
        <v>0</v>
      </c>
    </row>
    <row r="36" spans="1:15" ht="14.25" customHeight="1">
      <c r="A36" s="236" t="s">
        <v>25</v>
      </c>
      <c r="B36" s="243"/>
      <c r="C36" s="251"/>
      <c r="D36" s="221"/>
      <c r="E36" s="496"/>
      <c r="F36" s="487" t="e">
        <f t="shared" si="1"/>
        <v>#DIV/0!</v>
      </c>
      <c r="H36" s="457" t="s">
        <v>146</v>
      </c>
      <c r="I36" s="459">
        <f t="shared" si="2"/>
        <v>0</v>
      </c>
      <c r="J36" s="459">
        <f t="shared" si="2"/>
        <v>0</v>
      </c>
      <c r="K36" s="459">
        <f t="shared" si="2"/>
        <v>0</v>
      </c>
      <c r="L36" s="459">
        <f t="shared" si="2"/>
        <v>0</v>
      </c>
      <c r="M36" s="459">
        <f t="shared" si="2"/>
        <v>0</v>
      </c>
      <c r="N36" s="460">
        <f t="shared" si="2"/>
        <v>0</v>
      </c>
    </row>
    <row r="37" spans="1:15" ht="14.25">
      <c r="A37" s="236" t="s">
        <v>2</v>
      </c>
      <c r="B37" s="243"/>
      <c r="C37" s="253"/>
      <c r="D37" s="221"/>
      <c r="E37" s="496"/>
      <c r="F37" s="487" t="e">
        <f t="shared" si="1"/>
        <v>#DIV/0!</v>
      </c>
      <c r="H37" s="457" t="s">
        <v>147</v>
      </c>
      <c r="I37" s="459">
        <f t="shared" si="2"/>
        <v>0</v>
      </c>
      <c r="J37" s="459">
        <f t="shared" si="2"/>
        <v>0</v>
      </c>
      <c r="K37" s="459">
        <f t="shared" si="2"/>
        <v>0</v>
      </c>
      <c r="L37" s="459">
        <f t="shared" si="2"/>
        <v>0</v>
      </c>
      <c r="M37" s="459">
        <f t="shared" si="2"/>
        <v>0</v>
      </c>
      <c r="N37" s="460">
        <f t="shared" si="2"/>
        <v>0</v>
      </c>
      <c r="O37" s="160"/>
    </row>
    <row r="38" spans="1:15" ht="14.25">
      <c r="A38" s="236" t="s">
        <v>33</v>
      </c>
      <c r="B38" s="243"/>
      <c r="C38" s="251"/>
      <c r="D38" s="221"/>
      <c r="E38" s="496"/>
      <c r="F38" s="487"/>
      <c r="H38" s="457" t="s">
        <v>148</v>
      </c>
      <c r="I38" s="459">
        <f t="shared" si="2"/>
        <v>0</v>
      </c>
      <c r="J38" s="459">
        <f t="shared" si="2"/>
        <v>0</v>
      </c>
      <c r="K38" s="459">
        <f t="shared" si="2"/>
        <v>0</v>
      </c>
      <c r="L38" s="459">
        <f t="shared" si="2"/>
        <v>0</v>
      </c>
      <c r="M38" s="459">
        <f t="shared" si="2"/>
        <v>0</v>
      </c>
      <c r="N38" s="460">
        <f t="shared" si="2"/>
        <v>0</v>
      </c>
      <c r="O38" s="160"/>
    </row>
    <row r="39" spans="1:15" ht="14.25">
      <c r="A39" s="236" t="s">
        <v>30</v>
      </c>
      <c r="B39" s="243"/>
      <c r="C39" s="253"/>
      <c r="D39" s="221"/>
      <c r="E39" s="496"/>
      <c r="F39" s="487" t="e">
        <f t="shared" si="1"/>
        <v>#DIV/0!</v>
      </c>
      <c r="H39" s="457" t="s">
        <v>149</v>
      </c>
      <c r="I39" s="459">
        <f t="shared" si="2"/>
        <v>0</v>
      </c>
      <c r="J39" s="459">
        <f t="shared" si="2"/>
        <v>0</v>
      </c>
      <c r="K39" s="459">
        <f t="shared" si="2"/>
        <v>0</v>
      </c>
      <c r="L39" s="459">
        <f t="shared" si="2"/>
        <v>0</v>
      </c>
      <c r="M39" s="459">
        <f t="shared" si="2"/>
        <v>0</v>
      </c>
      <c r="N39" s="460">
        <f t="shared" si="2"/>
        <v>0</v>
      </c>
      <c r="O39" s="160"/>
    </row>
    <row r="40" spans="1:15" ht="14.25">
      <c r="A40" s="236" t="s">
        <v>72</v>
      </c>
      <c r="B40" s="243"/>
      <c r="C40" s="235" t="s">
        <v>67</v>
      </c>
      <c r="D40" s="221"/>
      <c r="E40" s="496"/>
      <c r="F40" s="487" t="e">
        <f t="shared" si="1"/>
        <v>#DIV/0!</v>
      </c>
      <c r="H40" s="457" t="s">
        <v>150</v>
      </c>
      <c r="I40" s="459">
        <f t="shared" si="2"/>
        <v>0</v>
      </c>
      <c r="J40" s="459">
        <f t="shared" si="2"/>
        <v>0</v>
      </c>
      <c r="K40" s="459">
        <f t="shared" si="2"/>
        <v>0</v>
      </c>
      <c r="L40" s="459">
        <f t="shared" si="2"/>
        <v>0</v>
      </c>
      <c r="M40" s="459">
        <f t="shared" si="2"/>
        <v>0</v>
      </c>
      <c r="N40" s="460">
        <f t="shared" si="2"/>
        <v>0</v>
      </c>
      <c r="O40" s="160"/>
    </row>
    <row r="41" spans="1:15" ht="14.25">
      <c r="A41" s="236" t="s">
        <v>89</v>
      </c>
      <c r="B41" s="243"/>
      <c r="C41" s="235"/>
      <c r="D41" s="221"/>
      <c r="E41" s="496"/>
      <c r="F41" s="487" t="e">
        <f t="shared" si="1"/>
        <v>#DIV/0!</v>
      </c>
      <c r="H41" s="457" t="s">
        <v>151</v>
      </c>
      <c r="I41" s="459">
        <f t="shared" si="2"/>
        <v>0</v>
      </c>
      <c r="J41" s="459">
        <f t="shared" si="2"/>
        <v>0</v>
      </c>
      <c r="K41" s="459">
        <f t="shared" si="2"/>
        <v>0</v>
      </c>
      <c r="L41" s="459">
        <f t="shared" si="2"/>
        <v>0</v>
      </c>
      <c r="M41" s="459">
        <f t="shared" si="2"/>
        <v>0</v>
      </c>
      <c r="N41" s="460">
        <f t="shared" si="2"/>
        <v>0</v>
      </c>
      <c r="O41" s="160"/>
    </row>
    <row r="42" spans="1:15" ht="14.25">
      <c r="A42" s="421"/>
      <c r="B42" s="472"/>
      <c r="C42" s="474"/>
      <c r="D42" s="221"/>
      <c r="E42" s="496"/>
      <c r="F42" s="233" t="e">
        <f t="shared" si="1"/>
        <v>#DIV/0!</v>
      </c>
      <c r="H42" s="457" t="s">
        <v>152</v>
      </c>
      <c r="I42" s="459">
        <f t="shared" si="2"/>
        <v>0</v>
      </c>
      <c r="J42" s="459">
        <f t="shared" si="2"/>
        <v>0</v>
      </c>
      <c r="K42" s="459">
        <f t="shared" si="2"/>
        <v>0</v>
      </c>
      <c r="L42" s="459">
        <f t="shared" si="2"/>
        <v>0</v>
      </c>
      <c r="M42" s="459">
        <f t="shared" si="2"/>
        <v>0</v>
      </c>
      <c r="N42" s="460">
        <f t="shared" si="2"/>
        <v>0</v>
      </c>
      <c r="O42" s="160"/>
    </row>
    <row r="43" spans="1:15" ht="14.25">
      <c r="A43" s="380" t="s">
        <v>73</v>
      </c>
      <c r="B43" s="243"/>
      <c r="C43" s="238"/>
      <c r="D43" s="221"/>
      <c r="E43" s="497" t="e">
        <f>SUM(E32:E42)</f>
        <v>#DIV/0!</v>
      </c>
      <c r="F43" s="244" t="e">
        <f>IF(E43=0,0,E43/E$47)</f>
        <v>#DIV/0!</v>
      </c>
      <c r="H43" s="461" t="s">
        <v>155</v>
      </c>
      <c r="I43" s="462">
        <f t="shared" ref="I43:N43" si="3">SUM(I35:I42)</f>
        <v>0</v>
      </c>
      <c r="J43" s="462">
        <f t="shared" si="3"/>
        <v>0</v>
      </c>
      <c r="K43" s="462">
        <f t="shared" si="3"/>
        <v>0</v>
      </c>
      <c r="L43" s="462">
        <f t="shared" si="3"/>
        <v>0</v>
      </c>
      <c r="M43" s="462">
        <f t="shared" si="3"/>
        <v>0</v>
      </c>
      <c r="N43" s="462">
        <f t="shared" si="3"/>
        <v>0</v>
      </c>
      <c r="O43" s="160"/>
    </row>
    <row r="44" spans="1:15" ht="14.25">
      <c r="A44" s="236"/>
      <c r="B44" s="243"/>
      <c r="C44" s="238"/>
      <c r="D44" s="221"/>
      <c r="E44" s="494"/>
      <c r="F44" s="254"/>
      <c r="H44" s="160"/>
      <c r="I44" s="160"/>
      <c r="J44" s="160"/>
      <c r="K44" s="160"/>
      <c r="L44" s="160"/>
      <c r="M44" s="160"/>
      <c r="N44" s="160"/>
      <c r="O44" s="160"/>
    </row>
    <row r="45" spans="1:15" ht="14.25">
      <c r="A45" s="236" t="s">
        <v>74</v>
      </c>
      <c r="B45" s="243"/>
      <c r="C45" s="253"/>
      <c r="D45" s="221"/>
      <c r="E45" s="496"/>
      <c r="F45" s="244">
        <f>(IF(E45=0,0,E45/E$47))</f>
        <v>0</v>
      </c>
      <c r="H45" s="160"/>
      <c r="I45" s="160"/>
      <c r="J45" s="160"/>
      <c r="K45" s="160"/>
      <c r="L45" s="160"/>
      <c r="M45" s="160"/>
      <c r="N45" s="160"/>
      <c r="O45" s="160"/>
    </row>
    <row r="46" spans="1:15" ht="14.25">
      <c r="A46" s="236"/>
      <c r="B46" s="237"/>
      <c r="C46" s="238"/>
      <c r="D46" s="221"/>
      <c r="E46" s="494"/>
      <c r="F46" s="233"/>
      <c r="H46" s="160"/>
      <c r="I46" s="160"/>
      <c r="J46" s="160"/>
      <c r="K46" s="160"/>
      <c r="L46" s="160"/>
      <c r="M46" s="160"/>
      <c r="N46" s="160"/>
      <c r="O46" s="160"/>
    </row>
    <row r="47" spans="1:15" ht="14.25">
      <c r="A47" s="380" t="s">
        <v>47</v>
      </c>
      <c r="B47" s="385"/>
      <c r="C47" s="255"/>
      <c r="D47" s="221"/>
      <c r="E47" s="384" t="e">
        <f>SUM(E43:E46)</f>
        <v>#DIV/0!</v>
      </c>
      <c r="F47" s="386" t="e">
        <f>SUM(F43:F46)</f>
        <v>#DIV/0!</v>
      </c>
      <c r="H47" s="160"/>
      <c r="I47" s="160"/>
      <c r="J47" s="160"/>
      <c r="K47" s="160"/>
      <c r="L47" s="160"/>
      <c r="M47" s="160"/>
      <c r="N47" s="160"/>
      <c r="O47" s="160"/>
    </row>
    <row r="48" spans="1:15" ht="14.25">
      <c r="B48" s="256"/>
      <c r="C48" s="257"/>
      <c r="D48" s="221"/>
      <c r="F48" s="258"/>
      <c r="H48" s="160"/>
      <c r="I48" s="160"/>
      <c r="J48" s="160"/>
      <c r="K48" s="160"/>
      <c r="L48" s="160"/>
      <c r="M48" s="160"/>
      <c r="N48" s="160"/>
      <c r="O48" s="160"/>
    </row>
    <row r="49" spans="1:15" ht="14.25">
      <c r="A49" s="259" t="s">
        <v>237</v>
      </c>
      <c r="B49" s="260"/>
      <c r="C49" s="261"/>
      <c r="D49" s="160"/>
      <c r="E49" s="503" t="e">
        <f>(E$26*1.3)+($E$47-$E$26)</f>
        <v>#DIV/0!</v>
      </c>
      <c r="F49" s="262"/>
      <c r="G49" s="160"/>
      <c r="H49" s="160"/>
      <c r="I49" s="160"/>
      <c r="J49" s="160"/>
      <c r="K49" s="160"/>
      <c r="L49" s="160"/>
      <c r="M49" s="160"/>
      <c r="N49" s="160"/>
      <c r="O49" s="160"/>
    </row>
    <row r="50" spans="1:15" s="160" customFormat="1" ht="14.25">
      <c r="B50" s="263"/>
      <c r="C50" s="264"/>
    </row>
    <row r="51" spans="1:15" s="160" customFormat="1" ht="14.25">
      <c r="A51" s="259" t="s">
        <v>52</v>
      </c>
      <c r="B51" s="260"/>
      <c r="C51" s="261"/>
      <c r="E51" s="503" t="e">
        <f>(E$26*1.5)+($E$47-$E$26)</f>
        <v>#DIV/0!</v>
      </c>
      <c r="F51" s="262"/>
    </row>
    <row r="52" spans="1:15" s="160" customFormat="1" ht="14.25">
      <c r="B52" s="263"/>
      <c r="C52" s="264"/>
    </row>
    <row r="53" spans="1:15" s="160" customFormat="1" ht="14.25">
      <c r="A53" s="259" t="s">
        <v>85</v>
      </c>
      <c r="B53" s="260"/>
      <c r="C53" s="261"/>
      <c r="E53" s="503" t="e">
        <f>(E$26*2.5)+($E$47-$E$26)</f>
        <v>#DIV/0!</v>
      </c>
    </row>
    <row r="54" spans="1:15" s="160" customFormat="1" ht="14.25">
      <c r="B54" s="263"/>
      <c r="C54" s="265"/>
      <c r="F54" s="266"/>
    </row>
    <row r="55" spans="1:15" s="160" customFormat="1" ht="14.25">
      <c r="B55" s="263"/>
      <c r="C55" s="265"/>
      <c r="F55" s="266"/>
    </row>
    <row r="56" spans="1:15" s="160" customFormat="1">
      <c r="C56" s="267"/>
      <c r="F56" s="266"/>
    </row>
    <row r="57" spans="1:15" s="160" customFormat="1">
      <c r="C57" s="267"/>
      <c r="F57" s="266"/>
    </row>
    <row r="58" spans="1:15" s="160" customFormat="1">
      <c r="A58" s="3"/>
      <c r="C58" s="267"/>
      <c r="F58" s="266"/>
      <c r="H58" s="3"/>
      <c r="I58" s="3"/>
      <c r="J58" s="3"/>
      <c r="K58" s="3"/>
      <c r="L58" s="3"/>
      <c r="M58" s="3"/>
      <c r="N58" s="3"/>
    </row>
    <row r="59" spans="1:15" s="160" customFormat="1">
      <c r="C59" s="267"/>
      <c r="F59" s="266"/>
      <c r="H59" s="3"/>
      <c r="I59" s="3"/>
      <c r="J59" s="3"/>
      <c r="K59" s="3"/>
      <c r="L59" s="3"/>
      <c r="M59" s="3"/>
      <c r="N59" s="3"/>
    </row>
    <row r="60" spans="1:15" s="160" customFormat="1">
      <c r="C60" s="267"/>
      <c r="F60" s="266"/>
      <c r="H60" s="3"/>
      <c r="I60" s="3"/>
      <c r="J60" s="3"/>
      <c r="K60" s="3"/>
      <c r="L60" s="3"/>
      <c r="M60" s="3"/>
      <c r="N60" s="3"/>
    </row>
    <row r="61" spans="1:15" s="160" customFormat="1">
      <c r="C61" s="267"/>
      <c r="F61" s="266"/>
      <c r="H61" s="3"/>
      <c r="I61" s="3"/>
      <c r="J61" s="3"/>
      <c r="K61" s="3"/>
      <c r="L61" s="3"/>
      <c r="M61" s="3"/>
      <c r="N61" s="3"/>
    </row>
    <row r="62" spans="1:15" s="160" customFormat="1">
      <c r="C62" s="267"/>
      <c r="F62" s="266"/>
      <c r="H62" s="3"/>
      <c r="I62" s="3"/>
      <c r="J62" s="3"/>
      <c r="K62" s="3"/>
      <c r="L62" s="3"/>
      <c r="M62" s="3"/>
      <c r="N62" s="3"/>
    </row>
    <row r="63" spans="1:15" s="160" customFormat="1">
      <c r="C63" s="267"/>
      <c r="F63" s="266"/>
      <c r="H63" s="3"/>
      <c r="I63" s="3"/>
      <c r="J63" s="3"/>
      <c r="K63" s="3"/>
      <c r="L63" s="3"/>
      <c r="M63" s="3"/>
      <c r="N63" s="3"/>
    </row>
    <row r="64" spans="1:15" s="160" customFormat="1">
      <c r="C64" s="267"/>
      <c r="F64" s="266"/>
      <c r="H64" s="3"/>
      <c r="I64" s="3"/>
      <c r="J64" s="3"/>
      <c r="K64" s="3"/>
      <c r="L64" s="3"/>
      <c r="M64" s="3"/>
      <c r="N64" s="3"/>
    </row>
    <row r="65" spans="1:14" s="160" customFormat="1">
      <c r="C65" s="267"/>
      <c r="E65" s="3"/>
      <c r="F65" s="266"/>
      <c r="H65" s="3"/>
      <c r="I65" s="3"/>
      <c r="J65" s="3"/>
      <c r="K65" s="3"/>
      <c r="L65" s="3"/>
      <c r="M65" s="3"/>
      <c r="N65" s="3"/>
    </row>
    <row r="66" spans="1:14" s="160" customFormat="1">
      <c r="A66" s="3"/>
      <c r="B66" s="3"/>
      <c r="C66" s="3"/>
      <c r="D66" s="3"/>
      <c r="E66" s="3"/>
      <c r="F66" s="3"/>
      <c r="G66" s="3"/>
      <c r="H66" s="3"/>
      <c r="I66" s="3"/>
      <c r="J66" s="3"/>
      <c r="K66" s="3"/>
      <c r="L66" s="3"/>
      <c r="M66" s="3"/>
      <c r="N66" s="3"/>
    </row>
  </sheetData>
  <dataConsolidate/>
  <mergeCells count="7">
    <mergeCell ref="I33:N33"/>
    <mergeCell ref="H1:N2"/>
    <mergeCell ref="H3:N3"/>
    <mergeCell ref="H4:N5"/>
    <mergeCell ref="E10:F10"/>
    <mergeCell ref="I10:N10"/>
    <mergeCell ref="I21:N21"/>
  </mergeCells>
  <conditionalFormatting sqref="O31">
    <cfRule type="cellIs" dxfId="13" priority="1" operator="greaterThan">
      <formula>1</formula>
    </cfRule>
    <cfRule type="cellIs" dxfId="12" priority="2" operator="between">
      <formula>0.999999</formula>
      <formula>0</formula>
    </cfRule>
    <cfRule type="cellIs" dxfId="11"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pageSetUpPr fitToPage="1"/>
  </sheetPr>
  <dimension ref="A1:O79"/>
  <sheetViews>
    <sheetView showGridLines="0" zoomScale="70" zoomScaleNormal="70" zoomScalePageLayoutView="50" workbookViewId="0">
      <pane ySplit="9" topLeftCell="A10" activePane="bottomLeft" state="frozen"/>
      <selection activeCell="A6" sqref="A6:F6"/>
      <selection pane="bottomLeft" activeCell="A10" sqref="A10"/>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85546875" style="3" customWidth="1"/>
    <col min="9" max="15" width="11.42578125" style="3"/>
    <col min="16" max="16" width="33" style="3" customWidth="1"/>
    <col min="17" max="16384" width="11.42578125" style="3"/>
  </cols>
  <sheetData>
    <row r="1" spans="1:15" ht="12.75" customHeight="1">
      <c r="A1" s="415" t="s">
        <v>27</v>
      </c>
      <c r="B1" s="39"/>
      <c r="C1" s="2"/>
      <c r="D1" s="2"/>
      <c r="E1" s="2"/>
      <c r="F1" s="2"/>
      <c r="H1" s="583"/>
      <c r="I1" s="583"/>
      <c r="J1" s="583"/>
      <c r="K1" s="583"/>
      <c r="L1" s="583"/>
      <c r="M1" s="583"/>
      <c r="N1" s="583"/>
    </row>
    <row r="2" spans="1:15">
      <c r="A2" s="212"/>
      <c r="B2" s="213"/>
      <c r="C2" s="214"/>
      <c r="D2" s="213"/>
      <c r="E2" s="215"/>
      <c r="F2" s="216"/>
      <c r="H2" s="583"/>
      <c r="I2" s="583"/>
      <c r="J2" s="583"/>
      <c r="K2" s="583"/>
      <c r="L2" s="583"/>
      <c r="M2" s="583"/>
      <c r="N2" s="583"/>
    </row>
    <row r="3" spans="1:15" ht="14.25" customHeight="1">
      <c r="A3" s="268" t="str">
        <f>'1-Contractblad totaal'!A3</f>
        <v>Naam opdrachtgever</v>
      </c>
      <c r="B3" s="269" t="str">
        <f>'1-Contractblad totaal'!B3</f>
        <v>Hoogheemraadschap De Stichtse Rijnlanden</v>
      </c>
      <c r="C3" s="270"/>
      <c r="D3" s="213"/>
      <c r="E3" s="492"/>
      <c r="F3" s="218"/>
      <c r="H3" s="583"/>
      <c r="I3" s="583"/>
      <c r="J3" s="583"/>
      <c r="K3" s="583"/>
      <c r="L3" s="583"/>
      <c r="M3" s="583"/>
      <c r="N3" s="583"/>
    </row>
    <row r="4" spans="1:15" ht="15.75" customHeight="1">
      <c r="A4" s="268" t="str">
        <f>'1-Contractblad totaal'!A4</f>
        <v>Calculatie onderdeel</v>
      </c>
      <c r="B4" s="271" t="str">
        <f ca="1">MID(CELL("bestandsnaam",$C$9),SEARCH("]",CELL("bestandsnaam",$C$9),1)+1,256)</f>
        <v>7-Opbouw uurtarief toezicht</v>
      </c>
      <c r="C4" s="272"/>
      <c r="D4" s="221"/>
      <c r="H4" s="583"/>
      <c r="I4" s="583"/>
      <c r="J4" s="583"/>
      <c r="K4" s="583"/>
      <c r="L4" s="583"/>
      <c r="M4" s="583"/>
      <c r="N4" s="583"/>
    </row>
    <row r="5" spans="1:15" ht="17.25">
      <c r="A5" s="268" t="str">
        <f>'1-Contractblad totaal'!A5</f>
        <v>Gebouw/plaats</v>
      </c>
      <c r="B5" s="269" t="str">
        <f>'1-Contractblad totaal'!B5</f>
        <v>Divers</v>
      </c>
      <c r="C5" s="272"/>
      <c r="D5" s="221"/>
      <c r="H5" s="583"/>
      <c r="I5" s="583"/>
      <c r="J5" s="583"/>
      <c r="K5" s="583"/>
      <c r="L5" s="583"/>
      <c r="M5" s="583"/>
      <c r="N5" s="583"/>
    </row>
    <row r="6" spans="1:15" ht="17.25">
      <c r="A6" s="268" t="str">
        <f>'1-Contractblad totaal'!A6</f>
        <v>Referentie nummer</v>
      </c>
      <c r="B6" s="269" t="str">
        <f>'1-Contractblad totaal'!B6</f>
        <v>Invoer</v>
      </c>
      <c r="C6" s="272"/>
      <c r="D6" s="221"/>
      <c r="H6" s="222"/>
      <c r="I6" s="222"/>
      <c r="J6" s="222"/>
      <c r="K6" s="222"/>
      <c r="L6" s="222"/>
      <c r="M6" s="222"/>
      <c r="N6" s="222"/>
    </row>
    <row r="7" spans="1:15" ht="17.25">
      <c r="A7" s="268" t="str">
        <f>'1-Contractblad totaal'!A8</f>
        <v>Naam dienstverlener</v>
      </c>
      <c r="B7" s="269">
        <f>'1-Contractblad totaal'!B8</f>
        <v>0</v>
      </c>
      <c r="C7" s="272"/>
      <c r="D7" s="221"/>
      <c r="H7" s="222"/>
      <c r="I7" s="222"/>
      <c r="J7" s="222"/>
      <c r="K7" s="222"/>
      <c r="L7" s="222"/>
      <c r="M7" s="222"/>
      <c r="N7" s="222"/>
      <c r="O7" s="225"/>
    </row>
    <row r="8" spans="1:15" ht="15.75">
      <c r="A8" s="268" t="str">
        <f>'1-Contractblad totaal'!A9</f>
        <v>Prijspeil</v>
      </c>
      <c r="B8" s="109">
        <f>'1-Contractblad totaal'!B9</f>
        <v>45017</v>
      </c>
      <c r="C8" s="272"/>
      <c r="D8" s="221"/>
      <c r="I8" s="222"/>
      <c r="J8" s="222"/>
      <c r="K8" s="222"/>
      <c r="L8" s="222"/>
      <c r="M8" s="222"/>
      <c r="N8" s="222"/>
    </row>
    <row r="9" spans="1:15" ht="17.25">
      <c r="A9" s="217"/>
      <c r="B9" s="219"/>
      <c r="C9" s="220"/>
      <c r="D9" s="221"/>
      <c r="E9" s="493"/>
      <c r="F9" s="223"/>
    </row>
    <row r="10" spans="1:15" s="225" customFormat="1" ht="30.75" customHeight="1">
      <c r="A10" s="273" t="s">
        <v>219</v>
      </c>
      <c r="B10" s="274"/>
      <c r="C10" s="275"/>
      <c r="D10" s="224"/>
      <c r="E10" s="612" t="s">
        <v>218</v>
      </c>
      <c r="F10" s="617"/>
      <c r="H10" s="276" t="s">
        <v>153</v>
      </c>
      <c r="I10" s="611" t="s">
        <v>349</v>
      </c>
      <c r="J10" s="611"/>
      <c r="K10" s="611"/>
      <c r="L10" s="611"/>
      <c r="M10" s="611"/>
      <c r="N10" s="611"/>
    </row>
    <row r="11" spans="1:15" ht="30" customHeight="1">
      <c r="A11" s="226"/>
      <c r="B11" s="227" t="s">
        <v>62</v>
      </c>
      <c r="C11" s="228" t="s">
        <v>62</v>
      </c>
      <c r="D11" s="221"/>
      <c r="E11" s="494"/>
      <c r="F11" s="229"/>
      <c r="H11" s="226"/>
      <c r="I11" s="489">
        <v>1</v>
      </c>
      <c r="J11" s="489">
        <v>2</v>
      </c>
      <c r="K11" s="489">
        <v>3</v>
      </c>
      <c r="L11" s="489">
        <v>4</v>
      </c>
      <c r="M11" s="489">
        <v>5</v>
      </c>
      <c r="N11" s="489">
        <v>6</v>
      </c>
    </row>
    <row r="12" spans="1:15" ht="12.75" customHeight="1">
      <c r="A12" s="226" t="s">
        <v>40</v>
      </c>
      <c r="B12" s="231"/>
      <c r="C12" s="232"/>
      <c r="D12" s="221"/>
      <c r="E12" s="495">
        <f>SUM(I34:N34)</f>
        <v>0</v>
      </c>
      <c r="F12" s="233"/>
      <c r="H12" s="446" t="s">
        <v>148</v>
      </c>
      <c r="I12" s="579"/>
      <c r="J12" s="580"/>
      <c r="K12" s="580"/>
      <c r="L12" s="580"/>
      <c r="M12" s="580"/>
      <c r="N12" s="580"/>
    </row>
    <row r="13" spans="1:15" ht="14.25">
      <c r="A13" s="226" t="s">
        <v>15</v>
      </c>
      <c r="B13" s="234"/>
      <c r="C13" s="235" t="s">
        <v>67</v>
      </c>
      <c r="D13" s="221"/>
      <c r="E13" s="496"/>
      <c r="F13" s="233"/>
      <c r="H13" s="446" t="s">
        <v>149</v>
      </c>
      <c r="I13" s="581"/>
      <c r="J13" s="582"/>
      <c r="K13" s="582"/>
      <c r="L13" s="582"/>
      <c r="M13" s="582"/>
      <c r="N13" s="582"/>
    </row>
    <row r="14" spans="1:15" ht="14.25">
      <c r="A14" s="236" t="s">
        <v>34</v>
      </c>
      <c r="B14" s="471"/>
      <c r="C14" s="238"/>
      <c r="D14" s="221"/>
      <c r="E14" s="496"/>
      <c r="F14" s="233"/>
      <c r="H14" s="446" t="s">
        <v>150</v>
      </c>
      <c r="I14" s="581"/>
      <c r="J14" s="582"/>
      <c r="K14" s="582"/>
      <c r="L14" s="582"/>
      <c r="M14" s="582"/>
      <c r="N14" s="582"/>
    </row>
    <row r="15" spans="1:15" ht="14.25">
      <c r="A15" s="380" t="s">
        <v>13</v>
      </c>
      <c r="B15" s="237"/>
      <c r="C15" s="238"/>
      <c r="D15" s="221"/>
      <c r="E15" s="497">
        <f>SUM(E12:E14)</f>
        <v>0</v>
      </c>
      <c r="F15" s="233"/>
      <c r="H15" s="446" t="s">
        <v>151</v>
      </c>
      <c r="I15" s="581"/>
      <c r="J15" s="582"/>
      <c r="K15" s="582"/>
      <c r="L15" s="582"/>
      <c r="M15" s="582"/>
      <c r="N15" s="582"/>
    </row>
    <row r="16" spans="1:15" ht="14.25">
      <c r="A16" s="236"/>
      <c r="B16" s="239"/>
      <c r="C16" s="240"/>
      <c r="D16" s="221"/>
      <c r="E16" s="498"/>
      <c r="F16" s="233"/>
      <c r="H16" s="446" t="s">
        <v>152</v>
      </c>
      <c r="I16" s="581"/>
      <c r="J16" s="582"/>
      <c r="K16" s="582"/>
      <c r="L16" s="582"/>
      <c r="M16" s="582"/>
      <c r="N16" s="582"/>
    </row>
    <row r="17" spans="1:15" ht="14.25">
      <c r="A17" s="241" t="s">
        <v>58</v>
      </c>
      <c r="B17" s="242"/>
      <c r="C17" s="420"/>
      <c r="D17" s="221"/>
      <c r="E17" s="499">
        <f>$C17*E15</f>
        <v>0</v>
      </c>
      <c r="F17" s="233"/>
      <c r="H17" s="444"/>
      <c r="I17" s="445"/>
      <c r="J17" s="445"/>
      <c r="K17" s="445"/>
      <c r="L17" s="445"/>
      <c r="M17" s="445"/>
      <c r="N17" s="445"/>
    </row>
    <row r="18" spans="1:15" ht="14.25">
      <c r="A18" s="241" t="s">
        <v>90</v>
      </c>
      <c r="B18" s="242"/>
      <c r="C18" s="420"/>
      <c r="D18" s="221"/>
      <c r="E18" s="500">
        <f>$C18*E15</f>
        <v>0</v>
      </c>
      <c r="F18" s="233"/>
      <c r="H18" s="276" t="s">
        <v>153</v>
      </c>
      <c r="I18" s="614" t="s">
        <v>156</v>
      </c>
      <c r="J18" s="615"/>
      <c r="K18" s="615"/>
      <c r="L18" s="615"/>
      <c r="M18" s="615"/>
      <c r="N18" s="616"/>
    </row>
    <row r="19" spans="1:15" ht="14.25">
      <c r="A19" s="380" t="s">
        <v>54</v>
      </c>
      <c r="B19" s="243"/>
      <c r="C19" s="238"/>
      <c r="D19" s="221"/>
      <c r="E19" s="497">
        <f>SUM(E15:E18)</f>
        <v>0</v>
      </c>
      <c r="F19" s="244">
        <f>IF(E19=0,0,E19/E$47)</f>
        <v>0</v>
      </c>
      <c r="H19" s="226"/>
      <c r="I19" s="230">
        <v>1</v>
      </c>
      <c r="J19" s="230">
        <v>2</v>
      </c>
      <c r="K19" s="230">
        <v>3</v>
      </c>
      <c r="L19" s="230">
        <v>4</v>
      </c>
      <c r="M19" s="230">
        <v>5</v>
      </c>
      <c r="N19" s="230">
        <v>6</v>
      </c>
    </row>
    <row r="20" spans="1:15" ht="14.25">
      <c r="A20" s="236"/>
      <c r="B20" s="239"/>
      <c r="C20" s="240"/>
      <c r="D20" s="221"/>
      <c r="E20" s="498"/>
      <c r="F20" s="233"/>
      <c r="H20" s="226" t="s">
        <v>148</v>
      </c>
      <c r="I20" s="422"/>
      <c r="J20" s="422"/>
      <c r="K20" s="422"/>
      <c r="L20" s="422"/>
      <c r="M20" s="422"/>
      <c r="N20" s="422"/>
    </row>
    <row r="21" spans="1:15" ht="14.25">
      <c r="A21" s="245" t="s">
        <v>59</v>
      </c>
      <c r="B21" s="242"/>
      <c r="C21" s="240"/>
      <c r="D21" s="246"/>
      <c r="E21" s="501">
        <f>E19*0.96</f>
        <v>0</v>
      </c>
      <c r="F21" s="247"/>
      <c r="G21" s="160"/>
      <c r="H21" s="226" t="s">
        <v>149</v>
      </c>
      <c r="I21" s="422"/>
      <c r="J21" s="422"/>
      <c r="K21" s="422"/>
      <c r="L21" s="422"/>
      <c r="M21" s="422"/>
      <c r="N21" s="422"/>
    </row>
    <row r="22" spans="1:15" s="160" customFormat="1" ht="14.25">
      <c r="A22" s="241" t="s">
        <v>71</v>
      </c>
      <c r="B22" s="242"/>
      <c r="C22" s="248" t="s">
        <v>46</v>
      </c>
      <c r="D22" s="221"/>
      <c r="E22" s="499" t="e">
        <f>E21*'5-Premies en opslagen'!$C24</f>
        <v>#DIV/0!</v>
      </c>
      <c r="F22" s="233"/>
      <c r="G22" s="3"/>
      <c r="H22" s="226" t="s">
        <v>150</v>
      </c>
      <c r="I22" s="422"/>
      <c r="J22" s="422"/>
      <c r="K22" s="422"/>
      <c r="L22" s="422"/>
      <c r="M22" s="422"/>
      <c r="N22" s="422"/>
      <c r="O22" s="3"/>
    </row>
    <row r="23" spans="1:15" ht="14.25" customHeight="1">
      <c r="A23" s="380" t="s">
        <v>68</v>
      </c>
      <c r="B23" s="243"/>
      <c r="C23" s="238"/>
      <c r="D23" s="221"/>
      <c r="E23" s="497" t="e">
        <f>E22+E19</f>
        <v>#DIV/0!</v>
      </c>
      <c r="F23" s="244" t="e">
        <f>IF(E23=0,0,E23/E$47)</f>
        <v>#DIV/0!</v>
      </c>
      <c r="H23" s="226" t="s">
        <v>151</v>
      </c>
      <c r="I23" s="422"/>
      <c r="J23" s="422"/>
      <c r="K23" s="422"/>
      <c r="L23" s="422"/>
      <c r="M23" s="422"/>
      <c r="N23" s="422"/>
      <c r="O23" s="160"/>
    </row>
    <row r="24" spans="1:15" ht="12.75" customHeight="1">
      <c r="A24" s="236"/>
      <c r="B24" s="243"/>
      <c r="C24" s="238"/>
      <c r="D24" s="221"/>
      <c r="E24" s="494"/>
      <c r="F24" s="233"/>
      <c r="H24" s="226" t="s">
        <v>152</v>
      </c>
      <c r="I24" s="422"/>
      <c r="J24" s="422"/>
      <c r="K24" s="422"/>
      <c r="L24" s="422"/>
      <c r="M24" s="422"/>
      <c r="N24" s="422"/>
    </row>
    <row r="25" spans="1:15" ht="12.75" customHeight="1">
      <c r="A25" s="241" t="s">
        <v>36</v>
      </c>
      <c r="B25" s="242"/>
      <c r="C25" s="248" t="s">
        <v>46</v>
      </c>
      <c r="D25" s="221"/>
      <c r="E25" s="499" t="e">
        <f>E23*'5-Premies en opslagen'!$B53</f>
        <v>#DIV/0!</v>
      </c>
      <c r="F25" s="233"/>
      <c r="H25" s="252" t="s">
        <v>155</v>
      </c>
      <c r="I25" s="448">
        <f t="shared" ref="I25:N25" si="0">SUM(I20:I24)</f>
        <v>0</v>
      </c>
      <c r="J25" s="448">
        <f t="shared" si="0"/>
        <v>0</v>
      </c>
      <c r="K25" s="448">
        <f t="shared" si="0"/>
        <v>0</v>
      </c>
      <c r="L25" s="448">
        <f t="shared" si="0"/>
        <v>0</v>
      </c>
      <c r="M25" s="448">
        <f t="shared" si="0"/>
        <v>0</v>
      </c>
      <c r="N25" s="448">
        <f t="shared" si="0"/>
        <v>0</v>
      </c>
      <c r="O25" s="57">
        <f>SUM(I25:N25)</f>
        <v>0</v>
      </c>
    </row>
    <row r="26" spans="1:15" ht="14.25">
      <c r="A26" s="380" t="s">
        <v>78</v>
      </c>
      <c r="B26" s="243"/>
      <c r="C26" s="238"/>
      <c r="D26" s="221"/>
      <c r="E26" s="497" t="e">
        <f>SUM(E23:E25)</f>
        <v>#DIV/0!</v>
      </c>
      <c r="F26" s="244" t="e">
        <f>IF(E26=0,0,E26/E$47)</f>
        <v>#DIV/0!</v>
      </c>
    </row>
    <row r="27" spans="1:15" ht="14.25">
      <c r="A27" s="236"/>
      <c r="B27" s="243"/>
      <c r="C27" s="238"/>
      <c r="D27" s="221"/>
      <c r="E27" s="494"/>
      <c r="F27" s="233"/>
      <c r="H27" s="456" t="s">
        <v>153</v>
      </c>
      <c r="I27" s="611" t="s">
        <v>157</v>
      </c>
      <c r="J27" s="611"/>
      <c r="K27" s="611"/>
      <c r="L27" s="611"/>
      <c r="M27" s="611"/>
      <c r="N27" s="611"/>
    </row>
    <row r="28" spans="1:15" ht="14.25">
      <c r="A28" s="236" t="s">
        <v>60</v>
      </c>
      <c r="B28" s="249"/>
      <c r="C28" s="235" t="s">
        <v>67</v>
      </c>
      <c r="D28" s="221"/>
      <c r="E28" s="496"/>
      <c r="F28" s="388">
        <v>0</v>
      </c>
      <c r="H28" s="457"/>
      <c r="I28" s="458">
        <v>1</v>
      </c>
      <c r="J28" s="458">
        <v>2</v>
      </c>
      <c r="K28" s="458">
        <v>3</v>
      </c>
      <c r="L28" s="458">
        <v>4</v>
      </c>
      <c r="M28" s="458">
        <v>5</v>
      </c>
      <c r="N28" s="458">
        <v>6</v>
      </c>
    </row>
    <row r="29" spans="1:15" ht="14.25">
      <c r="A29" s="236" t="s">
        <v>65</v>
      </c>
      <c r="B29" s="250"/>
      <c r="C29" s="235" t="s">
        <v>67</v>
      </c>
      <c r="D29" s="221"/>
      <c r="E29" s="496"/>
      <c r="F29" s="388">
        <v>0</v>
      </c>
      <c r="H29" s="226" t="s">
        <v>148</v>
      </c>
      <c r="I29" s="459">
        <f t="shared" ref="I29:N29" si="1">I20*I12</f>
        <v>0</v>
      </c>
      <c r="J29" s="459">
        <f t="shared" si="1"/>
        <v>0</v>
      </c>
      <c r="K29" s="459">
        <f t="shared" si="1"/>
        <v>0</v>
      </c>
      <c r="L29" s="459">
        <f t="shared" si="1"/>
        <v>0</v>
      </c>
      <c r="M29" s="459">
        <f t="shared" si="1"/>
        <v>0</v>
      </c>
      <c r="N29" s="460">
        <f t="shared" si="1"/>
        <v>0</v>
      </c>
    </row>
    <row r="30" spans="1:15" ht="14.25">
      <c r="A30" s="236" t="s">
        <v>66</v>
      </c>
      <c r="B30" s="243"/>
      <c r="C30" s="238" t="s">
        <v>62</v>
      </c>
      <c r="D30" s="221"/>
      <c r="E30" s="502" t="s">
        <v>18</v>
      </c>
      <c r="F30" s="233"/>
      <c r="H30" s="226" t="s">
        <v>149</v>
      </c>
      <c r="I30" s="459">
        <f t="shared" ref="I30:N30" si="2">I21*I13</f>
        <v>0</v>
      </c>
      <c r="J30" s="459">
        <f t="shared" si="2"/>
        <v>0</v>
      </c>
      <c r="K30" s="459">
        <f t="shared" si="2"/>
        <v>0</v>
      </c>
      <c r="L30" s="459">
        <f t="shared" si="2"/>
        <v>0</v>
      </c>
      <c r="M30" s="459">
        <f t="shared" si="2"/>
        <v>0</v>
      </c>
      <c r="N30" s="460">
        <f t="shared" si="2"/>
        <v>0</v>
      </c>
    </row>
    <row r="31" spans="1:15" ht="12.75" customHeight="1">
      <c r="A31" s="421"/>
      <c r="B31" s="472"/>
      <c r="C31" s="473" t="s">
        <v>62</v>
      </c>
      <c r="D31" s="221"/>
      <c r="E31" s="496"/>
      <c r="F31" s="233"/>
      <c r="H31" s="226" t="s">
        <v>150</v>
      </c>
      <c r="I31" s="459">
        <f t="shared" ref="I31:N31" si="3">I22*I14</f>
        <v>0</v>
      </c>
      <c r="J31" s="459">
        <f t="shared" si="3"/>
        <v>0</v>
      </c>
      <c r="K31" s="459">
        <f t="shared" si="3"/>
        <v>0</v>
      </c>
      <c r="L31" s="459">
        <f t="shared" si="3"/>
        <v>0</v>
      </c>
      <c r="M31" s="459">
        <f t="shared" si="3"/>
        <v>0</v>
      </c>
      <c r="N31" s="460">
        <f t="shared" si="3"/>
        <v>0</v>
      </c>
    </row>
    <row r="32" spans="1:15" ht="12.75" customHeight="1">
      <c r="A32" s="380" t="s">
        <v>56</v>
      </c>
      <c r="B32" s="243"/>
      <c r="C32" s="238"/>
      <c r="D32" s="221"/>
      <c r="E32" s="497" t="e">
        <f>SUM(E26:E31)</f>
        <v>#DIV/0!</v>
      </c>
      <c r="F32" s="244" t="e">
        <f>IF(E32=0,0,E32/E$47)</f>
        <v>#DIV/0!</v>
      </c>
      <c r="H32" s="226" t="s">
        <v>151</v>
      </c>
      <c r="I32" s="459">
        <f t="shared" ref="I32:N32" si="4">I23*I15</f>
        <v>0</v>
      </c>
      <c r="J32" s="459">
        <f t="shared" si="4"/>
        <v>0</v>
      </c>
      <c r="K32" s="459">
        <f t="shared" si="4"/>
        <v>0</v>
      </c>
      <c r="L32" s="459">
        <f t="shared" si="4"/>
        <v>0</v>
      </c>
      <c r="M32" s="459">
        <f t="shared" si="4"/>
        <v>0</v>
      </c>
      <c r="N32" s="460">
        <f t="shared" si="4"/>
        <v>0</v>
      </c>
    </row>
    <row r="33" spans="1:14" ht="12.75" customHeight="1">
      <c r="A33" s="236"/>
      <c r="B33" s="243"/>
      <c r="C33" s="238"/>
      <c r="D33" s="221"/>
      <c r="E33" s="494"/>
      <c r="F33" s="233"/>
      <c r="H33" s="457" t="s">
        <v>152</v>
      </c>
      <c r="I33" s="459">
        <f t="shared" ref="I33:N33" si="5">I24*I16</f>
        <v>0</v>
      </c>
      <c r="J33" s="459">
        <f t="shared" si="5"/>
        <v>0</v>
      </c>
      <c r="K33" s="459">
        <f t="shared" si="5"/>
        <v>0</v>
      </c>
      <c r="L33" s="459">
        <f t="shared" si="5"/>
        <v>0</v>
      </c>
      <c r="M33" s="459">
        <f t="shared" si="5"/>
        <v>0</v>
      </c>
      <c r="N33" s="460">
        <f t="shared" si="5"/>
        <v>0</v>
      </c>
    </row>
    <row r="34" spans="1:14" ht="12.75" customHeight="1">
      <c r="A34" s="236" t="s">
        <v>80</v>
      </c>
      <c r="B34" s="243"/>
      <c r="C34" s="251"/>
      <c r="D34" s="221"/>
      <c r="E34" s="496"/>
      <c r="F34" s="487" t="e">
        <f>E34/$E$47</f>
        <v>#DIV/0!</v>
      </c>
      <c r="H34" s="461" t="s">
        <v>155</v>
      </c>
      <c r="I34" s="462">
        <f t="shared" ref="I34:N34" si="6">SUM(I29:I33)</f>
        <v>0</v>
      </c>
      <c r="J34" s="462">
        <f t="shared" si="6"/>
        <v>0</v>
      </c>
      <c r="K34" s="462">
        <f t="shared" si="6"/>
        <v>0</v>
      </c>
      <c r="L34" s="462">
        <f t="shared" si="6"/>
        <v>0</v>
      </c>
      <c r="M34" s="462">
        <f t="shared" si="6"/>
        <v>0</v>
      </c>
      <c r="N34" s="462">
        <f t="shared" si="6"/>
        <v>0</v>
      </c>
    </row>
    <row r="35" spans="1:14" ht="12.75" customHeight="1">
      <c r="A35" s="236" t="s">
        <v>35</v>
      </c>
      <c r="B35" s="243"/>
      <c r="C35" s="251"/>
      <c r="D35" s="221"/>
      <c r="E35" s="496"/>
      <c r="F35" s="487" t="e">
        <f t="shared" ref="F35:F41" si="7">E35/$E$47</f>
        <v>#DIV/0!</v>
      </c>
      <c r="H35" s="160"/>
      <c r="I35" s="160"/>
      <c r="J35" s="160"/>
      <c r="K35" s="160"/>
      <c r="L35" s="160"/>
      <c r="M35" s="160"/>
      <c r="N35" s="160"/>
    </row>
    <row r="36" spans="1:14" ht="14.25" customHeight="1">
      <c r="A36" s="236" t="s">
        <v>25</v>
      </c>
      <c r="B36" s="243"/>
      <c r="C36" s="251"/>
      <c r="D36" s="221"/>
      <c r="E36" s="496"/>
      <c r="F36" s="487" t="e">
        <f t="shared" si="7"/>
        <v>#DIV/0!</v>
      </c>
      <c r="H36" s="160"/>
      <c r="I36" s="160"/>
      <c r="J36" s="160"/>
      <c r="K36" s="160"/>
      <c r="L36" s="160"/>
      <c r="M36" s="160"/>
      <c r="N36" s="160"/>
    </row>
    <row r="37" spans="1:14" ht="14.25">
      <c r="A37" s="236" t="s">
        <v>2</v>
      </c>
      <c r="B37" s="243"/>
      <c r="C37" s="253"/>
      <c r="D37" s="221"/>
      <c r="E37" s="496"/>
      <c r="F37" s="487" t="e">
        <f t="shared" si="7"/>
        <v>#DIV/0!</v>
      </c>
      <c r="H37" s="160"/>
      <c r="I37" s="160"/>
      <c r="J37" s="160"/>
      <c r="K37" s="160"/>
      <c r="L37" s="160"/>
      <c r="M37" s="160"/>
      <c r="N37" s="160"/>
    </row>
    <row r="38" spans="1:14" ht="14.25">
      <c r="A38" s="236" t="s">
        <v>33</v>
      </c>
      <c r="B38" s="243"/>
      <c r="C38" s="251"/>
      <c r="D38" s="221"/>
      <c r="E38" s="496"/>
      <c r="F38" s="487" t="e">
        <f t="shared" si="7"/>
        <v>#DIV/0!</v>
      </c>
      <c r="H38" s="160"/>
      <c r="I38" s="160"/>
      <c r="J38" s="160"/>
      <c r="K38" s="160"/>
      <c r="L38" s="160"/>
      <c r="M38" s="160"/>
      <c r="N38" s="160"/>
    </row>
    <row r="39" spans="1:14" ht="14.25">
      <c r="A39" s="236" t="s">
        <v>30</v>
      </c>
      <c r="B39" s="243"/>
      <c r="C39" s="253"/>
      <c r="D39" s="221"/>
      <c r="E39" s="496"/>
      <c r="F39" s="487" t="e">
        <f t="shared" si="7"/>
        <v>#DIV/0!</v>
      </c>
      <c r="H39" s="160"/>
      <c r="I39" s="160"/>
      <c r="J39" s="160"/>
      <c r="K39" s="160"/>
      <c r="L39" s="160"/>
      <c r="M39" s="160"/>
      <c r="N39" s="160"/>
    </row>
    <row r="40" spans="1:14" ht="14.25">
      <c r="A40" s="236" t="s">
        <v>72</v>
      </c>
      <c r="B40" s="243"/>
      <c r="C40" s="235" t="s">
        <v>67</v>
      </c>
      <c r="D40" s="221"/>
      <c r="E40" s="496"/>
      <c r="F40" s="487" t="e">
        <f t="shared" si="7"/>
        <v>#DIV/0!</v>
      </c>
      <c r="H40" s="160"/>
      <c r="I40" s="160"/>
      <c r="J40" s="160"/>
      <c r="K40" s="160"/>
      <c r="L40" s="160"/>
      <c r="M40" s="160"/>
      <c r="N40" s="160"/>
    </row>
    <row r="41" spans="1:14" ht="14.25">
      <c r="A41" s="236" t="s">
        <v>89</v>
      </c>
      <c r="B41" s="243"/>
      <c r="C41" s="235"/>
      <c r="D41" s="221"/>
      <c r="E41" s="496"/>
      <c r="F41" s="487" t="e">
        <f t="shared" si="7"/>
        <v>#DIV/0!</v>
      </c>
      <c r="H41" s="160"/>
      <c r="I41" s="160"/>
      <c r="J41" s="160"/>
      <c r="K41" s="160"/>
      <c r="L41" s="160"/>
      <c r="M41" s="160"/>
      <c r="N41" s="160"/>
    </row>
    <row r="42" spans="1:14" ht="14.25">
      <c r="A42" s="421"/>
      <c r="B42" s="472"/>
      <c r="C42" s="474"/>
      <c r="D42" s="221"/>
      <c r="E42" s="496"/>
      <c r="F42" s="233"/>
      <c r="H42" s="160"/>
      <c r="I42" s="160"/>
      <c r="J42" s="160"/>
      <c r="K42" s="160"/>
      <c r="L42" s="160"/>
      <c r="M42" s="160"/>
      <c r="N42" s="160"/>
    </row>
    <row r="43" spans="1:14" ht="14.25">
      <c r="A43" s="380" t="s">
        <v>73</v>
      </c>
      <c r="B43" s="243"/>
      <c r="C43" s="238"/>
      <c r="D43" s="221"/>
      <c r="E43" s="497" t="e">
        <f>SUM(E32:E42)</f>
        <v>#DIV/0!</v>
      </c>
      <c r="F43" s="244" t="e">
        <f>IF(E43=0,0,E43/E$47)</f>
        <v>#DIV/0!</v>
      </c>
      <c r="H43" s="160"/>
      <c r="I43" s="160"/>
      <c r="J43" s="160"/>
      <c r="K43" s="160"/>
      <c r="L43" s="160"/>
      <c r="M43" s="160"/>
      <c r="N43" s="160"/>
    </row>
    <row r="44" spans="1:14" ht="14.25">
      <c r="A44" s="236"/>
      <c r="B44" s="243"/>
      <c r="C44" s="238"/>
      <c r="D44" s="221"/>
      <c r="E44" s="494"/>
      <c r="F44" s="254"/>
      <c r="H44" s="160"/>
      <c r="I44" s="160"/>
      <c r="J44" s="160"/>
      <c r="K44" s="160"/>
      <c r="L44" s="160"/>
      <c r="M44" s="160"/>
      <c r="N44" s="160"/>
    </row>
    <row r="45" spans="1:14" ht="14.25">
      <c r="A45" s="236" t="s">
        <v>74</v>
      </c>
      <c r="B45" s="243"/>
      <c r="C45" s="253"/>
      <c r="D45" s="221"/>
      <c r="E45" s="496"/>
      <c r="F45" s="244">
        <f>(IF(E45=0,0,E45/E$47))</f>
        <v>0</v>
      </c>
      <c r="H45" s="160"/>
      <c r="I45" s="160"/>
      <c r="J45" s="160"/>
      <c r="K45" s="160"/>
      <c r="L45" s="160"/>
      <c r="M45" s="160"/>
      <c r="N45" s="160"/>
    </row>
    <row r="46" spans="1:14" ht="14.25">
      <c r="A46" s="236"/>
      <c r="B46" s="237"/>
      <c r="C46" s="238"/>
      <c r="D46" s="221"/>
      <c r="E46" s="494"/>
      <c r="F46" s="233"/>
      <c r="H46" s="160"/>
      <c r="I46" s="160"/>
      <c r="J46" s="160"/>
      <c r="K46" s="160"/>
      <c r="L46" s="160"/>
      <c r="M46" s="160"/>
      <c r="N46" s="160"/>
    </row>
    <row r="47" spans="1:14" ht="14.25">
      <c r="A47" s="380" t="s">
        <v>47</v>
      </c>
      <c r="B47" s="279"/>
      <c r="C47" s="255"/>
      <c r="D47" s="221"/>
      <c r="E47" s="384" t="e">
        <f>SUM(E43:E46)</f>
        <v>#DIV/0!</v>
      </c>
      <c r="F47" s="386" t="e">
        <f>SUM(F43:F46)</f>
        <v>#DIV/0!</v>
      </c>
      <c r="H47" s="160"/>
      <c r="I47" s="160"/>
      <c r="J47" s="160"/>
      <c r="K47" s="160"/>
      <c r="L47" s="160"/>
      <c r="M47" s="160"/>
      <c r="N47" s="160"/>
    </row>
    <row r="48" spans="1:14" ht="14.25">
      <c r="B48" s="256"/>
      <c r="C48" s="257"/>
      <c r="D48" s="221"/>
      <c r="F48" s="258"/>
      <c r="H48" s="160"/>
      <c r="I48" s="160"/>
      <c r="J48" s="160"/>
      <c r="K48" s="160"/>
      <c r="L48" s="160"/>
      <c r="M48" s="160"/>
      <c r="N48" s="160"/>
    </row>
    <row r="49" spans="1:15" ht="14.25">
      <c r="A49" s="259" t="s">
        <v>237</v>
      </c>
      <c r="B49" s="260"/>
      <c r="C49" s="261"/>
      <c r="D49" s="160"/>
      <c r="E49" s="503" t="e">
        <f>(E$26*1.3)+($E$47-$E$26)</f>
        <v>#DIV/0!</v>
      </c>
      <c r="F49" s="262"/>
      <c r="G49" s="160"/>
      <c r="H49" s="160"/>
      <c r="I49" s="160"/>
      <c r="J49" s="160"/>
      <c r="K49" s="160"/>
      <c r="L49" s="160"/>
      <c r="M49" s="160"/>
      <c r="N49" s="160"/>
    </row>
    <row r="50" spans="1:15" s="160" customFormat="1" ht="14.25">
      <c r="B50" s="263"/>
      <c r="C50" s="264"/>
    </row>
    <row r="51" spans="1:15" s="160" customFormat="1" ht="14.25">
      <c r="A51" s="259" t="s">
        <v>52</v>
      </c>
      <c r="B51" s="260"/>
      <c r="C51" s="261"/>
      <c r="E51" s="503" t="e">
        <f>(E$26*1.5)+($E$47-$E$26)</f>
        <v>#DIV/0!</v>
      </c>
      <c r="F51" s="262"/>
    </row>
    <row r="52" spans="1:15" s="160" customFormat="1" ht="14.25">
      <c r="B52" s="263"/>
      <c r="C52" s="264"/>
    </row>
    <row r="53" spans="1:15" s="160" customFormat="1" ht="14.25">
      <c r="A53" s="259" t="s">
        <v>85</v>
      </c>
      <c r="B53" s="260"/>
      <c r="C53" s="261"/>
      <c r="E53" s="503" t="e">
        <f>(E$26*2.5)+($E$47-$E$26)</f>
        <v>#DIV/0!</v>
      </c>
    </row>
    <row r="54" spans="1:15" s="160" customFormat="1" ht="14.25">
      <c r="B54" s="263"/>
      <c r="C54" s="265"/>
      <c r="F54" s="266"/>
    </row>
    <row r="55" spans="1:15" s="160" customFormat="1">
      <c r="C55" s="267"/>
      <c r="F55" s="266"/>
    </row>
    <row r="56" spans="1:15" s="160" customFormat="1">
      <c r="C56" s="267"/>
      <c r="F56" s="266"/>
    </row>
    <row r="57" spans="1:15" s="160" customFormat="1">
      <c r="A57" s="3"/>
      <c r="C57" s="267"/>
      <c r="F57" s="266"/>
    </row>
    <row r="58" spans="1:15" s="160" customFormat="1">
      <c r="C58" s="267"/>
      <c r="F58" s="266"/>
    </row>
    <row r="59" spans="1:15" s="160" customFormat="1">
      <c r="C59" s="267"/>
      <c r="F59" s="266"/>
    </row>
    <row r="60" spans="1:15" s="160" customFormat="1">
      <c r="C60" s="267"/>
      <c r="F60" s="266"/>
    </row>
    <row r="61" spans="1:15" s="160" customFormat="1">
      <c r="C61" s="267"/>
      <c r="F61" s="266"/>
      <c r="H61" s="3"/>
      <c r="I61" s="3"/>
      <c r="J61" s="3"/>
      <c r="K61" s="3"/>
      <c r="L61" s="3"/>
      <c r="M61" s="3"/>
      <c r="N61" s="3"/>
    </row>
    <row r="62" spans="1:15" s="160" customFormat="1">
      <c r="C62" s="267"/>
      <c r="F62" s="266"/>
      <c r="H62" s="3"/>
      <c r="I62" s="3"/>
      <c r="J62" s="3"/>
      <c r="K62" s="3"/>
      <c r="L62" s="3"/>
      <c r="M62" s="3"/>
      <c r="N62" s="3"/>
    </row>
    <row r="63" spans="1:15" s="160" customFormat="1">
      <c r="C63" s="267"/>
      <c r="F63" s="266"/>
      <c r="H63" s="3"/>
      <c r="I63" s="3"/>
      <c r="J63" s="3"/>
      <c r="K63" s="3"/>
      <c r="L63" s="3"/>
      <c r="M63" s="3"/>
      <c r="N63" s="3"/>
      <c r="O63" s="3"/>
    </row>
    <row r="64" spans="1:15" s="160" customFormat="1">
      <c r="C64" s="267"/>
      <c r="F64" s="266"/>
      <c r="H64" s="3"/>
      <c r="I64" s="3"/>
      <c r="J64" s="3"/>
      <c r="K64" s="3"/>
      <c r="L64" s="3"/>
      <c r="M64" s="3"/>
      <c r="N64" s="3"/>
    </row>
    <row r="65" spans="1:15" s="160" customFormat="1">
      <c r="A65" s="3"/>
      <c r="B65" s="3"/>
      <c r="C65" s="3"/>
      <c r="D65" s="3"/>
      <c r="E65" s="3"/>
      <c r="F65" s="3"/>
      <c r="G65" s="3"/>
      <c r="H65" s="3"/>
      <c r="I65" s="3"/>
      <c r="J65" s="3"/>
      <c r="K65" s="3"/>
      <c r="L65" s="3"/>
      <c r="M65" s="3"/>
      <c r="N65" s="3"/>
    </row>
    <row r="66" spans="1:15">
      <c r="O66" s="160"/>
    </row>
    <row r="67" spans="1:15">
      <c r="O67" s="160"/>
    </row>
    <row r="68" spans="1:15">
      <c r="O68" s="160"/>
    </row>
    <row r="69" spans="1:15">
      <c r="O69" s="160"/>
    </row>
    <row r="70" spans="1:15">
      <c r="O70" s="160"/>
    </row>
    <row r="71" spans="1:15">
      <c r="O71" s="160"/>
    </row>
    <row r="72" spans="1:15">
      <c r="O72" s="160"/>
    </row>
    <row r="73" spans="1:15">
      <c r="O73" s="160"/>
    </row>
    <row r="74" spans="1:15">
      <c r="O74" s="160"/>
    </row>
    <row r="75" spans="1:15">
      <c r="O75" s="160"/>
    </row>
    <row r="76" spans="1:15">
      <c r="O76" s="160"/>
    </row>
    <row r="77" spans="1:15">
      <c r="O77" s="160"/>
    </row>
    <row r="78" spans="1:15">
      <c r="O78" s="160"/>
    </row>
    <row r="79" spans="1:15">
      <c r="O79" s="160"/>
    </row>
  </sheetData>
  <mergeCells count="7">
    <mergeCell ref="E10:F10"/>
    <mergeCell ref="I10:N10"/>
    <mergeCell ref="I27:N27"/>
    <mergeCell ref="H1:N2"/>
    <mergeCell ref="H3:N3"/>
    <mergeCell ref="H4:N5"/>
    <mergeCell ref="I18:N18"/>
  </mergeCells>
  <conditionalFormatting sqref="O25">
    <cfRule type="cellIs" dxfId="10" priority="1" operator="greaterThan">
      <formula>1</formula>
    </cfRule>
    <cfRule type="cellIs" dxfId="9" priority="2" operator="between">
      <formula>0.999999</formula>
      <formula>0</formula>
    </cfRule>
    <cfRule type="cellIs" dxfId="8" priority="3" operator="equal">
      <formula>1</formula>
    </cfRule>
  </conditionalFormatting>
  <pageMargins left="0.7" right="0.7" top="0.75" bottom="0.75" header="0.3" footer="0.3"/>
  <pageSetup paperSize="9" scale="61" fitToHeight="0" orientation="landscape" r:id="rId1"/>
  <headerFooter>
    <oddFooter>&amp;L&amp;F-&amp;A
Atir b.v. ©&amp;Rprintversie &amp;D</oddFooter>
  </headerFooter>
  <colBreaks count="1" manualBreakCount="1">
    <brk id="7" max="6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0">
    <pageSetUpPr fitToPage="1"/>
  </sheetPr>
  <dimension ref="A1:J67"/>
  <sheetViews>
    <sheetView showGridLines="0" tabSelected="1" zoomScale="70" zoomScaleNormal="70" workbookViewId="0">
      <pane ySplit="10" topLeftCell="A35" activePane="bottomLeft" state="frozen"/>
      <selection activeCell="A6" sqref="A6:F6"/>
      <selection pane="bottomLeft" activeCell="C47" sqref="C47"/>
    </sheetView>
  </sheetViews>
  <sheetFormatPr defaultColWidth="9.140625" defaultRowHeight="13.5"/>
  <cols>
    <col min="1" max="1" width="38.28515625" style="3" bestFit="1" customWidth="1"/>
    <col min="2" max="2" width="41.42578125" style="3" customWidth="1"/>
    <col min="3" max="3" width="58.28515625" style="3" bestFit="1" customWidth="1"/>
    <col min="4" max="4" width="12.85546875" style="25" customWidth="1"/>
    <col min="5" max="5" width="11.140625" style="25" customWidth="1"/>
    <col min="6" max="6" width="10.140625" style="25" bestFit="1" customWidth="1"/>
    <col min="7" max="7" width="13.28515625" style="25" bestFit="1" customWidth="1"/>
    <col min="8" max="8" width="12.140625" style="25" bestFit="1" customWidth="1"/>
    <col min="9" max="9" width="12.140625" style="25" customWidth="1"/>
    <col min="10" max="10" width="19.85546875" style="25" customWidth="1"/>
    <col min="11" max="16384" width="9.140625" style="3"/>
  </cols>
  <sheetData>
    <row r="1" spans="1:10">
      <c r="A1" s="423" t="s">
        <v>27</v>
      </c>
    </row>
    <row r="3" spans="1:10" ht="17.25">
      <c r="A3" s="73" t="str">
        <f>'1-Contractblad totaal'!A3</f>
        <v>Naam opdrachtgever</v>
      </c>
      <c r="B3" s="136" t="str">
        <f>'1-Contractblad totaal'!B3</f>
        <v>Hoogheemraadschap De Stichtse Rijnlanden</v>
      </c>
    </row>
    <row r="4" spans="1:10" ht="17.25">
      <c r="A4" s="73" t="str">
        <f>'1-Contractblad totaal'!A4</f>
        <v>Calculatie onderdeel</v>
      </c>
      <c r="B4" s="136" t="str">
        <f ca="1">MID(CELL("bestandsnaam",$D$9),SEARCH("]",CELL("bestandsnaam",$D$9),1)+1,256)</f>
        <v>8-Additionele werkzaamheden</v>
      </c>
      <c r="C4" s="25"/>
    </row>
    <row r="5" spans="1:10" ht="17.25">
      <c r="A5" s="73" t="str">
        <f>'1-Contractblad totaal'!A5</f>
        <v>Gebouw/plaats</v>
      </c>
      <c r="B5" s="136" t="str">
        <f>'1-Contractblad totaal'!B5</f>
        <v>Divers</v>
      </c>
      <c r="C5" s="25"/>
    </row>
    <row r="6" spans="1:10" ht="17.25">
      <c r="A6" s="73" t="str">
        <f>'1-Contractblad totaal'!A6</f>
        <v>Referentie nummer</v>
      </c>
      <c r="B6" s="136" t="str">
        <f>'1-Contractblad totaal'!B6</f>
        <v>Invoer</v>
      </c>
      <c r="C6" s="25"/>
      <c r="F6" s="561"/>
    </row>
    <row r="7" spans="1:10" ht="15" customHeight="1">
      <c r="A7" s="73" t="str">
        <f>'1-Contractblad totaal'!A8</f>
        <v>Naam dienstverlener</v>
      </c>
      <c r="B7" s="136">
        <f>'1-Contractblad totaal'!B8</f>
        <v>0</v>
      </c>
      <c r="C7" s="25"/>
      <c r="F7" s="562"/>
      <c r="G7" s="562"/>
      <c r="H7" s="562"/>
      <c r="I7" s="562"/>
      <c r="J7" s="562"/>
    </row>
    <row r="8" spans="1:10" ht="15.75">
      <c r="A8" s="73" t="str">
        <f>'1-Contractblad totaal'!A9</f>
        <v>Prijspeil</v>
      </c>
      <c r="B8" s="109">
        <f>'1-Contractblad totaal'!B9</f>
        <v>45017</v>
      </c>
      <c r="C8" s="25"/>
      <c r="G8" s="562"/>
      <c r="H8" s="562"/>
      <c r="I8" s="562"/>
      <c r="J8" s="562"/>
    </row>
    <row r="10" spans="1:10" ht="25.5">
      <c r="A10" s="556" t="s">
        <v>106</v>
      </c>
      <c r="B10" s="556" t="s">
        <v>106</v>
      </c>
      <c r="C10" s="556" t="s">
        <v>170</v>
      </c>
      <c r="D10" s="563" t="s">
        <v>165</v>
      </c>
      <c r="E10" s="563" t="s">
        <v>107</v>
      </c>
      <c r="F10" s="563" t="s">
        <v>166</v>
      </c>
      <c r="G10" s="563" t="s">
        <v>167</v>
      </c>
      <c r="H10" s="563" t="s">
        <v>168</v>
      </c>
      <c r="I10" s="563" t="s">
        <v>169</v>
      </c>
    </row>
    <row r="11" spans="1:10">
      <c r="A11" s="573" t="s">
        <v>379</v>
      </c>
      <c r="B11" s="574" t="s">
        <v>295</v>
      </c>
      <c r="C11" s="163" t="s">
        <v>354</v>
      </c>
      <c r="D11" s="560">
        <f>12.25+1.5</f>
        <v>13.75</v>
      </c>
      <c r="E11" s="628">
        <v>1</v>
      </c>
      <c r="F11" s="629"/>
      <c r="G11" s="630">
        <f t="shared" ref="G11" si="0">F11*E11</f>
        <v>0</v>
      </c>
      <c r="H11" s="631"/>
      <c r="I11" s="632">
        <f t="shared" ref="I11" si="1">H11*G11</f>
        <v>0</v>
      </c>
    </row>
    <row r="12" spans="1:10">
      <c r="A12" s="545" t="s">
        <v>379</v>
      </c>
      <c r="B12" s="280" t="s">
        <v>295</v>
      </c>
      <c r="C12" s="123" t="s">
        <v>355</v>
      </c>
      <c r="D12" s="121">
        <v>5.7</v>
      </c>
      <c r="E12" s="619"/>
      <c r="F12" s="621"/>
      <c r="G12" s="623"/>
      <c r="H12" s="625"/>
      <c r="I12" s="627"/>
    </row>
    <row r="13" spans="1:10">
      <c r="A13" s="545" t="s">
        <v>379</v>
      </c>
      <c r="B13" s="280" t="s">
        <v>296</v>
      </c>
      <c r="C13" s="123" t="s">
        <v>186</v>
      </c>
      <c r="D13" s="121">
        <v>16</v>
      </c>
      <c r="E13" s="121">
        <v>1</v>
      </c>
      <c r="F13" s="564"/>
      <c r="G13" s="565">
        <f t="shared" ref="G13:G48" si="2">F13*E13</f>
        <v>0</v>
      </c>
      <c r="H13" s="566"/>
      <c r="I13" s="567">
        <f t="shared" ref="I13:I48" si="3">H13*G13</f>
        <v>0</v>
      </c>
    </row>
    <row r="14" spans="1:10">
      <c r="A14" s="545" t="s">
        <v>379</v>
      </c>
      <c r="B14" s="280" t="s">
        <v>297</v>
      </c>
      <c r="C14" s="123" t="s">
        <v>186</v>
      </c>
      <c r="D14" s="121">
        <v>49</v>
      </c>
      <c r="E14" s="618">
        <v>1</v>
      </c>
      <c r="F14" s="620"/>
      <c r="G14" s="622">
        <f t="shared" si="2"/>
        <v>0</v>
      </c>
      <c r="H14" s="624"/>
      <c r="I14" s="626">
        <f t="shared" si="3"/>
        <v>0</v>
      </c>
    </row>
    <row r="15" spans="1:10">
      <c r="A15" s="545" t="s">
        <v>379</v>
      </c>
      <c r="B15" s="280" t="s">
        <v>297</v>
      </c>
      <c r="C15" s="123" t="s">
        <v>355</v>
      </c>
      <c r="D15" s="121">
        <f>10.5+4.4</f>
        <v>14.9</v>
      </c>
      <c r="E15" s="619"/>
      <c r="F15" s="621"/>
      <c r="G15" s="623"/>
      <c r="H15" s="625"/>
      <c r="I15" s="627"/>
    </row>
    <row r="16" spans="1:10">
      <c r="A16" s="545" t="s">
        <v>379</v>
      </c>
      <c r="B16" s="280" t="s">
        <v>298</v>
      </c>
      <c r="C16" s="123" t="s">
        <v>186</v>
      </c>
      <c r="D16" s="121">
        <v>32</v>
      </c>
      <c r="E16" s="121">
        <v>1</v>
      </c>
      <c r="F16" s="564"/>
      <c r="G16" s="565">
        <f t="shared" si="2"/>
        <v>0</v>
      </c>
      <c r="H16" s="566"/>
      <c r="I16" s="567">
        <f t="shared" si="3"/>
        <v>0</v>
      </c>
    </row>
    <row r="17" spans="1:9">
      <c r="A17" s="545" t="s">
        <v>379</v>
      </c>
      <c r="B17" s="280" t="s">
        <v>299</v>
      </c>
      <c r="C17" s="123" t="s">
        <v>354</v>
      </c>
      <c r="D17" s="121">
        <v>113</v>
      </c>
      <c r="E17" s="121">
        <v>1</v>
      </c>
      <c r="F17" s="564"/>
      <c r="G17" s="565">
        <f t="shared" ref="G17" si="4">F17*E17</f>
        <v>0</v>
      </c>
      <c r="H17" s="566"/>
      <c r="I17" s="567">
        <f t="shared" ref="I17" si="5">H17*G17</f>
        <v>0</v>
      </c>
    </row>
    <row r="18" spans="1:9">
      <c r="A18" s="545" t="s">
        <v>379</v>
      </c>
      <c r="B18" s="280" t="s">
        <v>299</v>
      </c>
      <c r="C18" s="123" t="s">
        <v>355</v>
      </c>
      <c r="D18" s="121">
        <v>69</v>
      </c>
      <c r="E18" s="121">
        <v>2</v>
      </c>
      <c r="F18" s="564"/>
      <c r="G18" s="565">
        <f t="shared" si="2"/>
        <v>0</v>
      </c>
      <c r="H18" s="566"/>
      <c r="I18" s="567">
        <f t="shared" si="3"/>
        <v>0</v>
      </c>
    </row>
    <row r="19" spans="1:9">
      <c r="A19" s="545" t="s">
        <v>379</v>
      </c>
      <c r="B19" s="280" t="s">
        <v>300</v>
      </c>
      <c r="C19" s="123" t="s">
        <v>353</v>
      </c>
      <c r="D19" s="121">
        <v>15</v>
      </c>
      <c r="E19" s="618">
        <v>1</v>
      </c>
      <c r="F19" s="620"/>
      <c r="G19" s="622">
        <f t="shared" si="2"/>
        <v>0</v>
      </c>
      <c r="H19" s="624"/>
      <c r="I19" s="626">
        <f t="shared" si="3"/>
        <v>0</v>
      </c>
    </row>
    <row r="20" spans="1:9">
      <c r="A20" s="545" t="s">
        <v>379</v>
      </c>
      <c r="B20" s="280" t="s">
        <v>300</v>
      </c>
      <c r="C20" s="123" t="s">
        <v>355</v>
      </c>
      <c r="D20" s="121">
        <v>15</v>
      </c>
      <c r="E20" s="619"/>
      <c r="F20" s="621"/>
      <c r="G20" s="623"/>
      <c r="H20" s="625"/>
      <c r="I20" s="627"/>
    </row>
    <row r="21" spans="1:9">
      <c r="A21" s="545" t="s">
        <v>379</v>
      </c>
      <c r="B21" s="280" t="s">
        <v>301</v>
      </c>
      <c r="C21" s="123" t="s">
        <v>354</v>
      </c>
      <c r="D21" s="121">
        <v>10</v>
      </c>
      <c r="E21" s="618">
        <v>1</v>
      </c>
      <c r="F21" s="620"/>
      <c r="G21" s="622">
        <f t="shared" ref="G21" si="6">F21*E21</f>
        <v>0</v>
      </c>
      <c r="H21" s="624"/>
      <c r="I21" s="626">
        <f t="shared" ref="I21" si="7">H21*G21</f>
        <v>0</v>
      </c>
    </row>
    <row r="22" spans="1:9">
      <c r="A22" s="545" t="s">
        <v>379</v>
      </c>
      <c r="B22" s="280" t="s">
        <v>301</v>
      </c>
      <c r="C22" s="123" t="s">
        <v>355</v>
      </c>
      <c r="D22" s="121">
        <v>4</v>
      </c>
      <c r="E22" s="619"/>
      <c r="F22" s="621"/>
      <c r="G22" s="623"/>
      <c r="H22" s="625"/>
      <c r="I22" s="627"/>
    </row>
    <row r="23" spans="1:9">
      <c r="A23" s="545" t="s">
        <v>379</v>
      </c>
      <c r="B23" s="280" t="s">
        <v>302</v>
      </c>
      <c r="C23" s="123" t="s">
        <v>354</v>
      </c>
      <c r="D23" s="121">
        <v>238</v>
      </c>
      <c r="E23" s="121">
        <v>1</v>
      </c>
      <c r="F23" s="564"/>
      <c r="G23" s="565">
        <f t="shared" ref="G23" si="8">F23*E23</f>
        <v>0</v>
      </c>
      <c r="H23" s="566"/>
      <c r="I23" s="567">
        <f t="shared" ref="I23" si="9">H23*G23</f>
        <v>0</v>
      </c>
    </row>
    <row r="24" spans="1:9">
      <c r="A24" s="545" t="s">
        <v>379</v>
      </c>
      <c r="B24" s="280" t="s">
        <v>302</v>
      </c>
      <c r="C24" s="123" t="s">
        <v>355</v>
      </c>
      <c r="D24" s="121">
        <v>110</v>
      </c>
      <c r="E24" s="121">
        <v>2</v>
      </c>
      <c r="F24" s="564"/>
      <c r="G24" s="565">
        <f t="shared" si="2"/>
        <v>0</v>
      </c>
      <c r="H24" s="566"/>
      <c r="I24" s="567">
        <f t="shared" si="3"/>
        <v>0</v>
      </c>
    </row>
    <row r="25" spans="1:9">
      <c r="A25" s="545" t="s">
        <v>379</v>
      </c>
      <c r="B25" s="280" t="s">
        <v>303</v>
      </c>
      <c r="C25" s="123" t="s">
        <v>356</v>
      </c>
      <c r="D25" s="121">
        <v>175</v>
      </c>
      <c r="E25" s="121">
        <v>1</v>
      </c>
      <c r="F25" s="564"/>
      <c r="G25" s="565">
        <f t="shared" si="2"/>
        <v>0</v>
      </c>
      <c r="H25" s="566"/>
      <c r="I25" s="567">
        <f t="shared" si="3"/>
        <v>0</v>
      </c>
    </row>
    <row r="26" spans="1:9">
      <c r="A26" s="545" t="s">
        <v>379</v>
      </c>
      <c r="B26" s="280" t="s">
        <v>303</v>
      </c>
      <c r="C26" s="123" t="s">
        <v>355</v>
      </c>
      <c r="D26" s="121">
        <v>48.2</v>
      </c>
      <c r="E26" s="121">
        <v>2</v>
      </c>
      <c r="F26" s="564"/>
      <c r="G26" s="565">
        <f t="shared" ref="G26:G27" si="10">F26*E26</f>
        <v>0</v>
      </c>
      <c r="H26" s="566"/>
      <c r="I26" s="567">
        <f t="shared" ref="I26:I27" si="11">H26*G26</f>
        <v>0</v>
      </c>
    </row>
    <row r="27" spans="1:9">
      <c r="A27" s="545" t="s">
        <v>379</v>
      </c>
      <c r="B27" s="280" t="s">
        <v>304</v>
      </c>
      <c r="C27" s="123" t="s">
        <v>357</v>
      </c>
      <c r="D27" s="121">
        <v>65</v>
      </c>
      <c r="E27" s="618">
        <v>1</v>
      </c>
      <c r="F27" s="620"/>
      <c r="G27" s="622">
        <f t="shared" si="10"/>
        <v>0</v>
      </c>
      <c r="H27" s="624"/>
      <c r="I27" s="626">
        <f t="shared" si="11"/>
        <v>0</v>
      </c>
    </row>
    <row r="28" spans="1:9">
      <c r="A28" s="545" t="s">
        <v>379</v>
      </c>
      <c r="B28" s="280" t="s">
        <v>304</v>
      </c>
      <c r="C28" s="123" t="s">
        <v>355</v>
      </c>
      <c r="D28" s="121">
        <v>33</v>
      </c>
      <c r="E28" s="619"/>
      <c r="F28" s="621"/>
      <c r="G28" s="623"/>
      <c r="H28" s="625"/>
      <c r="I28" s="627"/>
    </row>
    <row r="29" spans="1:9">
      <c r="A29" s="545" t="s">
        <v>379</v>
      </c>
      <c r="B29" s="280" t="s">
        <v>305</v>
      </c>
      <c r="C29" s="123" t="s">
        <v>358</v>
      </c>
      <c r="D29" s="121">
        <v>368</v>
      </c>
      <c r="E29" s="121">
        <v>1</v>
      </c>
      <c r="F29" s="564"/>
      <c r="G29" s="565">
        <f t="shared" si="2"/>
        <v>0</v>
      </c>
      <c r="H29" s="566"/>
      <c r="I29" s="567">
        <f t="shared" si="3"/>
        <v>0</v>
      </c>
    </row>
    <row r="30" spans="1:9">
      <c r="A30" s="545" t="s">
        <v>379</v>
      </c>
      <c r="B30" s="280" t="s">
        <v>278</v>
      </c>
      <c r="C30" s="123" t="s">
        <v>365</v>
      </c>
      <c r="D30" s="121">
        <f>1.1+0.5</f>
        <v>1.6</v>
      </c>
      <c r="E30" s="121">
        <v>1</v>
      </c>
      <c r="F30" s="564"/>
      <c r="G30" s="565">
        <f t="shared" si="2"/>
        <v>0</v>
      </c>
      <c r="H30" s="566"/>
      <c r="I30" s="567">
        <f t="shared" si="3"/>
        <v>0</v>
      </c>
    </row>
    <row r="31" spans="1:9">
      <c r="A31" s="545" t="s">
        <v>379</v>
      </c>
      <c r="B31" s="280" t="s">
        <v>306</v>
      </c>
      <c r="C31" s="123" t="s">
        <v>186</v>
      </c>
      <c r="D31" s="121">
        <v>375</v>
      </c>
      <c r="E31" s="121">
        <v>1</v>
      </c>
      <c r="F31" s="564"/>
      <c r="G31" s="565">
        <f t="shared" ref="G31:G33" si="12">F31*E31</f>
        <v>0</v>
      </c>
      <c r="H31" s="566"/>
      <c r="I31" s="567">
        <f t="shared" ref="I31" si="13">H31*G31</f>
        <v>0</v>
      </c>
    </row>
    <row r="32" spans="1:9">
      <c r="A32" s="545" t="s">
        <v>379</v>
      </c>
      <c r="B32" s="280" t="s">
        <v>306</v>
      </c>
      <c r="C32" s="123" t="s">
        <v>355</v>
      </c>
      <c r="D32" s="121">
        <v>252</v>
      </c>
      <c r="E32" s="121">
        <v>2</v>
      </c>
      <c r="F32" s="564"/>
      <c r="G32" s="565">
        <f t="shared" si="12"/>
        <v>0</v>
      </c>
      <c r="H32" s="566"/>
      <c r="I32" s="567">
        <f t="shared" ref="I32:I33" si="14">H32*G32</f>
        <v>0</v>
      </c>
    </row>
    <row r="33" spans="1:9">
      <c r="A33" s="545" t="s">
        <v>379</v>
      </c>
      <c r="B33" s="280" t="s">
        <v>307</v>
      </c>
      <c r="C33" s="123" t="s">
        <v>186</v>
      </c>
      <c r="D33" s="121">
        <v>52</v>
      </c>
      <c r="E33" s="618">
        <v>2</v>
      </c>
      <c r="F33" s="620"/>
      <c r="G33" s="622">
        <f t="shared" si="12"/>
        <v>0</v>
      </c>
      <c r="H33" s="624"/>
      <c r="I33" s="626">
        <f t="shared" si="14"/>
        <v>0</v>
      </c>
    </row>
    <row r="34" spans="1:9">
      <c r="A34" s="545" t="s">
        <v>379</v>
      </c>
      <c r="B34" s="280" t="s">
        <v>307</v>
      </c>
      <c r="C34" s="123" t="s">
        <v>355</v>
      </c>
      <c r="D34" s="121">
        <v>93.8</v>
      </c>
      <c r="E34" s="619"/>
      <c r="F34" s="621"/>
      <c r="G34" s="623"/>
      <c r="H34" s="625"/>
      <c r="I34" s="627"/>
    </row>
    <row r="35" spans="1:9">
      <c r="A35" s="545" t="s">
        <v>379</v>
      </c>
      <c r="B35" s="280" t="s">
        <v>308</v>
      </c>
      <c r="C35" s="123" t="s">
        <v>364</v>
      </c>
      <c r="D35" s="121">
        <v>218</v>
      </c>
      <c r="E35" s="121">
        <v>1</v>
      </c>
      <c r="F35" s="564"/>
      <c r="G35" s="565">
        <f t="shared" ref="G35" si="15">F35*E35</f>
        <v>0</v>
      </c>
      <c r="H35" s="566"/>
      <c r="I35" s="567">
        <f t="shared" ref="I35" si="16">H35*G35</f>
        <v>0</v>
      </c>
    </row>
    <row r="36" spans="1:9">
      <c r="A36" s="545" t="s">
        <v>379</v>
      </c>
      <c r="B36" s="280" t="s">
        <v>308</v>
      </c>
      <c r="C36" s="123" t="s">
        <v>355</v>
      </c>
      <c r="D36" s="121">
        <v>181</v>
      </c>
      <c r="E36" s="121">
        <v>2</v>
      </c>
      <c r="F36" s="564"/>
      <c r="G36" s="565">
        <f t="shared" ref="G36" si="17">F36*E36</f>
        <v>0</v>
      </c>
      <c r="H36" s="566"/>
      <c r="I36" s="567">
        <f t="shared" ref="I36" si="18">H36*G36</f>
        <v>0</v>
      </c>
    </row>
    <row r="37" spans="1:9">
      <c r="A37" s="545" t="s">
        <v>379</v>
      </c>
      <c r="B37" s="280" t="s">
        <v>309</v>
      </c>
      <c r="C37" s="123" t="s">
        <v>186</v>
      </c>
      <c r="D37" s="121">
        <v>24.75</v>
      </c>
      <c r="E37" s="121">
        <v>1</v>
      </c>
      <c r="F37" s="564"/>
      <c r="G37" s="565">
        <f t="shared" si="2"/>
        <v>0</v>
      </c>
      <c r="H37" s="566"/>
      <c r="I37" s="567">
        <f t="shared" si="3"/>
        <v>0</v>
      </c>
    </row>
    <row r="38" spans="1:9">
      <c r="A38" s="545" t="s">
        <v>379</v>
      </c>
      <c r="B38" s="280" t="s">
        <v>310</v>
      </c>
      <c r="C38" s="123" t="s">
        <v>186</v>
      </c>
      <c r="D38" s="121">
        <v>49</v>
      </c>
      <c r="E38" s="618">
        <v>1</v>
      </c>
      <c r="F38" s="620"/>
      <c r="G38" s="622">
        <f t="shared" si="2"/>
        <v>0</v>
      </c>
      <c r="H38" s="624"/>
      <c r="I38" s="626">
        <f t="shared" si="3"/>
        <v>0</v>
      </c>
    </row>
    <row r="39" spans="1:9">
      <c r="A39" s="545" t="s">
        <v>379</v>
      </c>
      <c r="B39" s="280" t="s">
        <v>310</v>
      </c>
      <c r="C39" s="123" t="s">
        <v>355</v>
      </c>
      <c r="D39" s="121">
        <v>52.5</v>
      </c>
      <c r="E39" s="619"/>
      <c r="F39" s="621"/>
      <c r="G39" s="623"/>
      <c r="H39" s="625"/>
      <c r="I39" s="627"/>
    </row>
    <row r="40" spans="1:9">
      <c r="A40" s="545" t="s">
        <v>379</v>
      </c>
      <c r="B40" s="280" t="s">
        <v>311</v>
      </c>
      <c r="C40" s="123" t="s">
        <v>186</v>
      </c>
      <c r="D40" s="121">
        <v>66</v>
      </c>
      <c r="E40" s="618">
        <v>1</v>
      </c>
      <c r="F40" s="620"/>
      <c r="G40" s="622">
        <f t="shared" ref="G40" si="19">F40*E40</f>
        <v>0</v>
      </c>
      <c r="H40" s="624"/>
      <c r="I40" s="626">
        <f t="shared" ref="I40" si="20">H40*G40</f>
        <v>0</v>
      </c>
    </row>
    <row r="41" spans="1:9">
      <c r="A41" s="545" t="s">
        <v>379</v>
      </c>
      <c r="B41" s="280" t="s">
        <v>311</v>
      </c>
      <c r="C41" s="123" t="s">
        <v>355</v>
      </c>
      <c r="D41" s="121">
        <v>38</v>
      </c>
      <c r="E41" s="619"/>
      <c r="F41" s="621"/>
      <c r="G41" s="623"/>
      <c r="H41" s="625"/>
      <c r="I41" s="627"/>
    </row>
    <row r="42" spans="1:9">
      <c r="A42" s="545" t="s">
        <v>379</v>
      </c>
      <c r="B42" s="280" t="s">
        <v>312</v>
      </c>
      <c r="C42" s="123" t="s">
        <v>186</v>
      </c>
      <c r="D42" s="121">
        <v>24</v>
      </c>
      <c r="E42" s="618">
        <v>1</v>
      </c>
      <c r="F42" s="620"/>
      <c r="G42" s="622">
        <f t="shared" ref="G42" si="21">F42*E42</f>
        <v>0</v>
      </c>
      <c r="H42" s="624"/>
      <c r="I42" s="626">
        <f t="shared" ref="I42" si="22">H42*G42</f>
        <v>0</v>
      </c>
    </row>
    <row r="43" spans="1:9">
      <c r="A43" s="545" t="s">
        <v>379</v>
      </c>
      <c r="B43" s="280" t="s">
        <v>312</v>
      </c>
      <c r="C43" s="123" t="s">
        <v>355</v>
      </c>
      <c r="D43" s="121">
        <v>14</v>
      </c>
      <c r="E43" s="619"/>
      <c r="F43" s="621"/>
      <c r="G43" s="623"/>
      <c r="H43" s="625"/>
      <c r="I43" s="627"/>
    </row>
    <row r="44" spans="1:9">
      <c r="A44" s="545" t="s">
        <v>379</v>
      </c>
      <c r="B44" s="280" t="s">
        <v>313</v>
      </c>
      <c r="C44" s="123" t="s">
        <v>186</v>
      </c>
      <c r="D44" s="121">
        <v>64</v>
      </c>
      <c r="E44" s="618">
        <v>1</v>
      </c>
      <c r="F44" s="620"/>
      <c r="G44" s="622">
        <f t="shared" ref="G44" si="23">F44*E44</f>
        <v>0</v>
      </c>
      <c r="H44" s="624"/>
      <c r="I44" s="626">
        <f t="shared" ref="I44" si="24">H44*G44</f>
        <v>0</v>
      </c>
    </row>
    <row r="45" spans="1:9">
      <c r="A45" s="545" t="s">
        <v>379</v>
      </c>
      <c r="B45" s="280" t="s">
        <v>313</v>
      </c>
      <c r="C45" s="123" t="s">
        <v>355</v>
      </c>
      <c r="D45" s="121">
        <v>22</v>
      </c>
      <c r="E45" s="619"/>
      <c r="F45" s="621"/>
      <c r="G45" s="623"/>
      <c r="H45" s="625"/>
      <c r="I45" s="627"/>
    </row>
    <row r="46" spans="1:9">
      <c r="A46" s="545" t="s">
        <v>379</v>
      </c>
      <c r="B46" s="280" t="s">
        <v>314</v>
      </c>
      <c r="C46" s="123" t="s">
        <v>366</v>
      </c>
      <c r="D46" s="121">
        <v>60</v>
      </c>
      <c r="E46" s="121">
        <v>1</v>
      </c>
      <c r="F46" s="564"/>
      <c r="G46" s="565">
        <f t="shared" si="2"/>
        <v>0</v>
      </c>
      <c r="H46" s="566"/>
      <c r="I46" s="567">
        <f t="shared" si="3"/>
        <v>0</v>
      </c>
    </row>
    <row r="47" spans="1:9">
      <c r="A47" s="545" t="s">
        <v>379</v>
      </c>
      <c r="B47" s="280" t="s">
        <v>315</v>
      </c>
      <c r="C47" s="123" t="s">
        <v>186</v>
      </c>
      <c r="D47" s="121">
        <v>25</v>
      </c>
      <c r="E47" s="121">
        <v>1</v>
      </c>
      <c r="F47" s="564"/>
      <c r="G47" s="565">
        <f t="shared" si="2"/>
        <v>0</v>
      </c>
      <c r="H47" s="566"/>
      <c r="I47" s="567">
        <f t="shared" si="3"/>
        <v>0</v>
      </c>
    </row>
    <row r="48" spans="1:9">
      <c r="A48" s="545" t="s">
        <v>379</v>
      </c>
      <c r="B48" s="280" t="s">
        <v>316</v>
      </c>
      <c r="C48" s="123" t="s">
        <v>359</v>
      </c>
      <c r="D48" s="121">
        <v>30</v>
      </c>
      <c r="E48" s="121">
        <v>1</v>
      </c>
      <c r="F48" s="564"/>
      <c r="G48" s="565">
        <f t="shared" si="2"/>
        <v>0</v>
      </c>
      <c r="H48" s="566"/>
      <c r="I48" s="567">
        <f t="shared" si="3"/>
        <v>0</v>
      </c>
    </row>
    <row r="49" spans="1:10">
      <c r="A49" s="545" t="s">
        <v>379</v>
      </c>
      <c r="B49" s="280" t="s">
        <v>317</v>
      </c>
      <c r="C49" s="123" t="s">
        <v>360</v>
      </c>
      <c r="D49" s="121">
        <v>66.5</v>
      </c>
      <c r="E49" s="618">
        <v>1</v>
      </c>
      <c r="F49" s="620"/>
      <c r="G49" s="622">
        <f t="shared" ref="G49" si="25">F49*E49</f>
        <v>0</v>
      </c>
      <c r="H49" s="624"/>
      <c r="I49" s="626">
        <f t="shared" ref="I49" si="26">H49*G49</f>
        <v>0</v>
      </c>
    </row>
    <row r="50" spans="1:10">
      <c r="A50" s="545" t="s">
        <v>379</v>
      </c>
      <c r="B50" s="280" t="s">
        <v>317</v>
      </c>
      <c r="C50" s="123" t="s">
        <v>355</v>
      </c>
      <c r="D50" s="121">
        <v>20</v>
      </c>
      <c r="E50" s="619"/>
      <c r="F50" s="621"/>
      <c r="G50" s="623"/>
      <c r="H50" s="625"/>
      <c r="I50" s="627"/>
    </row>
    <row r="51" spans="1:10">
      <c r="A51" s="545" t="s">
        <v>379</v>
      </c>
      <c r="B51" s="280" t="s">
        <v>318</v>
      </c>
      <c r="C51" s="123" t="s">
        <v>359</v>
      </c>
      <c r="D51" s="121">
        <v>23.5</v>
      </c>
      <c r="E51" s="618">
        <v>1</v>
      </c>
      <c r="F51" s="620"/>
      <c r="G51" s="622">
        <f t="shared" ref="G51" si="27">F51*E51</f>
        <v>0</v>
      </c>
      <c r="H51" s="624"/>
      <c r="I51" s="626">
        <f t="shared" ref="I51" si="28">H51*G51</f>
        <v>0</v>
      </c>
    </row>
    <row r="52" spans="1:10">
      <c r="A52" s="545" t="s">
        <v>379</v>
      </c>
      <c r="B52" s="280" t="s">
        <v>318</v>
      </c>
      <c r="C52" s="123" t="s">
        <v>355</v>
      </c>
      <c r="D52" s="121">
        <v>4.9000000000000004</v>
      </c>
      <c r="E52" s="619"/>
      <c r="F52" s="621"/>
      <c r="G52" s="623"/>
      <c r="H52" s="625"/>
      <c r="I52" s="627"/>
    </row>
    <row r="53" spans="1:10">
      <c r="A53" s="545" t="s">
        <v>379</v>
      </c>
      <c r="B53" s="280" t="s">
        <v>319</v>
      </c>
      <c r="C53" s="123" t="s">
        <v>359</v>
      </c>
      <c r="D53" s="121">
        <v>14.7</v>
      </c>
      <c r="E53" s="618">
        <v>1</v>
      </c>
      <c r="F53" s="620"/>
      <c r="G53" s="622">
        <f t="shared" ref="G53" si="29">F53*E53</f>
        <v>0</v>
      </c>
      <c r="H53" s="624"/>
      <c r="I53" s="626">
        <f t="shared" ref="I53" si="30">H53*G53</f>
        <v>0</v>
      </c>
    </row>
    <row r="54" spans="1:10">
      <c r="A54" s="545" t="s">
        <v>379</v>
      </c>
      <c r="B54" s="280" t="s">
        <v>319</v>
      </c>
      <c r="C54" s="123" t="s">
        <v>355</v>
      </c>
      <c r="D54" s="121">
        <v>0.6</v>
      </c>
      <c r="E54" s="619"/>
      <c r="F54" s="621"/>
      <c r="G54" s="623"/>
      <c r="H54" s="625"/>
      <c r="I54" s="627"/>
    </row>
    <row r="55" spans="1:10">
      <c r="A55" s="545" t="s">
        <v>379</v>
      </c>
      <c r="B55" s="280" t="s">
        <v>367</v>
      </c>
      <c r="C55" s="123" t="s">
        <v>359</v>
      </c>
      <c r="D55" s="121">
        <v>25.73</v>
      </c>
      <c r="E55" s="618">
        <v>1</v>
      </c>
      <c r="F55" s="620"/>
      <c r="G55" s="622">
        <f t="shared" ref="G55" si="31">F55*E55</f>
        <v>0</v>
      </c>
      <c r="H55" s="624"/>
      <c r="I55" s="626">
        <f t="shared" ref="I55" si="32">H55*G55</f>
        <v>0</v>
      </c>
    </row>
    <row r="56" spans="1:10">
      <c r="A56" s="545" t="s">
        <v>379</v>
      </c>
      <c r="B56" s="280" t="s">
        <v>367</v>
      </c>
      <c r="C56" s="123" t="s">
        <v>355</v>
      </c>
      <c r="D56" s="121">
        <v>10.31</v>
      </c>
      <c r="E56" s="619"/>
      <c r="F56" s="621"/>
      <c r="G56" s="623"/>
      <c r="H56" s="625"/>
      <c r="I56" s="627"/>
    </row>
    <row r="57" spans="1:10">
      <c r="A57" s="545" t="s">
        <v>379</v>
      </c>
      <c r="B57" s="280" t="s">
        <v>368</v>
      </c>
      <c r="C57" s="123" t="s">
        <v>359</v>
      </c>
      <c r="D57" s="121">
        <v>12.75</v>
      </c>
      <c r="E57" s="618">
        <v>1</v>
      </c>
      <c r="F57" s="620"/>
      <c r="G57" s="622">
        <f t="shared" ref="G57" si="33">F57*E57</f>
        <v>0</v>
      </c>
      <c r="H57" s="624"/>
      <c r="I57" s="626">
        <f t="shared" ref="I57" si="34">H57*G57</f>
        <v>0</v>
      </c>
    </row>
    <row r="58" spans="1:10">
      <c r="A58" s="545" t="s">
        <v>379</v>
      </c>
      <c r="B58" s="280" t="s">
        <v>368</v>
      </c>
      <c r="C58" s="123" t="s">
        <v>355</v>
      </c>
      <c r="D58" s="121">
        <v>12.75</v>
      </c>
      <c r="E58" s="619"/>
      <c r="F58" s="621"/>
      <c r="G58" s="623"/>
      <c r="H58" s="625"/>
      <c r="I58" s="627"/>
    </row>
    <row r="59" spans="1:10">
      <c r="A59" s="545" t="s">
        <v>379</v>
      </c>
      <c r="B59" s="280" t="s">
        <v>369</v>
      </c>
      <c r="C59" s="123" t="s">
        <v>359</v>
      </c>
      <c r="D59" s="121">
        <v>11.5</v>
      </c>
      <c r="E59" s="618">
        <v>1</v>
      </c>
      <c r="F59" s="620"/>
      <c r="G59" s="622">
        <f t="shared" ref="G59" si="35">F59*E59</f>
        <v>0</v>
      </c>
      <c r="H59" s="624"/>
      <c r="I59" s="626">
        <f t="shared" ref="I59" si="36">H59*G59</f>
        <v>0</v>
      </c>
    </row>
    <row r="60" spans="1:10">
      <c r="A60" s="545" t="s">
        <v>379</v>
      </c>
      <c r="B60" s="280" t="s">
        <v>369</v>
      </c>
      <c r="C60" s="123" t="s">
        <v>355</v>
      </c>
      <c r="D60" s="121">
        <v>0.6</v>
      </c>
      <c r="E60" s="619"/>
      <c r="F60" s="621"/>
      <c r="G60" s="623"/>
      <c r="H60" s="625"/>
      <c r="I60" s="627"/>
    </row>
    <row r="61" spans="1:10">
      <c r="A61" s="545" t="s">
        <v>379</v>
      </c>
      <c r="B61" s="280" t="s">
        <v>320</v>
      </c>
      <c r="C61" s="123" t="s">
        <v>186</v>
      </c>
      <c r="D61" s="121">
        <v>85.5</v>
      </c>
      <c r="E61" s="628">
        <v>1</v>
      </c>
      <c r="F61" s="629"/>
      <c r="G61" s="630">
        <f t="shared" ref="G61" si="37">F61*E61</f>
        <v>0</v>
      </c>
      <c r="H61" s="631"/>
      <c r="I61" s="632">
        <f t="shared" ref="I61" si="38">H61*G61</f>
        <v>0</v>
      </c>
    </row>
    <row r="62" spans="1:10" ht="14.25" thickBot="1">
      <c r="A62" s="548" t="s">
        <v>379</v>
      </c>
      <c r="B62" s="558" t="s">
        <v>320</v>
      </c>
      <c r="C62" s="557" t="s">
        <v>355</v>
      </c>
      <c r="D62" s="568">
        <v>12</v>
      </c>
      <c r="E62" s="633"/>
      <c r="F62" s="637"/>
      <c r="G62" s="635"/>
      <c r="H62" s="636"/>
      <c r="I62" s="634"/>
    </row>
    <row r="64" spans="1:10" s="145" customFormat="1" ht="12.75">
      <c r="A64" s="181" t="s">
        <v>8</v>
      </c>
      <c r="B64" s="283"/>
      <c r="C64" s="283"/>
      <c r="D64" s="569"/>
      <c r="E64" s="569"/>
      <c r="F64" s="569"/>
      <c r="G64" s="570">
        <f>SUM(G11:G62)</f>
        <v>0</v>
      </c>
      <c r="H64" s="569"/>
      <c r="I64" s="571">
        <f>SUM(I11:I62)</f>
        <v>0</v>
      </c>
      <c r="J64" s="572"/>
    </row>
    <row r="67" spans="1:1">
      <c r="A67" s="3" t="s">
        <v>399</v>
      </c>
    </row>
  </sheetData>
  <mergeCells count="85">
    <mergeCell ref="E59:E60"/>
    <mergeCell ref="F59:F60"/>
    <mergeCell ref="G59:G60"/>
    <mergeCell ref="H59:H60"/>
    <mergeCell ref="I59:I60"/>
    <mergeCell ref="E61:E62"/>
    <mergeCell ref="I61:I62"/>
    <mergeCell ref="G61:G62"/>
    <mergeCell ref="H61:H62"/>
    <mergeCell ref="F61:F62"/>
    <mergeCell ref="E55:E56"/>
    <mergeCell ref="F55:F56"/>
    <mergeCell ref="G55:G56"/>
    <mergeCell ref="H55:H56"/>
    <mergeCell ref="I55:I56"/>
    <mergeCell ref="E57:E58"/>
    <mergeCell ref="F57:F58"/>
    <mergeCell ref="G57:G58"/>
    <mergeCell ref="H57:H58"/>
    <mergeCell ref="I57:I58"/>
    <mergeCell ref="E51:E52"/>
    <mergeCell ref="F51:F52"/>
    <mergeCell ref="G51:G52"/>
    <mergeCell ref="H51:H52"/>
    <mergeCell ref="I51:I52"/>
    <mergeCell ref="E53:E54"/>
    <mergeCell ref="F53:F54"/>
    <mergeCell ref="G53:G54"/>
    <mergeCell ref="H53:H54"/>
    <mergeCell ref="I53:I54"/>
    <mergeCell ref="E44:E45"/>
    <mergeCell ref="F44:F45"/>
    <mergeCell ref="G44:G45"/>
    <mergeCell ref="H44:H45"/>
    <mergeCell ref="I44:I45"/>
    <mergeCell ref="E49:E50"/>
    <mergeCell ref="F49:F50"/>
    <mergeCell ref="G49:G50"/>
    <mergeCell ref="H49:H50"/>
    <mergeCell ref="I49:I50"/>
    <mergeCell ref="E40:E41"/>
    <mergeCell ref="F40:F41"/>
    <mergeCell ref="G40:G41"/>
    <mergeCell ref="H40:H41"/>
    <mergeCell ref="I40:I41"/>
    <mergeCell ref="E42:E43"/>
    <mergeCell ref="F42:F43"/>
    <mergeCell ref="G42:G43"/>
    <mergeCell ref="H42:H43"/>
    <mergeCell ref="I42:I43"/>
    <mergeCell ref="E27:E28"/>
    <mergeCell ref="F27:F28"/>
    <mergeCell ref="G27:G28"/>
    <mergeCell ref="H27:H28"/>
    <mergeCell ref="I27:I28"/>
    <mergeCell ref="E38:E39"/>
    <mergeCell ref="F38:F39"/>
    <mergeCell ref="G38:G39"/>
    <mergeCell ref="H38:H39"/>
    <mergeCell ref="I38:I39"/>
    <mergeCell ref="E33:E34"/>
    <mergeCell ref="F33:F34"/>
    <mergeCell ref="G33:G34"/>
    <mergeCell ref="H33:H34"/>
    <mergeCell ref="I33:I34"/>
    <mergeCell ref="E19:E20"/>
    <mergeCell ref="F19:F20"/>
    <mergeCell ref="G19:G20"/>
    <mergeCell ref="H19:H20"/>
    <mergeCell ref="I19:I20"/>
    <mergeCell ref="E21:E22"/>
    <mergeCell ref="F21:F22"/>
    <mergeCell ref="G21:G22"/>
    <mergeCell ref="H21:H22"/>
    <mergeCell ref="I21:I22"/>
    <mergeCell ref="E11:E12"/>
    <mergeCell ref="F11:F12"/>
    <mergeCell ref="G11:G12"/>
    <mergeCell ref="H11:H12"/>
    <mergeCell ref="I11:I12"/>
    <mergeCell ref="E14:E15"/>
    <mergeCell ref="F14:F15"/>
    <mergeCell ref="G14:G15"/>
    <mergeCell ref="H14:H15"/>
    <mergeCell ref="I14:I15"/>
  </mergeCells>
  <pageMargins left="0.59375" right="0.7" top="0.75" bottom="0.75" header="0.3" footer="0.3"/>
  <pageSetup paperSize="9" scale="63" fitToHeight="0" orientation="landscape" r:id="rId1"/>
  <headerFooter>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1">
    <tabColor theme="0" tint="-0.14999847407452621"/>
  </sheetPr>
  <dimension ref="A1:F56"/>
  <sheetViews>
    <sheetView showGridLines="0" showZeros="0" zoomScale="70" zoomScaleNormal="70" zoomScaleSheetLayoutView="75" zoomScalePageLayoutView="50" workbookViewId="0">
      <pane ySplit="10" topLeftCell="A11" activePane="bottomLeft" state="frozen"/>
      <selection activeCell="A6" sqref="A6:F6"/>
      <selection pane="bottomLeft" activeCell="A11" sqref="A11"/>
    </sheetView>
  </sheetViews>
  <sheetFormatPr defaultColWidth="11.42578125" defaultRowHeight="13.5"/>
  <cols>
    <col min="1" max="1" width="39" style="3" customWidth="1"/>
    <col min="2" max="2" width="20.28515625" style="3" customWidth="1"/>
    <col min="3" max="6" width="17.5703125" style="3" customWidth="1"/>
    <col min="7" max="16384" width="11.42578125" style="3"/>
  </cols>
  <sheetData>
    <row r="1" spans="1:6" ht="14.25">
      <c r="A1" s="423" t="s">
        <v>27</v>
      </c>
      <c r="B1" s="284"/>
      <c r="C1" s="284"/>
      <c r="D1" s="285"/>
    </row>
    <row r="3" spans="1:6" ht="17.25">
      <c r="A3" s="108" t="str">
        <f>'1-Contractblad totaal'!A3</f>
        <v>Naam opdrachtgever</v>
      </c>
      <c r="B3" s="136" t="str">
        <f>'1-Contractblad totaal'!B3</f>
        <v>Hoogheemraadschap De Stichtse Rijnlanden</v>
      </c>
      <c r="C3" s="286"/>
      <c r="D3" s="286"/>
    </row>
    <row r="4" spans="1:6" ht="17.25">
      <c r="A4" s="108" t="str">
        <f>'1-Contractblad totaal'!A4</f>
        <v>Calculatie onderdeel</v>
      </c>
      <c r="B4" s="136" t="str">
        <f ca="1">MID(CELL("bestandsnaam",$C$9),SEARCH("]",CELL("bestandsnaam",$C$9),1)+1,256)</f>
        <v>9-Afroepprijs</v>
      </c>
      <c r="C4" s="287"/>
      <c r="D4" s="288"/>
    </row>
    <row r="5" spans="1:6" ht="17.25">
      <c r="A5" s="108" t="str">
        <f>'1-Contractblad totaal'!A5</f>
        <v>Gebouw/plaats</v>
      </c>
      <c r="B5" s="136" t="str">
        <f>'1-Contractblad totaal'!B5</f>
        <v>Divers</v>
      </c>
      <c r="C5" s="287"/>
      <c r="D5" s="288"/>
    </row>
    <row r="6" spans="1:6" ht="17.25">
      <c r="A6" s="108" t="str">
        <f>'1-Contractblad totaal'!A6</f>
        <v>Referentie nummer</v>
      </c>
      <c r="B6" s="136" t="str">
        <f>'1-Contractblad totaal'!B6</f>
        <v>Invoer</v>
      </c>
      <c r="C6" s="287"/>
      <c r="D6" s="288"/>
    </row>
    <row r="7" spans="1:6" ht="17.25">
      <c r="A7" s="108" t="str">
        <f>'1-Contractblad totaal'!A8</f>
        <v>Naam dienstverlener</v>
      </c>
      <c r="B7" s="136">
        <f>'1-Contractblad totaal'!B8</f>
        <v>0</v>
      </c>
      <c r="C7" s="287"/>
      <c r="D7" s="288"/>
    </row>
    <row r="8" spans="1:6" ht="15.75">
      <c r="A8" s="108" t="str">
        <f>'1-Contractblad totaal'!A9</f>
        <v>Prijspeil</v>
      </c>
      <c r="B8" s="109">
        <f>'1-Contractblad totaal'!B9</f>
        <v>45017</v>
      </c>
      <c r="C8" s="287"/>
      <c r="D8" s="288"/>
    </row>
    <row r="9" spans="1:6" ht="17.25">
      <c r="A9" s="102"/>
      <c r="B9" s="289"/>
      <c r="C9" s="287"/>
      <c r="D9" s="288"/>
    </row>
    <row r="10" spans="1:6">
      <c r="A10" s="290"/>
      <c r="B10" s="291"/>
      <c r="C10" s="291"/>
      <c r="D10" s="291"/>
    </row>
    <row r="11" spans="1:6" ht="15">
      <c r="A11" s="313" t="s">
        <v>172</v>
      </c>
      <c r="B11" s="314"/>
      <c r="C11" s="314"/>
      <c r="D11" s="315"/>
      <c r="E11" s="315"/>
      <c r="F11" s="316"/>
    </row>
    <row r="13" spans="1:6">
      <c r="A13" s="297"/>
      <c r="B13" s="298"/>
      <c r="C13" s="638" t="s">
        <v>127</v>
      </c>
      <c r="D13" s="639"/>
      <c r="E13" s="639"/>
      <c r="F13" s="640"/>
    </row>
    <row r="14" spans="1:6">
      <c r="A14" s="299" t="s">
        <v>57</v>
      </c>
      <c r="B14" s="299" t="s">
        <v>12</v>
      </c>
      <c r="C14" s="300" t="s">
        <v>123</v>
      </c>
      <c r="D14" s="281" t="s">
        <v>124</v>
      </c>
      <c r="E14" s="281" t="s">
        <v>125</v>
      </c>
      <c r="F14" s="281" t="s">
        <v>126</v>
      </c>
    </row>
    <row r="15" spans="1:6" ht="14.25">
      <c r="A15" s="292" t="s">
        <v>82</v>
      </c>
      <c r="B15" s="292" t="s">
        <v>38</v>
      </c>
      <c r="C15" s="432">
        <v>0</v>
      </c>
      <c r="D15" s="432">
        <v>0</v>
      </c>
      <c r="E15" s="432">
        <v>0</v>
      </c>
      <c r="F15" s="432">
        <v>0</v>
      </c>
    </row>
    <row r="16" spans="1:6" ht="14.25">
      <c r="A16" s="292" t="s">
        <v>83</v>
      </c>
      <c r="B16" s="292" t="s">
        <v>39</v>
      </c>
      <c r="C16" s="432">
        <v>0</v>
      </c>
      <c r="D16" s="432">
        <v>0</v>
      </c>
      <c r="E16" s="432">
        <v>0</v>
      </c>
      <c r="F16" s="432">
        <v>0</v>
      </c>
    </row>
    <row r="17" spans="1:6" ht="14.25">
      <c r="A17" s="299" t="s">
        <v>84</v>
      </c>
      <c r="B17" s="430"/>
      <c r="C17" s="432">
        <v>0</v>
      </c>
      <c r="D17" s="432">
        <v>0</v>
      </c>
      <c r="E17" s="432">
        <v>0</v>
      </c>
      <c r="F17" s="432">
        <v>0</v>
      </c>
    </row>
    <row r="18" spans="1:6" ht="14.25">
      <c r="A18" s="299" t="s">
        <v>7</v>
      </c>
      <c r="B18" s="430"/>
      <c r="C18" s="432">
        <v>0</v>
      </c>
      <c r="D18" s="432">
        <v>0</v>
      </c>
      <c r="E18" s="432">
        <v>0</v>
      </c>
      <c r="F18" s="432">
        <v>0</v>
      </c>
    </row>
    <row r="19" spans="1:6" ht="14.25">
      <c r="A19" s="293"/>
      <c r="B19" s="293"/>
      <c r="C19" s="293"/>
      <c r="D19" s="284"/>
    </row>
    <row r="20" spans="1:6" ht="15">
      <c r="A20" s="313" t="s">
        <v>246</v>
      </c>
      <c r="B20" s="314"/>
      <c r="C20" s="314"/>
      <c r="D20" s="314"/>
      <c r="E20" s="314"/>
      <c r="F20" s="317"/>
    </row>
    <row r="21" spans="1:6" ht="14.25">
      <c r="A21" s="301"/>
      <c r="B21" s="293"/>
      <c r="C21" s="293"/>
      <c r="D21" s="284"/>
      <c r="E21" s="638" t="s">
        <v>24</v>
      </c>
      <c r="F21" s="640"/>
    </row>
    <row r="22" spans="1:6">
      <c r="A22" s="299" t="s">
        <v>174</v>
      </c>
      <c r="B22" s="302" t="s">
        <v>12</v>
      </c>
      <c r="C22" s="303"/>
      <c r="D22" s="304"/>
      <c r="E22" s="300" t="s">
        <v>175</v>
      </c>
      <c r="F22" s="300" t="s">
        <v>176</v>
      </c>
    </row>
    <row r="23" spans="1:6" ht="14.25">
      <c r="A23" s="292" t="s">
        <v>177</v>
      </c>
      <c r="B23" s="430" t="s">
        <v>19</v>
      </c>
      <c r="C23" s="431"/>
      <c r="D23" s="431"/>
      <c r="E23" s="432">
        <v>0</v>
      </c>
      <c r="F23" s="432">
        <v>0</v>
      </c>
    </row>
    <row r="24" spans="1:6" ht="14.25">
      <c r="A24" s="292" t="s">
        <v>178</v>
      </c>
      <c r="B24" s="430" t="s">
        <v>19</v>
      </c>
      <c r="C24" s="433"/>
      <c r="D24" s="433"/>
      <c r="E24" s="432">
        <v>0</v>
      </c>
      <c r="F24" s="432">
        <v>0</v>
      </c>
    </row>
    <row r="25" spans="1:6" ht="14.25">
      <c r="A25" s="292" t="s">
        <v>179</v>
      </c>
      <c r="B25" s="430" t="s">
        <v>19</v>
      </c>
      <c r="C25" s="433"/>
      <c r="D25" s="433"/>
      <c r="E25" s="432">
        <v>0</v>
      </c>
      <c r="F25" s="432">
        <v>0</v>
      </c>
    </row>
    <row r="26" spans="1:6" ht="14.25">
      <c r="A26" s="292" t="s">
        <v>180</v>
      </c>
      <c r="B26" s="430" t="s">
        <v>19</v>
      </c>
      <c r="C26" s="434"/>
      <c r="D26" s="433"/>
      <c r="E26" s="432">
        <v>0</v>
      </c>
      <c r="F26" s="432">
        <v>0</v>
      </c>
    </row>
    <row r="27" spans="1:6" ht="14.25">
      <c r="A27" s="292" t="s">
        <v>181</v>
      </c>
      <c r="B27" s="430" t="s">
        <v>19</v>
      </c>
      <c r="C27" s="434"/>
      <c r="D27" s="433"/>
      <c r="E27" s="432">
        <v>0</v>
      </c>
      <c r="F27" s="432">
        <v>0</v>
      </c>
    </row>
    <row r="28" spans="1:6">
      <c r="A28" s="305"/>
      <c r="B28" s="306"/>
      <c r="C28" s="306"/>
      <c r="D28" s="305"/>
    </row>
    <row r="29" spans="1:6" ht="15">
      <c r="A29" s="313" t="s">
        <v>173</v>
      </c>
      <c r="B29" s="314"/>
      <c r="C29" s="314"/>
      <c r="D29" s="314"/>
      <c r="E29" s="314"/>
      <c r="F29" s="317"/>
    </row>
    <row r="30" spans="1:6">
      <c r="A30" s="294"/>
      <c r="B30" s="294"/>
      <c r="C30" s="294"/>
      <c r="D30" s="294"/>
    </row>
    <row r="31" spans="1:6" ht="27">
      <c r="A31" s="307" t="s">
        <v>57</v>
      </c>
      <c r="B31" s="308" t="s">
        <v>12</v>
      </c>
      <c r="C31" s="303"/>
      <c r="D31" s="304"/>
      <c r="E31" s="309" t="s">
        <v>121</v>
      </c>
      <c r="F31" s="310" t="s">
        <v>122</v>
      </c>
    </row>
    <row r="32" spans="1:6" ht="14.25">
      <c r="A32" s="292" t="s">
        <v>182</v>
      </c>
      <c r="B32" s="430" t="s">
        <v>19</v>
      </c>
      <c r="C32" s="431"/>
      <c r="D32" s="431"/>
      <c r="E32" s="432">
        <v>0</v>
      </c>
      <c r="F32" s="432">
        <v>0</v>
      </c>
    </row>
    <row r="33" spans="1:6" ht="14.25">
      <c r="A33" s="292" t="s">
        <v>183</v>
      </c>
      <c r="B33" s="430" t="s">
        <v>19</v>
      </c>
      <c r="C33" s="433"/>
      <c r="D33" s="433"/>
      <c r="E33" s="432">
        <v>0</v>
      </c>
      <c r="F33" s="432">
        <v>0</v>
      </c>
    </row>
    <row r="34" spans="1:6" ht="14.25">
      <c r="A34" s="292" t="s">
        <v>184</v>
      </c>
      <c r="B34" s="430" t="s">
        <v>19</v>
      </c>
      <c r="C34" s="434"/>
      <c r="D34" s="433"/>
      <c r="E34" s="432">
        <v>0</v>
      </c>
      <c r="F34" s="432">
        <v>0</v>
      </c>
    </row>
    <row r="35" spans="1:6" ht="14.25">
      <c r="A35" s="292" t="s">
        <v>247</v>
      </c>
      <c r="B35" s="430" t="s">
        <v>19</v>
      </c>
      <c r="C35" s="434"/>
      <c r="D35" s="433"/>
      <c r="E35" s="432">
        <v>0</v>
      </c>
      <c r="F35" s="432">
        <v>0</v>
      </c>
    </row>
    <row r="36" spans="1:6" ht="14.25">
      <c r="A36" s="292" t="s">
        <v>248</v>
      </c>
      <c r="B36" s="430" t="s">
        <v>19</v>
      </c>
      <c r="C36" s="434"/>
      <c r="D36" s="433"/>
      <c r="E36" s="432">
        <v>0</v>
      </c>
      <c r="F36" s="432">
        <v>0</v>
      </c>
    </row>
    <row r="38" spans="1:6" ht="15">
      <c r="A38" s="313" t="s">
        <v>185</v>
      </c>
      <c r="B38" s="314"/>
      <c r="C38" s="314"/>
      <c r="D38" s="314"/>
      <c r="E38" s="314"/>
      <c r="F38" s="317"/>
    </row>
    <row r="39" spans="1:6" ht="14.25">
      <c r="A39" s="301"/>
      <c r="B39" s="293"/>
      <c r="C39" s="293"/>
      <c r="D39" s="284"/>
    </row>
    <row r="40" spans="1:6">
      <c r="A40" s="299" t="s">
        <v>57</v>
      </c>
      <c r="B40" s="297" t="s">
        <v>12</v>
      </c>
      <c r="C40" s="294"/>
      <c r="D40" s="294"/>
      <c r="E40" s="294"/>
      <c r="F40" s="311" t="s">
        <v>128</v>
      </c>
    </row>
    <row r="41" spans="1:6" ht="14.25">
      <c r="A41" s="292" t="s">
        <v>186</v>
      </c>
      <c r="B41" s="295" t="s">
        <v>129</v>
      </c>
      <c r="C41" s="295"/>
      <c r="D41" s="295"/>
      <c r="E41" s="295"/>
      <c r="F41" s="432">
        <v>0</v>
      </c>
    </row>
    <row r="42" spans="1:6" ht="14.25">
      <c r="A42" s="292" t="s">
        <v>186</v>
      </c>
      <c r="B42" s="295" t="s">
        <v>131</v>
      </c>
      <c r="C42" s="295"/>
      <c r="D42" s="295"/>
      <c r="E42" s="295"/>
      <c r="F42" s="432">
        <v>0</v>
      </c>
    </row>
    <row r="43" spans="1:6" ht="14.25">
      <c r="A43" s="292" t="s">
        <v>186</v>
      </c>
      <c r="B43" s="295" t="s">
        <v>130</v>
      </c>
      <c r="C43" s="295"/>
      <c r="D43" s="295"/>
      <c r="E43" s="295"/>
      <c r="F43" s="432">
        <v>0</v>
      </c>
    </row>
    <row r="44" spans="1:6" ht="14.25">
      <c r="A44" s="292" t="s">
        <v>158</v>
      </c>
      <c r="B44" s="295" t="s">
        <v>129</v>
      </c>
      <c r="C44" s="295"/>
      <c r="D44" s="295"/>
      <c r="E44" s="295"/>
      <c r="F44" s="432">
        <v>0</v>
      </c>
    </row>
    <row r="45" spans="1:6" ht="14.25">
      <c r="A45" s="293"/>
      <c r="B45" s="284"/>
      <c r="C45" s="284"/>
      <c r="D45" s="293"/>
    </row>
    <row r="46" spans="1:6" ht="15">
      <c r="A46" s="312" t="s">
        <v>1</v>
      </c>
      <c r="B46" s="284"/>
      <c r="C46" s="284"/>
      <c r="D46" s="293"/>
    </row>
    <row r="47" spans="1:6">
      <c r="A47" s="293" t="s">
        <v>43</v>
      </c>
    </row>
    <row r="48" spans="1:6" ht="14.25">
      <c r="A48" s="293" t="s">
        <v>187</v>
      </c>
      <c r="B48" s="284"/>
      <c r="C48" s="284"/>
      <c r="D48" s="293"/>
    </row>
    <row r="49" spans="1:4" ht="12.75" customHeight="1">
      <c r="A49" s="293"/>
      <c r="B49" s="284"/>
      <c r="C49" s="284"/>
      <c r="D49" s="293"/>
    </row>
    <row r="50" spans="1:4" ht="14.25">
      <c r="A50" s="293"/>
      <c r="B50" s="284"/>
      <c r="C50" s="284"/>
      <c r="D50" s="293"/>
    </row>
    <row r="51" spans="1:4" ht="14.25">
      <c r="A51" s="293"/>
      <c r="B51" s="284"/>
      <c r="C51" s="284"/>
      <c r="D51" s="293"/>
    </row>
    <row r="53" spans="1:4" ht="14.25">
      <c r="A53" s="296"/>
      <c r="B53" s="284"/>
      <c r="C53" s="284"/>
      <c r="D53" s="284"/>
    </row>
    <row r="54" spans="1:4">
      <c r="A54" s="296"/>
    </row>
    <row r="55" spans="1:4">
      <c r="A55" s="296"/>
    </row>
    <row r="56" spans="1:4">
      <c r="A56" s="296"/>
    </row>
  </sheetData>
  <mergeCells count="2">
    <mergeCell ref="C13:F13"/>
    <mergeCell ref="E21:F21"/>
  </mergeCells>
  <phoneticPr fontId="11"/>
  <conditionalFormatting sqref="E36:F36">
    <cfRule type="cellIs" dxfId="7" priority="19" stopIfTrue="1" operator="equal">
      <formula>"nvt"</formula>
    </cfRule>
  </conditionalFormatting>
  <conditionalFormatting sqref="F23 E26:F26 F25 E23:E25">
    <cfRule type="cellIs" dxfId="6" priority="8" stopIfTrue="1" operator="equal">
      <formula>"nvt"</formula>
    </cfRule>
  </conditionalFormatting>
  <conditionalFormatting sqref="F24">
    <cfRule type="cellIs" dxfId="5" priority="7" stopIfTrue="1" operator="equal">
      <formula>"nvt"</formula>
    </cfRule>
  </conditionalFormatting>
  <conditionalFormatting sqref="F41:F44">
    <cfRule type="cellIs" dxfId="4" priority="9" stopIfTrue="1" operator="equal">
      <formula>"nvt"</formula>
    </cfRule>
  </conditionalFormatting>
  <conditionalFormatting sqref="E27:F27">
    <cfRule type="cellIs" dxfId="3" priority="6" stopIfTrue="1" operator="equal">
      <formula>"nvt"</formula>
    </cfRule>
  </conditionalFormatting>
  <conditionalFormatting sqref="F32 E32:E33 E35:F35">
    <cfRule type="cellIs" dxfId="2" priority="5" stopIfTrue="1" operator="equal">
      <formula>"nvt"</formula>
    </cfRule>
  </conditionalFormatting>
  <conditionalFormatting sqref="F33">
    <cfRule type="cellIs" dxfId="1" priority="4" stopIfTrue="1" operator="equal">
      <formula>"nvt"</formula>
    </cfRule>
  </conditionalFormatting>
  <conditionalFormatting sqref="E34:F34">
    <cfRule type="cellIs" dxfId="0" priority="3"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2">
    <tabColor theme="0" tint="-0.14999847407452621"/>
    <pageSetUpPr fitToPage="1"/>
  </sheetPr>
  <dimension ref="A1:L19"/>
  <sheetViews>
    <sheetView showGridLines="0" zoomScale="70" zoomScaleNormal="70" zoomScaleSheetLayoutView="50" zoomScalePageLayoutView="50" workbookViewId="0">
      <pane ySplit="12" topLeftCell="A13" activePane="bottomLeft" state="frozen"/>
      <selection activeCell="A6" sqref="A6:F6"/>
      <selection pane="bottomLeft" activeCell="A13" sqref="A13"/>
    </sheetView>
  </sheetViews>
  <sheetFormatPr defaultColWidth="13.7109375" defaultRowHeight="13.5"/>
  <cols>
    <col min="1" max="1" width="46.140625" style="328" customWidth="1"/>
    <col min="2" max="3" width="27.5703125" style="333" customWidth="1"/>
    <col min="4" max="4" width="12.140625" style="328" customWidth="1"/>
    <col min="5" max="5" width="24.28515625" style="335" customWidth="1"/>
    <col min="6" max="6" width="13.7109375" style="328" customWidth="1"/>
    <col min="7" max="7" width="16.140625" style="334" customWidth="1"/>
    <col min="8" max="8" width="13.7109375" style="335" customWidth="1"/>
    <col min="9" max="9" width="15.85546875" style="335" customWidth="1"/>
    <col min="10" max="233" width="13.7109375" style="328"/>
    <col min="234" max="234" width="22.140625" style="328" customWidth="1"/>
    <col min="235" max="241" width="13.7109375" style="328" customWidth="1"/>
    <col min="242" max="242" width="15.85546875" style="328" customWidth="1"/>
    <col min="243" max="243" width="16.5703125" style="328" bestFit="1" customWidth="1"/>
    <col min="244" max="244" width="13.7109375" style="328" customWidth="1"/>
    <col min="245" max="245" width="17.140625" style="328" bestFit="1" customWidth="1"/>
    <col min="246" max="246" width="4" style="328" customWidth="1"/>
    <col min="247" max="247" width="13.7109375" style="328" customWidth="1"/>
    <col min="248" max="489" width="13.7109375" style="328"/>
    <col min="490" max="490" width="22.140625" style="328" customWidth="1"/>
    <col min="491" max="497" width="13.7109375" style="328" customWidth="1"/>
    <col min="498" max="498" width="15.85546875" style="328" customWidth="1"/>
    <col min="499" max="499" width="16.5703125" style="328" bestFit="1" customWidth="1"/>
    <col min="500" max="500" width="13.7109375" style="328" customWidth="1"/>
    <col min="501" max="501" width="17.140625" style="328" bestFit="1" customWidth="1"/>
    <col min="502" max="502" width="4" style="328" customWidth="1"/>
    <col min="503" max="503" width="13.7109375" style="328" customWidth="1"/>
    <col min="504" max="745" width="13.7109375" style="328"/>
    <col min="746" max="746" width="22.140625" style="328" customWidth="1"/>
    <col min="747" max="753" width="13.7109375" style="328" customWidth="1"/>
    <col min="754" max="754" width="15.85546875" style="328" customWidth="1"/>
    <col min="755" max="755" width="16.5703125" style="328" bestFit="1" customWidth="1"/>
    <col min="756" max="756" width="13.7109375" style="328" customWidth="1"/>
    <col min="757" max="757" width="17.140625" style="328" bestFit="1" customWidth="1"/>
    <col min="758" max="758" width="4" style="328" customWidth="1"/>
    <col min="759" max="759" width="13.7109375" style="328" customWidth="1"/>
    <col min="760" max="1001" width="13.7109375" style="328"/>
    <col min="1002" max="1002" width="22.140625" style="328" customWidth="1"/>
    <col min="1003" max="1009" width="13.7109375" style="328" customWidth="1"/>
    <col min="1010" max="1010" width="15.85546875" style="328" customWidth="1"/>
    <col min="1011" max="1011" width="16.5703125" style="328" bestFit="1" customWidth="1"/>
    <col min="1012" max="1012" width="13.7109375" style="328" customWidth="1"/>
    <col min="1013" max="1013" width="17.140625" style="328" bestFit="1" customWidth="1"/>
    <col min="1014" max="1014" width="4" style="328" customWidth="1"/>
    <col min="1015" max="1015" width="13.7109375" style="328" customWidth="1"/>
    <col min="1016" max="1257" width="13.7109375" style="328"/>
    <col min="1258" max="1258" width="22.140625" style="328" customWidth="1"/>
    <col min="1259" max="1265" width="13.7109375" style="328" customWidth="1"/>
    <col min="1266" max="1266" width="15.85546875" style="328" customWidth="1"/>
    <col min="1267" max="1267" width="16.5703125" style="328" bestFit="1" customWidth="1"/>
    <col min="1268" max="1268" width="13.7109375" style="328" customWidth="1"/>
    <col min="1269" max="1269" width="17.140625" style="328" bestFit="1" customWidth="1"/>
    <col min="1270" max="1270" width="4" style="328" customWidth="1"/>
    <col min="1271" max="1271" width="13.7109375" style="328" customWidth="1"/>
    <col min="1272" max="1513" width="13.7109375" style="328"/>
    <col min="1514" max="1514" width="22.140625" style="328" customWidth="1"/>
    <col min="1515" max="1521" width="13.7109375" style="328" customWidth="1"/>
    <col min="1522" max="1522" width="15.85546875" style="328" customWidth="1"/>
    <col min="1523" max="1523" width="16.5703125" style="328" bestFit="1" customWidth="1"/>
    <col min="1524" max="1524" width="13.7109375" style="328" customWidth="1"/>
    <col min="1525" max="1525" width="17.140625" style="328" bestFit="1" customWidth="1"/>
    <col min="1526" max="1526" width="4" style="328" customWidth="1"/>
    <col min="1527" max="1527" width="13.7109375" style="328" customWidth="1"/>
    <col min="1528" max="1769" width="13.7109375" style="328"/>
    <col min="1770" max="1770" width="22.140625" style="328" customWidth="1"/>
    <col min="1771" max="1777" width="13.7109375" style="328" customWidth="1"/>
    <col min="1778" max="1778" width="15.85546875" style="328" customWidth="1"/>
    <col min="1779" max="1779" width="16.5703125" style="328" bestFit="1" customWidth="1"/>
    <col min="1780" max="1780" width="13.7109375" style="328" customWidth="1"/>
    <col min="1781" max="1781" width="17.140625" style="328" bestFit="1" customWidth="1"/>
    <col min="1782" max="1782" width="4" style="328" customWidth="1"/>
    <col min="1783" max="1783" width="13.7109375" style="328" customWidth="1"/>
    <col min="1784" max="2025" width="13.7109375" style="328"/>
    <col min="2026" max="2026" width="22.140625" style="328" customWidth="1"/>
    <col min="2027" max="2033" width="13.7109375" style="328" customWidth="1"/>
    <col min="2034" max="2034" width="15.85546875" style="328" customWidth="1"/>
    <col min="2035" max="2035" width="16.5703125" style="328" bestFit="1" customWidth="1"/>
    <col min="2036" max="2036" width="13.7109375" style="328" customWidth="1"/>
    <col min="2037" max="2037" width="17.140625" style="328" bestFit="1" customWidth="1"/>
    <col min="2038" max="2038" width="4" style="328" customWidth="1"/>
    <col min="2039" max="2039" width="13.7109375" style="328" customWidth="1"/>
    <col min="2040" max="2281" width="13.7109375" style="328"/>
    <col min="2282" max="2282" width="22.140625" style="328" customWidth="1"/>
    <col min="2283" max="2289" width="13.7109375" style="328" customWidth="1"/>
    <col min="2290" max="2290" width="15.85546875" style="328" customWidth="1"/>
    <col min="2291" max="2291" width="16.5703125" style="328" bestFit="1" customWidth="1"/>
    <col min="2292" max="2292" width="13.7109375" style="328" customWidth="1"/>
    <col min="2293" max="2293" width="17.140625" style="328" bestFit="1" customWidth="1"/>
    <col min="2294" max="2294" width="4" style="328" customWidth="1"/>
    <col min="2295" max="2295" width="13.7109375" style="328" customWidth="1"/>
    <col min="2296" max="2537" width="13.7109375" style="328"/>
    <col min="2538" max="2538" width="22.140625" style="328" customWidth="1"/>
    <col min="2539" max="2545" width="13.7109375" style="328" customWidth="1"/>
    <col min="2546" max="2546" width="15.85546875" style="328" customWidth="1"/>
    <col min="2547" max="2547" width="16.5703125" style="328" bestFit="1" customWidth="1"/>
    <col min="2548" max="2548" width="13.7109375" style="328" customWidth="1"/>
    <col min="2549" max="2549" width="17.140625" style="328" bestFit="1" customWidth="1"/>
    <col min="2550" max="2550" width="4" style="328" customWidth="1"/>
    <col min="2551" max="2551" width="13.7109375" style="328" customWidth="1"/>
    <col min="2552" max="2793" width="13.7109375" style="328"/>
    <col min="2794" max="2794" width="22.140625" style="328" customWidth="1"/>
    <col min="2795" max="2801" width="13.7109375" style="328" customWidth="1"/>
    <col min="2802" max="2802" width="15.85546875" style="328" customWidth="1"/>
    <col min="2803" max="2803" width="16.5703125" style="328" bestFit="1" customWidth="1"/>
    <col min="2804" max="2804" width="13.7109375" style="328" customWidth="1"/>
    <col min="2805" max="2805" width="17.140625" style="328" bestFit="1" customWidth="1"/>
    <col min="2806" max="2806" width="4" style="328" customWidth="1"/>
    <col min="2807" max="2807" width="13.7109375" style="328" customWidth="1"/>
    <col min="2808" max="3049" width="13.7109375" style="328"/>
    <col min="3050" max="3050" width="22.140625" style="328" customWidth="1"/>
    <col min="3051" max="3057" width="13.7109375" style="328" customWidth="1"/>
    <col min="3058" max="3058" width="15.85546875" style="328" customWidth="1"/>
    <col min="3059" max="3059" width="16.5703125" style="328" bestFit="1" customWidth="1"/>
    <col min="3060" max="3060" width="13.7109375" style="328" customWidth="1"/>
    <col min="3061" max="3061" width="17.140625" style="328" bestFit="1" customWidth="1"/>
    <col min="3062" max="3062" width="4" style="328" customWidth="1"/>
    <col min="3063" max="3063" width="13.7109375" style="328" customWidth="1"/>
    <col min="3064" max="3305" width="13.7109375" style="328"/>
    <col min="3306" max="3306" width="22.140625" style="328" customWidth="1"/>
    <col min="3307" max="3313" width="13.7109375" style="328" customWidth="1"/>
    <col min="3314" max="3314" width="15.85546875" style="328" customWidth="1"/>
    <col min="3315" max="3315" width="16.5703125" style="328" bestFit="1" customWidth="1"/>
    <col min="3316" max="3316" width="13.7109375" style="328" customWidth="1"/>
    <col min="3317" max="3317" width="17.140625" style="328" bestFit="1" customWidth="1"/>
    <col min="3318" max="3318" width="4" style="328" customWidth="1"/>
    <col min="3319" max="3319" width="13.7109375" style="328" customWidth="1"/>
    <col min="3320" max="3561" width="13.7109375" style="328"/>
    <col min="3562" max="3562" width="22.140625" style="328" customWidth="1"/>
    <col min="3563" max="3569" width="13.7109375" style="328" customWidth="1"/>
    <col min="3570" max="3570" width="15.85546875" style="328" customWidth="1"/>
    <col min="3571" max="3571" width="16.5703125" style="328" bestFit="1" customWidth="1"/>
    <col min="3572" max="3572" width="13.7109375" style="328" customWidth="1"/>
    <col min="3573" max="3573" width="17.140625" style="328" bestFit="1" customWidth="1"/>
    <col min="3574" max="3574" width="4" style="328" customWidth="1"/>
    <col min="3575" max="3575" width="13.7109375" style="328" customWidth="1"/>
    <col min="3576" max="3817" width="13.7109375" style="328"/>
    <col min="3818" max="3818" width="22.140625" style="328" customWidth="1"/>
    <col min="3819" max="3825" width="13.7109375" style="328" customWidth="1"/>
    <col min="3826" max="3826" width="15.85546875" style="328" customWidth="1"/>
    <col min="3827" max="3827" width="16.5703125" style="328" bestFit="1" customWidth="1"/>
    <col min="3828" max="3828" width="13.7109375" style="328" customWidth="1"/>
    <col min="3829" max="3829" width="17.140625" style="328" bestFit="1" customWidth="1"/>
    <col min="3830" max="3830" width="4" style="328" customWidth="1"/>
    <col min="3831" max="3831" width="13.7109375" style="328" customWidth="1"/>
    <col min="3832" max="4073" width="13.7109375" style="328"/>
    <col min="4074" max="4074" width="22.140625" style="328" customWidth="1"/>
    <col min="4075" max="4081" width="13.7109375" style="328" customWidth="1"/>
    <col min="4082" max="4082" width="15.85546875" style="328" customWidth="1"/>
    <col min="4083" max="4083" width="16.5703125" style="328" bestFit="1" customWidth="1"/>
    <col min="4084" max="4084" width="13.7109375" style="328" customWidth="1"/>
    <col min="4085" max="4085" width="17.140625" style="328" bestFit="1" customWidth="1"/>
    <col min="4086" max="4086" width="4" style="328" customWidth="1"/>
    <col min="4087" max="4087" width="13.7109375" style="328" customWidth="1"/>
    <col min="4088" max="4329" width="13.7109375" style="328"/>
    <col min="4330" max="4330" width="22.140625" style="328" customWidth="1"/>
    <col min="4331" max="4337" width="13.7109375" style="328" customWidth="1"/>
    <col min="4338" max="4338" width="15.85546875" style="328" customWidth="1"/>
    <col min="4339" max="4339" width="16.5703125" style="328" bestFit="1" customWidth="1"/>
    <col min="4340" max="4340" width="13.7109375" style="328" customWidth="1"/>
    <col min="4341" max="4341" width="17.140625" style="328" bestFit="1" customWidth="1"/>
    <col min="4342" max="4342" width="4" style="328" customWidth="1"/>
    <col min="4343" max="4343" width="13.7109375" style="328" customWidth="1"/>
    <col min="4344" max="4585" width="13.7109375" style="328"/>
    <col min="4586" max="4586" width="22.140625" style="328" customWidth="1"/>
    <col min="4587" max="4593" width="13.7109375" style="328" customWidth="1"/>
    <col min="4594" max="4594" width="15.85546875" style="328" customWidth="1"/>
    <col min="4595" max="4595" width="16.5703125" style="328" bestFit="1" customWidth="1"/>
    <col min="4596" max="4596" width="13.7109375" style="328" customWidth="1"/>
    <col min="4597" max="4597" width="17.140625" style="328" bestFit="1" customWidth="1"/>
    <col min="4598" max="4598" width="4" style="328" customWidth="1"/>
    <col min="4599" max="4599" width="13.7109375" style="328" customWidth="1"/>
    <col min="4600" max="4841" width="13.7109375" style="328"/>
    <col min="4842" max="4842" width="22.140625" style="328" customWidth="1"/>
    <col min="4843" max="4849" width="13.7109375" style="328" customWidth="1"/>
    <col min="4850" max="4850" width="15.85546875" style="328" customWidth="1"/>
    <col min="4851" max="4851" width="16.5703125" style="328" bestFit="1" customWidth="1"/>
    <col min="4852" max="4852" width="13.7109375" style="328" customWidth="1"/>
    <col min="4853" max="4853" width="17.140625" style="328" bestFit="1" customWidth="1"/>
    <col min="4854" max="4854" width="4" style="328" customWidth="1"/>
    <col min="4855" max="4855" width="13.7109375" style="328" customWidth="1"/>
    <col min="4856" max="5097" width="13.7109375" style="328"/>
    <col min="5098" max="5098" width="22.140625" style="328" customWidth="1"/>
    <col min="5099" max="5105" width="13.7109375" style="328" customWidth="1"/>
    <col min="5106" max="5106" width="15.85546875" style="328" customWidth="1"/>
    <col min="5107" max="5107" width="16.5703125" style="328" bestFit="1" customWidth="1"/>
    <col min="5108" max="5108" width="13.7109375" style="328" customWidth="1"/>
    <col min="5109" max="5109" width="17.140625" style="328" bestFit="1" customWidth="1"/>
    <col min="5110" max="5110" width="4" style="328" customWidth="1"/>
    <col min="5111" max="5111" width="13.7109375" style="328" customWidth="1"/>
    <col min="5112" max="5353" width="13.7109375" style="328"/>
    <col min="5354" max="5354" width="22.140625" style="328" customWidth="1"/>
    <col min="5355" max="5361" width="13.7109375" style="328" customWidth="1"/>
    <col min="5362" max="5362" width="15.85546875" style="328" customWidth="1"/>
    <col min="5363" max="5363" width="16.5703125" style="328" bestFit="1" customWidth="1"/>
    <col min="5364" max="5364" width="13.7109375" style="328" customWidth="1"/>
    <col min="5365" max="5365" width="17.140625" style="328" bestFit="1" customWidth="1"/>
    <col min="5366" max="5366" width="4" style="328" customWidth="1"/>
    <col min="5367" max="5367" width="13.7109375" style="328" customWidth="1"/>
    <col min="5368" max="5609" width="13.7109375" style="328"/>
    <col min="5610" max="5610" width="22.140625" style="328" customWidth="1"/>
    <col min="5611" max="5617" width="13.7109375" style="328" customWidth="1"/>
    <col min="5618" max="5618" width="15.85546875" style="328" customWidth="1"/>
    <col min="5619" max="5619" width="16.5703125" style="328" bestFit="1" customWidth="1"/>
    <col min="5620" max="5620" width="13.7109375" style="328" customWidth="1"/>
    <col min="5621" max="5621" width="17.140625" style="328" bestFit="1" customWidth="1"/>
    <col min="5622" max="5622" width="4" style="328" customWidth="1"/>
    <col min="5623" max="5623" width="13.7109375" style="328" customWidth="1"/>
    <col min="5624" max="5865" width="13.7109375" style="328"/>
    <col min="5866" max="5866" width="22.140625" style="328" customWidth="1"/>
    <col min="5867" max="5873" width="13.7109375" style="328" customWidth="1"/>
    <col min="5874" max="5874" width="15.85546875" style="328" customWidth="1"/>
    <col min="5875" max="5875" width="16.5703125" style="328" bestFit="1" customWidth="1"/>
    <col min="5876" max="5876" width="13.7109375" style="328" customWidth="1"/>
    <col min="5877" max="5877" width="17.140625" style="328" bestFit="1" customWidth="1"/>
    <col min="5878" max="5878" width="4" style="328" customWidth="1"/>
    <col min="5879" max="5879" width="13.7109375" style="328" customWidth="1"/>
    <col min="5880" max="6121" width="13.7109375" style="328"/>
    <col min="6122" max="6122" width="22.140625" style="328" customWidth="1"/>
    <col min="6123" max="6129" width="13.7109375" style="328" customWidth="1"/>
    <col min="6130" max="6130" width="15.85546875" style="328" customWidth="1"/>
    <col min="6131" max="6131" width="16.5703125" style="328" bestFit="1" customWidth="1"/>
    <col min="6132" max="6132" width="13.7109375" style="328" customWidth="1"/>
    <col min="6133" max="6133" width="17.140625" style="328" bestFit="1" customWidth="1"/>
    <col min="6134" max="6134" width="4" style="328" customWidth="1"/>
    <col min="6135" max="6135" width="13.7109375" style="328" customWidth="1"/>
    <col min="6136" max="6377" width="13.7109375" style="328"/>
    <col min="6378" max="6378" width="22.140625" style="328" customWidth="1"/>
    <col min="6379" max="6385" width="13.7109375" style="328" customWidth="1"/>
    <col min="6386" max="6386" width="15.85546875" style="328" customWidth="1"/>
    <col min="6387" max="6387" width="16.5703125" style="328" bestFit="1" customWidth="1"/>
    <col min="6388" max="6388" width="13.7109375" style="328" customWidth="1"/>
    <col min="6389" max="6389" width="17.140625" style="328" bestFit="1" customWidth="1"/>
    <col min="6390" max="6390" width="4" style="328" customWidth="1"/>
    <col min="6391" max="6391" width="13.7109375" style="328" customWidth="1"/>
    <col min="6392" max="6633" width="13.7109375" style="328"/>
    <col min="6634" max="6634" width="22.140625" style="328" customWidth="1"/>
    <col min="6635" max="6641" width="13.7109375" style="328" customWidth="1"/>
    <col min="6642" max="6642" width="15.85546875" style="328" customWidth="1"/>
    <col min="6643" max="6643" width="16.5703125" style="328" bestFit="1" customWidth="1"/>
    <col min="6644" max="6644" width="13.7109375" style="328" customWidth="1"/>
    <col min="6645" max="6645" width="17.140625" style="328" bestFit="1" customWidth="1"/>
    <col min="6646" max="6646" width="4" style="328" customWidth="1"/>
    <col min="6647" max="6647" width="13.7109375" style="328" customWidth="1"/>
    <col min="6648" max="6889" width="13.7109375" style="328"/>
    <col min="6890" max="6890" width="22.140625" style="328" customWidth="1"/>
    <col min="6891" max="6897" width="13.7109375" style="328" customWidth="1"/>
    <col min="6898" max="6898" width="15.85546875" style="328" customWidth="1"/>
    <col min="6899" max="6899" width="16.5703125" style="328" bestFit="1" customWidth="1"/>
    <col min="6900" max="6900" width="13.7109375" style="328" customWidth="1"/>
    <col min="6901" max="6901" width="17.140625" style="328" bestFit="1" customWidth="1"/>
    <col min="6902" max="6902" width="4" style="328" customWidth="1"/>
    <col min="6903" max="6903" width="13.7109375" style="328" customWidth="1"/>
    <col min="6904" max="7145" width="13.7109375" style="328"/>
    <col min="7146" max="7146" width="22.140625" style="328" customWidth="1"/>
    <col min="7147" max="7153" width="13.7109375" style="328" customWidth="1"/>
    <col min="7154" max="7154" width="15.85546875" style="328" customWidth="1"/>
    <col min="7155" max="7155" width="16.5703125" style="328" bestFit="1" customWidth="1"/>
    <col min="7156" max="7156" width="13.7109375" style="328" customWidth="1"/>
    <col min="7157" max="7157" width="17.140625" style="328" bestFit="1" customWidth="1"/>
    <col min="7158" max="7158" width="4" style="328" customWidth="1"/>
    <col min="7159" max="7159" width="13.7109375" style="328" customWidth="1"/>
    <col min="7160" max="7401" width="13.7109375" style="328"/>
    <col min="7402" max="7402" width="22.140625" style="328" customWidth="1"/>
    <col min="7403" max="7409" width="13.7109375" style="328" customWidth="1"/>
    <col min="7410" max="7410" width="15.85546875" style="328" customWidth="1"/>
    <col min="7411" max="7411" width="16.5703125" style="328" bestFit="1" customWidth="1"/>
    <col min="7412" max="7412" width="13.7109375" style="328" customWidth="1"/>
    <col min="7413" max="7413" width="17.140625" style="328" bestFit="1" customWidth="1"/>
    <col min="7414" max="7414" width="4" style="328" customWidth="1"/>
    <col min="7415" max="7415" width="13.7109375" style="328" customWidth="1"/>
    <col min="7416" max="7657" width="13.7109375" style="328"/>
    <col min="7658" max="7658" width="22.140625" style="328" customWidth="1"/>
    <col min="7659" max="7665" width="13.7109375" style="328" customWidth="1"/>
    <col min="7666" max="7666" width="15.85546875" style="328" customWidth="1"/>
    <col min="7667" max="7667" width="16.5703125" style="328" bestFit="1" customWidth="1"/>
    <col min="7668" max="7668" width="13.7109375" style="328" customWidth="1"/>
    <col min="7669" max="7669" width="17.140625" style="328" bestFit="1" customWidth="1"/>
    <col min="7670" max="7670" width="4" style="328" customWidth="1"/>
    <col min="7671" max="7671" width="13.7109375" style="328" customWidth="1"/>
    <col min="7672" max="7913" width="13.7109375" style="328"/>
    <col min="7914" max="7914" width="22.140625" style="328" customWidth="1"/>
    <col min="7915" max="7921" width="13.7109375" style="328" customWidth="1"/>
    <col min="7922" max="7922" width="15.85546875" style="328" customWidth="1"/>
    <col min="7923" max="7923" width="16.5703125" style="328" bestFit="1" customWidth="1"/>
    <col min="7924" max="7924" width="13.7109375" style="328" customWidth="1"/>
    <col min="7925" max="7925" width="17.140625" style="328" bestFit="1" customWidth="1"/>
    <col min="7926" max="7926" width="4" style="328" customWidth="1"/>
    <col min="7927" max="7927" width="13.7109375" style="328" customWidth="1"/>
    <col min="7928" max="8169" width="13.7109375" style="328"/>
    <col min="8170" max="8170" width="22.140625" style="328" customWidth="1"/>
    <col min="8171" max="8177" width="13.7109375" style="328" customWidth="1"/>
    <col min="8178" max="8178" width="15.85546875" style="328" customWidth="1"/>
    <col min="8179" max="8179" width="16.5703125" style="328" bestFit="1" customWidth="1"/>
    <col min="8180" max="8180" width="13.7109375" style="328" customWidth="1"/>
    <col min="8181" max="8181" width="17.140625" style="328" bestFit="1" customWidth="1"/>
    <col min="8182" max="8182" width="4" style="328" customWidth="1"/>
    <col min="8183" max="8183" width="13.7109375" style="328" customWidth="1"/>
    <col min="8184" max="8425" width="13.7109375" style="328"/>
    <col min="8426" max="8426" width="22.140625" style="328" customWidth="1"/>
    <col min="8427" max="8433" width="13.7109375" style="328" customWidth="1"/>
    <col min="8434" max="8434" width="15.85546875" style="328" customWidth="1"/>
    <col min="8435" max="8435" width="16.5703125" style="328" bestFit="1" customWidth="1"/>
    <col min="8436" max="8436" width="13.7109375" style="328" customWidth="1"/>
    <col min="8437" max="8437" width="17.140625" style="328" bestFit="1" customWidth="1"/>
    <col min="8438" max="8438" width="4" style="328" customWidth="1"/>
    <col min="8439" max="8439" width="13.7109375" style="328" customWidth="1"/>
    <col min="8440" max="8681" width="13.7109375" style="328"/>
    <col min="8682" max="8682" width="22.140625" style="328" customWidth="1"/>
    <col min="8683" max="8689" width="13.7109375" style="328" customWidth="1"/>
    <col min="8690" max="8690" width="15.85546875" style="328" customWidth="1"/>
    <col min="8691" max="8691" width="16.5703125" style="328" bestFit="1" customWidth="1"/>
    <col min="8692" max="8692" width="13.7109375" style="328" customWidth="1"/>
    <col min="8693" max="8693" width="17.140625" style="328" bestFit="1" customWidth="1"/>
    <col min="8694" max="8694" width="4" style="328" customWidth="1"/>
    <col min="8695" max="8695" width="13.7109375" style="328" customWidth="1"/>
    <col min="8696" max="8937" width="13.7109375" style="328"/>
    <col min="8938" max="8938" width="22.140625" style="328" customWidth="1"/>
    <col min="8939" max="8945" width="13.7109375" style="328" customWidth="1"/>
    <col min="8946" max="8946" width="15.85546875" style="328" customWidth="1"/>
    <col min="8947" max="8947" width="16.5703125" style="328" bestFit="1" customWidth="1"/>
    <col min="8948" max="8948" width="13.7109375" style="328" customWidth="1"/>
    <col min="8949" max="8949" width="17.140625" style="328" bestFit="1" customWidth="1"/>
    <col min="8950" max="8950" width="4" style="328" customWidth="1"/>
    <col min="8951" max="8951" width="13.7109375" style="328" customWidth="1"/>
    <col min="8952" max="9193" width="13.7109375" style="328"/>
    <col min="9194" max="9194" width="22.140625" style="328" customWidth="1"/>
    <col min="9195" max="9201" width="13.7109375" style="328" customWidth="1"/>
    <col min="9202" max="9202" width="15.85546875" style="328" customWidth="1"/>
    <col min="9203" max="9203" width="16.5703125" style="328" bestFit="1" customWidth="1"/>
    <col min="9204" max="9204" width="13.7109375" style="328" customWidth="1"/>
    <col min="9205" max="9205" width="17.140625" style="328" bestFit="1" customWidth="1"/>
    <col min="9206" max="9206" width="4" style="328" customWidth="1"/>
    <col min="9207" max="9207" width="13.7109375" style="328" customWidth="1"/>
    <col min="9208" max="9449" width="13.7109375" style="328"/>
    <col min="9450" max="9450" width="22.140625" style="328" customWidth="1"/>
    <col min="9451" max="9457" width="13.7109375" style="328" customWidth="1"/>
    <col min="9458" max="9458" width="15.85546875" style="328" customWidth="1"/>
    <col min="9459" max="9459" width="16.5703125" style="328" bestFit="1" customWidth="1"/>
    <col min="9460" max="9460" width="13.7109375" style="328" customWidth="1"/>
    <col min="9461" max="9461" width="17.140625" style="328" bestFit="1" customWidth="1"/>
    <col min="9462" max="9462" width="4" style="328" customWidth="1"/>
    <col min="9463" max="9463" width="13.7109375" style="328" customWidth="1"/>
    <col min="9464" max="9705" width="13.7109375" style="328"/>
    <col min="9706" max="9706" width="22.140625" style="328" customWidth="1"/>
    <col min="9707" max="9713" width="13.7109375" style="328" customWidth="1"/>
    <col min="9714" max="9714" width="15.85546875" style="328" customWidth="1"/>
    <col min="9715" max="9715" width="16.5703125" style="328" bestFit="1" customWidth="1"/>
    <col min="9716" max="9716" width="13.7109375" style="328" customWidth="1"/>
    <col min="9717" max="9717" width="17.140625" style="328" bestFit="1" customWidth="1"/>
    <col min="9718" max="9718" width="4" style="328" customWidth="1"/>
    <col min="9719" max="9719" width="13.7109375" style="328" customWidth="1"/>
    <col min="9720" max="9961" width="13.7109375" style="328"/>
    <col min="9962" max="9962" width="22.140625" style="328" customWidth="1"/>
    <col min="9963" max="9969" width="13.7109375" style="328" customWidth="1"/>
    <col min="9970" max="9970" width="15.85546875" style="328" customWidth="1"/>
    <col min="9971" max="9971" width="16.5703125" style="328" bestFit="1" customWidth="1"/>
    <col min="9972" max="9972" width="13.7109375" style="328" customWidth="1"/>
    <col min="9973" max="9973" width="17.140625" style="328" bestFit="1" customWidth="1"/>
    <col min="9974" max="9974" width="4" style="328" customWidth="1"/>
    <col min="9975" max="9975" width="13.7109375" style="328" customWidth="1"/>
    <col min="9976" max="10217" width="13.7109375" style="328"/>
    <col min="10218" max="10218" width="22.140625" style="328" customWidth="1"/>
    <col min="10219" max="10225" width="13.7109375" style="328" customWidth="1"/>
    <col min="10226" max="10226" width="15.85546875" style="328" customWidth="1"/>
    <col min="10227" max="10227" width="16.5703125" style="328" bestFit="1" customWidth="1"/>
    <col min="10228" max="10228" width="13.7109375" style="328" customWidth="1"/>
    <col min="10229" max="10229" width="17.140625" style="328" bestFit="1" customWidth="1"/>
    <col min="10230" max="10230" width="4" style="328" customWidth="1"/>
    <col min="10231" max="10231" width="13.7109375" style="328" customWidth="1"/>
    <col min="10232" max="10473" width="13.7109375" style="328"/>
    <col min="10474" max="10474" width="22.140625" style="328" customWidth="1"/>
    <col min="10475" max="10481" width="13.7109375" style="328" customWidth="1"/>
    <col min="10482" max="10482" width="15.85546875" style="328" customWidth="1"/>
    <col min="10483" max="10483" width="16.5703125" style="328" bestFit="1" customWidth="1"/>
    <col min="10484" max="10484" width="13.7109375" style="328" customWidth="1"/>
    <col min="10485" max="10485" width="17.140625" style="328" bestFit="1" customWidth="1"/>
    <col min="10486" max="10486" width="4" style="328" customWidth="1"/>
    <col min="10487" max="10487" width="13.7109375" style="328" customWidth="1"/>
    <col min="10488" max="10729" width="13.7109375" style="328"/>
    <col min="10730" max="10730" width="22.140625" style="328" customWidth="1"/>
    <col min="10731" max="10737" width="13.7109375" style="328" customWidth="1"/>
    <col min="10738" max="10738" width="15.85546875" style="328" customWidth="1"/>
    <col min="10739" max="10739" width="16.5703125" style="328" bestFit="1" customWidth="1"/>
    <col min="10740" max="10740" width="13.7109375" style="328" customWidth="1"/>
    <col min="10741" max="10741" width="17.140625" style="328" bestFit="1" customWidth="1"/>
    <col min="10742" max="10742" width="4" style="328" customWidth="1"/>
    <col min="10743" max="10743" width="13.7109375" style="328" customWidth="1"/>
    <col min="10744" max="10985" width="13.7109375" style="328"/>
    <col min="10986" max="10986" width="22.140625" style="328" customWidth="1"/>
    <col min="10987" max="10993" width="13.7109375" style="328" customWidth="1"/>
    <col min="10994" max="10994" width="15.85546875" style="328" customWidth="1"/>
    <col min="10995" max="10995" width="16.5703125" style="328" bestFit="1" customWidth="1"/>
    <col min="10996" max="10996" width="13.7109375" style="328" customWidth="1"/>
    <col min="10997" max="10997" width="17.140625" style="328" bestFit="1" customWidth="1"/>
    <col min="10998" max="10998" width="4" style="328" customWidth="1"/>
    <col min="10999" max="10999" width="13.7109375" style="328" customWidth="1"/>
    <col min="11000" max="11241" width="13.7109375" style="328"/>
    <col min="11242" max="11242" width="22.140625" style="328" customWidth="1"/>
    <col min="11243" max="11249" width="13.7109375" style="328" customWidth="1"/>
    <col min="11250" max="11250" width="15.85546875" style="328" customWidth="1"/>
    <col min="11251" max="11251" width="16.5703125" style="328" bestFit="1" customWidth="1"/>
    <col min="11252" max="11252" width="13.7109375" style="328" customWidth="1"/>
    <col min="11253" max="11253" width="17.140625" style="328" bestFit="1" customWidth="1"/>
    <col min="11254" max="11254" width="4" style="328" customWidth="1"/>
    <col min="11255" max="11255" width="13.7109375" style="328" customWidth="1"/>
    <col min="11256" max="11497" width="13.7109375" style="328"/>
    <col min="11498" max="11498" width="22.140625" style="328" customWidth="1"/>
    <col min="11499" max="11505" width="13.7109375" style="328" customWidth="1"/>
    <col min="11506" max="11506" width="15.85546875" style="328" customWidth="1"/>
    <col min="11507" max="11507" width="16.5703125" style="328" bestFit="1" customWidth="1"/>
    <col min="11508" max="11508" width="13.7109375" style="328" customWidth="1"/>
    <col min="11509" max="11509" width="17.140625" style="328" bestFit="1" customWidth="1"/>
    <col min="11510" max="11510" width="4" style="328" customWidth="1"/>
    <col min="11511" max="11511" width="13.7109375" style="328" customWidth="1"/>
    <col min="11512" max="11753" width="13.7109375" style="328"/>
    <col min="11754" max="11754" width="22.140625" style="328" customWidth="1"/>
    <col min="11755" max="11761" width="13.7109375" style="328" customWidth="1"/>
    <col min="11762" max="11762" width="15.85546875" style="328" customWidth="1"/>
    <col min="11763" max="11763" width="16.5703125" style="328" bestFit="1" customWidth="1"/>
    <col min="11764" max="11764" width="13.7109375" style="328" customWidth="1"/>
    <col min="11765" max="11765" width="17.140625" style="328" bestFit="1" customWidth="1"/>
    <col min="11766" max="11766" width="4" style="328" customWidth="1"/>
    <col min="11767" max="11767" width="13.7109375" style="328" customWidth="1"/>
    <col min="11768" max="12009" width="13.7109375" style="328"/>
    <col min="12010" max="12010" width="22.140625" style="328" customWidth="1"/>
    <col min="12011" max="12017" width="13.7109375" style="328" customWidth="1"/>
    <col min="12018" max="12018" width="15.85546875" style="328" customWidth="1"/>
    <col min="12019" max="12019" width="16.5703125" style="328" bestFit="1" customWidth="1"/>
    <col min="12020" max="12020" width="13.7109375" style="328" customWidth="1"/>
    <col min="12021" max="12021" width="17.140625" style="328" bestFit="1" customWidth="1"/>
    <col min="12022" max="12022" width="4" style="328" customWidth="1"/>
    <col min="12023" max="12023" width="13.7109375" style="328" customWidth="1"/>
    <col min="12024" max="12265" width="13.7109375" style="328"/>
    <col min="12266" max="12266" width="22.140625" style="328" customWidth="1"/>
    <col min="12267" max="12273" width="13.7109375" style="328" customWidth="1"/>
    <col min="12274" max="12274" width="15.85546875" style="328" customWidth="1"/>
    <col min="12275" max="12275" width="16.5703125" style="328" bestFit="1" customWidth="1"/>
    <col min="12276" max="12276" width="13.7109375" style="328" customWidth="1"/>
    <col min="12277" max="12277" width="17.140625" style="328" bestFit="1" customWidth="1"/>
    <col min="12278" max="12278" width="4" style="328" customWidth="1"/>
    <col min="12279" max="12279" width="13.7109375" style="328" customWidth="1"/>
    <col min="12280" max="12521" width="13.7109375" style="328"/>
    <col min="12522" max="12522" width="22.140625" style="328" customWidth="1"/>
    <col min="12523" max="12529" width="13.7109375" style="328" customWidth="1"/>
    <col min="12530" max="12530" width="15.85546875" style="328" customWidth="1"/>
    <col min="12531" max="12531" width="16.5703125" style="328" bestFit="1" customWidth="1"/>
    <col min="12532" max="12532" width="13.7109375" style="328" customWidth="1"/>
    <col min="12533" max="12533" width="17.140625" style="328" bestFit="1" customWidth="1"/>
    <col min="12534" max="12534" width="4" style="328" customWidth="1"/>
    <col min="12535" max="12535" width="13.7109375" style="328" customWidth="1"/>
    <col min="12536" max="12777" width="13.7109375" style="328"/>
    <col min="12778" max="12778" width="22.140625" style="328" customWidth="1"/>
    <col min="12779" max="12785" width="13.7109375" style="328" customWidth="1"/>
    <col min="12786" max="12786" width="15.85546875" style="328" customWidth="1"/>
    <col min="12787" max="12787" width="16.5703125" style="328" bestFit="1" customWidth="1"/>
    <col min="12788" max="12788" width="13.7109375" style="328" customWidth="1"/>
    <col min="12789" max="12789" width="17.140625" style="328" bestFit="1" customWidth="1"/>
    <col min="12790" max="12790" width="4" style="328" customWidth="1"/>
    <col min="12791" max="12791" width="13.7109375" style="328" customWidth="1"/>
    <col min="12792" max="13033" width="13.7109375" style="328"/>
    <col min="13034" max="13034" width="22.140625" style="328" customWidth="1"/>
    <col min="13035" max="13041" width="13.7109375" style="328" customWidth="1"/>
    <col min="13042" max="13042" width="15.85546875" style="328" customWidth="1"/>
    <col min="13043" max="13043" width="16.5703125" style="328" bestFit="1" customWidth="1"/>
    <col min="13044" max="13044" width="13.7109375" style="328" customWidth="1"/>
    <col min="13045" max="13045" width="17.140625" style="328" bestFit="1" customWidth="1"/>
    <col min="13046" max="13046" width="4" style="328" customWidth="1"/>
    <col min="13047" max="13047" width="13.7109375" style="328" customWidth="1"/>
    <col min="13048" max="13289" width="13.7109375" style="328"/>
    <col min="13290" max="13290" width="22.140625" style="328" customWidth="1"/>
    <col min="13291" max="13297" width="13.7109375" style="328" customWidth="1"/>
    <col min="13298" max="13298" width="15.85546875" style="328" customWidth="1"/>
    <col min="13299" max="13299" width="16.5703125" style="328" bestFit="1" customWidth="1"/>
    <col min="13300" max="13300" width="13.7109375" style="328" customWidth="1"/>
    <col min="13301" max="13301" width="17.140625" style="328" bestFit="1" customWidth="1"/>
    <col min="13302" max="13302" width="4" style="328" customWidth="1"/>
    <col min="13303" max="13303" width="13.7109375" style="328" customWidth="1"/>
    <col min="13304" max="13545" width="13.7109375" style="328"/>
    <col min="13546" max="13546" width="22.140625" style="328" customWidth="1"/>
    <col min="13547" max="13553" width="13.7109375" style="328" customWidth="1"/>
    <col min="13554" max="13554" width="15.85546875" style="328" customWidth="1"/>
    <col min="13555" max="13555" width="16.5703125" style="328" bestFit="1" customWidth="1"/>
    <col min="13556" max="13556" width="13.7109375" style="328" customWidth="1"/>
    <col min="13557" max="13557" width="17.140625" style="328" bestFit="1" customWidth="1"/>
    <col min="13558" max="13558" width="4" style="328" customWidth="1"/>
    <col min="13559" max="13559" width="13.7109375" style="328" customWidth="1"/>
    <col min="13560" max="13801" width="13.7109375" style="328"/>
    <col min="13802" max="13802" width="22.140625" style="328" customWidth="1"/>
    <col min="13803" max="13809" width="13.7109375" style="328" customWidth="1"/>
    <col min="13810" max="13810" width="15.85546875" style="328" customWidth="1"/>
    <col min="13811" max="13811" width="16.5703125" style="328" bestFit="1" customWidth="1"/>
    <col min="13812" max="13812" width="13.7109375" style="328" customWidth="1"/>
    <col min="13813" max="13813" width="17.140625" style="328" bestFit="1" customWidth="1"/>
    <col min="13814" max="13814" width="4" style="328" customWidth="1"/>
    <col min="13815" max="13815" width="13.7109375" style="328" customWidth="1"/>
    <col min="13816" max="14057" width="13.7109375" style="328"/>
    <col min="14058" max="14058" width="22.140625" style="328" customWidth="1"/>
    <col min="14059" max="14065" width="13.7109375" style="328" customWidth="1"/>
    <col min="14066" max="14066" width="15.85546875" style="328" customWidth="1"/>
    <col min="14067" max="14067" width="16.5703125" style="328" bestFit="1" customWidth="1"/>
    <col min="14068" max="14068" width="13.7109375" style="328" customWidth="1"/>
    <col min="14069" max="14069" width="17.140625" style="328" bestFit="1" customWidth="1"/>
    <col min="14070" max="14070" width="4" style="328" customWidth="1"/>
    <col min="14071" max="14071" width="13.7109375" style="328" customWidth="1"/>
    <col min="14072" max="14313" width="13.7109375" style="328"/>
    <col min="14314" max="14314" width="22.140625" style="328" customWidth="1"/>
    <col min="14315" max="14321" width="13.7109375" style="328" customWidth="1"/>
    <col min="14322" max="14322" width="15.85546875" style="328" customWidth="1"/>
    <col min="14323" max="14323" width="16.5703125" style="328" bestFit="1" customWidth="1"/>
    <col min="14324" max="14324" width="13.7109375" style="328" customWidth="1"/>
    <col min="14325" max="14325" width="17.140625" style="328" bestFit="1" customWidth="1"/>
    <col min="14326" max="14326" width="4" style="328" customWidth="1"/>
    <col min="14327" max="14327" width="13.7109375" style="328" customWidth="1"/>
    <col min="14328" max="14569" width="13.7109375" style="328"/>
    <col min="14570" max="14570" width="22.140625" style="328" customWidth="1"/>
    <col min="14571" max="14577" width="13.7109375" style="328" customWidth="1"/>
    <col min="14578" max="14578" width="15.85546875" style="328" customWidth="1"/>
    <col min="14579" max="14579" width="16.5703125" style="328" bestFit="1" customWidth="1"/>
    <col min="14580" max="14580" width="13.7109375" style="328" customWidth="1"/>
    <col min="14581" max="14581" width="17.140625" style="328" bestFit="1" customWidth="1"/>
    <col min="14582" max="14582" width="4" style="328" customWidth="1"/>
    <col min="14583" max="14583" width="13.7109375" style="328" customWidth="1"/>
    <col min="14584" max="14825" width="13.7109375" style="328"/>
    <col min="14826" max="14826" width="22.140625" style="328" customWidth="1"/>
    <col min="14827" max="14833" width="13.7109375" style="328" customWidth="1"/>
    <col min="14834" max="14834" width="15.85546875" style="328" customWidth="1"/>
    <col min="14835" max="14835" width="16.5703125" style="328" bestFit="1" customWidth="1"/>
    <col min="14836" max="14836" width="13.7109375" style="328" customWidth="1"/>
    <col min="14837" max="14837" width="17.140625" style="328" bestFit="1" customWidth="1"/>
    <col min="14838" max="14838" width="4" style="328" customWidth="1"/>
    <col min="14839" max="14839" width="13.7109375" style="328" customWidth="1"/>
    <col min="14840" max="15081" width="13.7109375" style="328"/>
    <col min="15082" max="15082" width="22.140625" style="328" customWidth="1"/>
    <col min="15083" max="15089" width="13.7109375" style="328" customWidth="1"/>
    <col min="15090" max="15090" width="15.85546875" style="328" customWidth="1"/>
    <col min="15091" max="15091" width="16.5703125" style="328" bestFit="1" customWidth="1"/>
    <col min="15092" max="15092" width="13.7109375" style="328" customWidth="1"/>
    <col min="15093" max="15093" width="17.140625" style="328" bestFit="1" customWidth="1"/>
    <col min="15094" max="15094" width="4" style="328" customWidth="1"/>
    <col min="15095" max="15095" width="13.7109375" style="328" customWidth="1"/>
    <col min="15096" max="15337" width="13.7109375" style="328"/>
    <col min="15338" max="15338" width="22.140625" style="328" customWidth="1"/>
    <col min="15339" max="15345" width="13.7109375" style="328" customWidth="1"/>
    <col min="15346" max="15346" width="15.85546875" style="328" customWidth="1"/>
    <col min="15347" max="15347" width="16.5703125" style="328" bestFit="1" customWidth="1"/>
    <col min="15348" max="15348" width="13.7109375" style="328" customWidth="1"/>
    <col min="15349" max="15349" width="17.140625" style="328" bestFit="1" customWidth="1"/>
    <col min="15350" max="15350" width="4" style="328" customWidth="1"/>
    <col min="15351" max="15351" width="13.7109375" style="328" customWidth="1"/>
    <col min="15352" max="15593" width="13.7109375" style="328"/>
    <col min="15594" max="15594" width="22.140625" style="328" customWidth="1"/>
    <col min="15595" max="15601" width="13.7109375" style="328" customWidth="1"/>
    <col min="15602" max="15602" width="15.85546875" style="328" customWidth="1"/>
    <col min="15603" max="15603" width="16.5703125" style="328" bestFit="1" customWidth="1"/>
    <col min="15604" max="15604" width="13.7109375" style="328" customWidth="1"/>
    <col min="15605" max="15605" width="17.140625" style="328" bestFit="1" customWidth="1"/>
    <col min="15606" max="15606" width="4" style="328" customWidth="1"/>
    <col min="15607" max="15607" width="13.7109375" style="328" customWidth="1"/>
    <col min="15608" max="15849" width="13.7109375" style="328"/>
    <col min="15850" max="15850" width="22.140625" style="328" customWidth="1"/>
    <col min="15851" max="15857" width="13.7109375" style="328" customWidth="1"/>
    <col min="15858" max="15858" width="15.85546875" style="328" customWidth="1"/>
    <col min="15859" max="15859" width="16.5703125" style="328" bestFit="1" customWidth="1"/>
    <col min="15860" max="15860" width="13.7109375" style="328" customWidth="1"/>
    <col min="15861" max="15861" width="17.140625" style="328" bestFit="1" customWidth="1"/>
    <col min="15862" max="15862" width="4" style="328" customWidth="1"/>
    <col min="15863" max="15863" width="13.7109375" style="328" customWidth="1"/>
    <col min="15864" max="16105" width="13.7109375" style="328"/>
    <col min="16106" max="16106" width="22.140625" style="328" customWidth="1"/>
    <col min="16107" max="16113" width="13.7109375" style="328" customWidth="1"/>
    <col min="16114" max="16114" width="15.85546875" style="328" customWidth="1"/>
    <col min="16115" max="16115" width="16.5703125" style="328" bestFit="1" customWidth="1"/>
    <col min="16116" max="16116" width="13.7109375" style="328" customWidth="1"/>
    <col min="16117" max="16117" width="17.140625" style="328" bestFit="1" customWidth="1"/>
    <col min="16118" max="16118" width="4" style="328" customWidth="1"/>
    <col min="16119" max="16119" width="13.7109375" style="328" customWidth="1"/>
    <col min="16120" max="16384" width="13.7109375" style="328"/>
  </cols>
  <sheetData>
    <row r="1" spans="1:12" s="320" customFormat="1">
      <c r="A1" s="415" t="s">
        <v>27</v>
      </c>
      <c r="B1" s="318"/>
      <c r="C1" s="318"/>
      <c r="D1" s="2"/>
      <c r="E1" s="2"/>
      <c r="F1" s="2"/>
      <c r="G1" s="319"/>
      <c r="H1" s="2"/>
      <c r="I1" s="2"/>
    </row>
    <row r="2" spans="1:12" s="320" customFormat="1">
      <c r="A2" s="321"/>
      <c r="B2" s="318"/>
      <c r="C2" s="318"/>
      <c r="D2" s="2"/>
      <c r="E2" s="339" t="s">
        <v>162</v>
      </c>
      <c r="F2" s="339" t="s">
        <v>117</v>
      </c>
      <c r="I2" s="2"/>
    </row>
    <row r="3" spans="1:12" s="320" customFormat="1" ht="17.25">
      <c r="A3" s="73" t="str">
        <f>'1-Contractblad totaal'!A3</f>
        <v>Naam opdrachtgever</v>
      </c>
      <c r="B3" s="74" t="str">
        <f>'1-Contractblad totaal'!B3</f>
        <v>Hoogheemraadschap De Stichtse Rijnlanden</v>
      </c>
      <c r="C3" s="74"/>
      <c r="D3" s="2"/>
      <c r="E3" s="322" t="s">
        <v>264</v>
      </c>
      <c r="F3" s="429"/>
      <c r="I3" s="2"/>
    </row>
    <row r="4" spans="1:12" s="320" customFormat="1" ht="17.25">
      <c r="A4" s="73" t="str">
        <f>'1-Contractblad totaal'!A4</f>
        <v>Calculatie onderdeel</v>
      </c>
      <c r="B4" s="74" t="str">
        <f ca="1">MID(CELL("bestandsnaam",$D$9),SEARCH("]",CELL("bestandsnaam",$D$9),1)+1,256)</f>
        <v>10-Glasbewassing</v>
      </c>
      <c r="C4" s="74"/>
      <c r="D4" s="2"/>
    </row>
    <row r="5" spans="1:12" s="320" customFormat="1" ht="17.25">
      <c r="A5" s="73" t="str">
        <f>'1-Contractblad totaal'!A5</f>
        <v>Gebouw/plaats</v>
      </c>
      <c r="B5" s="74" t="str">
        <f>'1-Contractblad totaal'!B5</f>
        <v>Divers</v>
      </c>
      <c r="C5" s="74"/>
      <c r="D5" s="336"/>
      <c r="I5" s="2"/>
      <c r="J5" s="2"/>
      <c r="K5" s="2"/>
      <c r="L5" s="323"/>
    </row>
    <row r="6" spans="1:12" s="320" customFormat="1" ht="17.25" customHeight="1">
      <c r="A6" s="73" t="str">
        <f>'1-Contractblad totaal'!A6</f>
        <v>Referentie nummer</v>
      </c>
      <c r="B6" s="74" t="str">
        <f>'1-Contractblad totaal'!B6</f>
        <v>Invoer</v>
      </c>
      <c r="C6" s="74"/>
      <c r="D6" s="336"/>
      <c r="I6" s="2"/>
      <c r="J6" s="2"/>
      <c r="K6" s="2"/>
      <c r="L6" s="325"/>
    </row>
    <row r="7" spans="1:12" s="320" customFormat="1" ht="17.25" customHeight="1">
      <c r="A7" s="73" t="str">
        <f>'1-Contractblad totaal'!A8</f>
        <v>Naam dienstverlener</v>
      </c>
      <c r="B7" s="269">
        <f>'1-Contractblad totaal'!B8</f>
        <v>0</v>
      </c>
      <c r="C7" s="269"/>
      <c r="D7" s="337"/>
      <c r="I7" s="2"/>
      <c r="J7" s="2"/>
      <c r="K7" s="2"/>
    </row>
    <row r="8" spans="1:12" s="320" customFormat="1" ht="17.25" customHeight="1">
      <c r="A8" s="73" t="str">
        <f>'1-Contractblad totaal'!A9</f>
        <v>Prijspeil</v>
      </c>
      <c r="B8" s="109">
        <f>'1-Contractblad totaal'!B9</f>
        <v>45017</v>
      </c>
      <c r="C8" s="109"/>
      <c r="D8" s="338"/>
      <c r="I8" s="2"/>
      <c r="J8" s="2"/>
      <c r="K8" s="2"/>
    </row>
    <row r="9" spans="1:12" s="320" customFormat="1" ht="17.25" customHeight="1">
      <c r="D9" s="338"/>
      <c r="I9" s="323"/>
    </row>
    <row r="10" spans="1:12" s="320" customFormat="1" ht="17.25" customHeight="1">
      <c r="D10" s="338"/>
      <c r="I10" s="323"/>
    </row>
    <row r="11" spans="1:12" s="320" customFormat="1" ht="15.75">
      <c r="A11" s="326"/>
      <c r="E11" s="324"/>
      <c r="G11" s="327"/>
      <c r="H11" s="324"/>
      <c r="I11" s="323"/>
    </row>
    <row r="12" spans="1:12" s="452" customFormat="1" ht="43.5" customHeight="1">
      <c r="A12" s="450" t="s">
        <v>106</v>
      </c>
      <c r="B12" s="451" t="s">
        <v>162</v>
      </c>
      <c r="C12" s="451" t="s">
        <v>206</v>
      </c>
      <c r="D12" s="339" t="s">
        <v>163</v>
      </c>
      <c r="E12" s="451" t="s">
        <v>207</v>
      </c>
      <c r="F12" s="451" t="s">
        <v>255</v>
      </c>
      <c r="G12" s="451" t="s">
        <v>108</v>
      </c>
      <c r="H12" s="451" t="s">
        <v>243</v>
      </c>
      <c r="I12" s="451" t="s">
        <v>164</v>
      </c>
    </row>
    <row r="13" spans="1:12">
      <c r="A13" s="331" t="s">
        <v>285</v>
      </c>
      <c r="B13" s="322" t="s">
        <v>263</v>
      </c>
      <c r="C13" s="322"/>
      <c r="D13" s="531">
        <v>104.9</v>
      </c>
      <c r="E13" s="449">
        <f t="shared" ref="E13:E17" si="0">VLOOKUP(B13,$E$3:$F$10,2,FALSE)</f>
        <v>0</v>
      </c>
      <c r="F13" s="425">
        <v>0</v>
      </c>
      <c r="G13" s="329">
        <f t="shared" ref="G13:G17" si="1">(D13*E13)+F13</f>
        <v>0</v>
      </c>
      <c r="H13" s="330" t="s">
        <v>294</v>
      </c>
      <c r="I13" s="329">
        <f t="shared" ref="I13:I17" si="2">H13*G13</f>
        <v>0</v>
      </c>
    </row>
    <row r="14" spans="1:12">
      <c r="A14" s="331" t="s">
        <v>321</v>
      </c>
      <c r="B14" s="322" t="s">
        <v>263</v>
      </c>
      <c r="C14" s="322"/>
      <c r="D14" s="531">
        <v>14.8</v>
      </c>
      <c r="E14" s="449">
        <f t="shared" si="0"/>
        <v>0</v>
      </c>
      <c r="F14" s="425">
        <v>0</v>
      </c>
      <c r="G14" s="329">
        <f t="shared" si="1"/>
        <v>0</v>
      </c>
      <c r="H14" s="330" t="s">
        <v>328</v>
      </c>
      <c r="I14" s="329">
        <f t="shared" si="2"/>
        <v>0</v>
      </c>
    </row>
    <row r="15" spans="1:12">
      <c r="A15" s="331" t="s">
        <v>329</v>
      </c>
      <c r="B15" s="322" t="s">
        <v>263</v>
      </c>
      <c r="C15" s="332"/>
      <c r="D15" s="531">
        <v>8.5</v>
      </c>
      <c r="E15" s="449">
        <f t="shared" si="0"/>
        <v>0</v>
      </c>
      <c r="F15" s="425">
        <v>0</v>
      </c>
      <c r="G15" s="329">
        <f t="shared" si="1"/>
        <v>0</v>
      </c>
      <c r="H15" s="330" t="s">
        <v>294</v>
      </c>
      <c r="I15" s="329">
        <f t="shared" si="2"/>
        <v>0</v>
      </c>
    </row>
    <row r="16" spans="1:12">
      <c r="A16" s="331" t="s">
        <v>339</v>
      </c>
      <c r="B16" s="322" t="s">
        <v>263</v>
      </c>
      <c r="C16" s="322"/>
      <c r="D16" s="531">
        <v>9.1999999999999993</v>
      </c>
      <c r="E16" s="449">
        <f t="shared" si="0"/>
        <v>0</v>
      </c>
      <c r="F16" s="425">
        <v>0</v>
      </c>
      <c r="G16" s="329">
        <f t="shared" si="1"/>
        <v>0</v>
      </c>
      <c r="H16" s="330" t="s">
        <v>294</v>
      </c>
      <c r="I16" s="329">
        <f t="shared" si="2"/>
        <v>0</v>
      </c>
    </row>
    <row r="17" spans="1:9">
      <c r="A17" s="331" t="s">
        <v>343</v>
      </c>
      <c r="B17" s="322" t="s">
        <v>263</v>
      </c>
      <c r="C17" s="322"/>
      <c r="D17" s="531">
        <v>12.5</v>
      </c>
      <c r="E17" s="449">
        <f t="shared" si="0"/>
        <v>0</v>
      </c>
      <c r="F17" s="425">
        <v>0</v>
      </c>
      <c r="G17" s="329">
        <f t="shared" si="1"/>
        <v>0</v>
      </c>
      <c r="H17" s="330" t="s">
        <v>294</v>
      </c>
      <c r="I17" s="329">
        <f t="shared" si="2"/>
        <v>0</v>
      </c>
    </row>
    <row r="18" spans="1:9">
      <c r="B18" s="328"/>
      <c r="C18" s="328"/>
      <c r="E18" s="328"/>
      <c r="G18" s="328"/>
      <c r="H18" s="328"/>
      <c r="I18" s="328"/>
    </row>
    <row r="19" spans="1:9">
      <c r="A19" s="438" t="s">
        <v>8</v>
      </c>
      <c r="B19" s="439"/>
      <c r="C19" s="443"/>
      <c r="D19" s="440">
        <f>SUM(D13:D17)</f>
        <v>149.89999999999998</v>
      </c>
      <c r="E19" s="439"/>
      <c r="F19" s="437">
        <f>SUM(F13:F17)</f>
        <v>0</v>
      </c>
      <c r="G19" s="442"/>
      <c r="H19" s="443"/>
      <c r="I19" s="441">
        <f>SUM(I13:I17)</f>
        <v>0</v>
      </c>
    </row>
  </sheetData>
  <autoFilter ref="A12:L19" xr:uid="{00000000-0009-0000-0000-00000A000000}"/>
  <printOptions horizontalCentered="1"/>
  <pageMargins left="0.7" right="0.7" top="0.75" bottom="0.75" header="0.3" footer="0.3"/>
  <pageSetup paperSize="9" scale="58"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3">
    <tabColor theme="0" tint="-0.14999847407452621"/>
    <pageSetUpPr fitToPage="1"/>
  </sheetPr>
  <dimension ref="A1:Q28"/>
  <sheetViews>
    <sheetView showGridLines="0" zoomScale="70" zoomScaleNormal="70" zoomScaleSheetLayoutView="100" zoomScalePageLayoutView="50" workbookViewId="0">
      <pane ySplit="10" topLeftCell="A11" activePane="bottomLeft" state="frozen"/>
      <selection activeCell="A6" sqref="A6:F6"/>
      <selection pane="bottomLeft" activeCell="A11" sqref="A11"/>
    </sheetView>
  </sheetViews>
  <sheetFormatPr defaultColWidth="9.140625" defaultRowHeight="13.5"/>
  <cols>
    <col min="1" max="2" width="35.7109375" style="320" bestFit="1" customWidth="1"/>
    <col min="3" max="3" width="23.7109375" style="320" customWidth="1"/>
    <col min="4" max="12" width="12.85546875" style="320" customWidth="1"/>
    <col min="13" max="13" width="1.7109375" style="320" customWidth="1"/>
    <col min="14" max="14" width="12.85546875" style="320" customWidth="1"/>
    <col min="15" max="15" width="1.5703125" style="320" customWidth="1"/>
    <col min="16" max="17" width="12.85546875" style="320" customWidth="1"/>
    <col min="18" max="16384" width="9.140625" style="320"/>
  </cols>
  <sheetData>
    <row r="1" spans="1:17">
      <c r="A1" s="340"/>
      <c r="B1" s="340"/>
      <c r="C1" s="340"/>
    </row>
    <row r="2" spans="1:17" ht="17.25">
      <c r="A2" s="357" t="str">
        <f>'1-Contractblad totaal'!A3</f>
        <v>Naam opdrachtgever</v>
      </c>
      <c r="B2" s="358" t="str">
        <f>'1-Contractblad totaal'!B3</f>
        <v>Hoogheemraadschap De Stichtse Rijnlanden</v>
      </c>
    </row>
    <row r="3" spans="1:17" ht="17.25">
      <c r="A3" s="357" t="str">
        <f>'1-Contractblad totaal'!A4</f>
        <v>Calculatie onderdeel</v>
      </c>
      <c r="B3" s="136" t="str">
        <f ca="1">MID(CELL("bestandsnaam",$D$9),SEARCH("]",CELL("bestandsnaam",$D$9),1)+1,256)</f>
        <v>11-Machinekosten</v>
      </c>
    </row>
    <row r="4" spans="1:17" ht="17.25">
      <c r="A4" s="357" t="str">
        <f>'1-Contractblad totaal'!A5</f>
        <v>Gebouw/plaats</v>
      </c>
      <c r="B4" s="358" t="str">
        <f>'1-Contractblad totaal'!B5</f>
        <v>Divers</v>
      </c>
    </row>
    <row r="5" spans="1:17" ht="17.25">
      <c r="A5" s="357" t="str">
        <f>'1-Contractblad totaal'!A6</f>
        <v>Referentie nummer</v>
      </c>
      <c r="B5" s="358" t="str">
        <f>'1-Contractblad totaal'!B6</f>
        <v>Invoer</v>
      </c>
    </row>
    <row r="6" spans="1:17" ht="17.25">
      <c r="A6" s="357" t="str">
        <f>'1-Contractblad totaal'!A8</f>
        <v>Naam dienstverlener</v>
      </c>
      <c r="B6" s="358">
        <f>'1-Contractblad totaal'!B8</f>
        <v>0</v>
      </c>
    </row>
    <row r="7" spans="1:17" ht="15.75">
      <c r="A7" s="357" t="str">
        <f>'1-Contractblad totaal'!A9</f>
        <v>Prijspeil</v>
      </c>
      <c r="B7" s="109">
        <f>'1-Contractblad totaal'!B9</f>
        <v>45017</v>
      </c>
    </row>
    <row r="8" spans="1:17" ht="15.75">
      <c r="A8" s="357"/>
    </row>
    <row r="9" spans="1:17" ht="15.75">
      <c r="A9" s="341"/>
      <c r="B9" s="341"/>
      <c r="C9" s="342"/>
    </row>
    <row r="10" spans="1:17" s="343" customFormat="1" ht="58.5" customHeight="1">
      <c r="A10" s="150" t="s">
        <v>106</v>
      </c>
      <c r="B10" s="150" t="s">
        <v>86</v>
      </c>
      <c r="C10" s="150" t="s">
        <v>87</v>
      </c>
      <c r="D10" s="150" t="s">
        <v>159</v>
      </c>
      <c r="E10" s="150" t="s">
        <v>42</v>
      </c>
      <c r="F10" s="150" t="s">
        <v>160</v>
      </c>
      <c r="G10" s="150" t="s">
        <v>249</v>
      </c>
      <c r="H10" s="150" t="s">
        <v>63</v>
      </c>
      <c r="I10" s="150" t="s">
        <v>250</v>
      </c>
      <c r="J10" s="150" t="s">
        <v>251</v>
      </c>
      <c r="K10" s="150" t="s">
        <v>48</v>
      </c>
      <c r="L10" s="150" t="s">
        <v>252</v>
      </c>
      <c r="M10" s="320"/>
      <c r="N10" s="150" t="s">
        <v>161</v>
      </c>
      <c r="O10" s="320"/>
      <c r="P10" s="150" t="s">
        <v>26</v>
      </c>
      <c r="Q10" s="150" t="s">
        <v>109</v>
      </c>
    </row>
    <row r="11" spans="1:17">
      <c r="D11" s="344"/>
      <c r="E11" s="344"/>
      <c r="F11" s="345"/>
      <c r="G11" s="344"/>
      <c r="H11" s="344"/>
      <c r="J11" s="436">
        <v>0</v>
      </c>
      <c r="K11" s="436">
        <v>0</v>
      </c>
      <c r="L11" s="436">
        <v>0</v>
      </c>
      <c r="N11" s="346"/>
      <c r="P11" s="345"/>
    </row>
    <row r="12" spans="1:17">
      <c r="A12" s="426" t="s">
        <v>379</v>
      </c>
      <c r="B12" s="426"/>
      <c r="C12" s="427"/>
      <c r="D12" s="428">
        <v>0</v>
      </c>
      <c r="E12" s="428">
        <v>0</v>
      </c>
      <c r="F12" s="347">
        <f>D12-E12</f>
        <v>0</v>
      </c>
      <c r="G12" s="424">
        <v>0</v>
      </c>
      <c r="H12" s="428">
        <v>0</v>
      </c>
      <c r="I12" s="348">
        <f>IF(G12=0,0,(F12-H12)/G12)</f>
        <v>0</v>
      </c>
      <c r="J12" s="349">
        <f>D12*$J$11</f>
        <v>0</v>
      </c>
      <c r="K12" s="348">
        <f>D12*$K$11</f>
        <v>0</v>
      </c>
      <c r="L12" s="350">
        <f>$L$11*D12</f>
        <v>0</v>
      </c>
      <c r="N12" s="351">
        <f>SUM(I12:L12)</f>
        <v>0</v>
      </c>
      <c r="P12" s="424">
        <v>0</v>
      </c>
      <c r="Q12" s="348">
        <f>N12*P12</f>
        <v>0</v>
      </c>
    </row>
    <row r="13" spans="1:17">
      <c r="A13" s="426" t="s">
        <v>380</v>
      </c>
      <c r="B13" s="426"/>
      <c r="C13" s="427"/>
      <c r="D13" s="428">
        <v>0</v>
      </c>
      <c r="E13" s="428">
        <v>0</v>
      </c>
      <c r="F13" s="347">
        <f t="shared" ref="F13:F15" si="0">D13-E13</f>
        <v>0</v>
      </c>
      <c r="G13" s="424">
        <v>0</v>
      </c>
      <c r="H13" s="428">
        <v>0</v>
      </c>
      <c r="I13" s="348">
        <f t="shared" ref="I13:I15" si="1">IF(G13=0,0,(F13-H13)/G13)</f>
        <v>0</v>
      </c>
      <c r="J13" s="349">
        <f t="shared" ref="J13:J15" si="2">D13*$J$11</f>
        <v>0</v>
      </c>
      <c r="K13" s="348">
        <f t="shared" ref="K13:K15" si="3">D13*$K$11</f>
        <v>0</v>
      </c>
      <c r="L13" s="350">
        <f t="shared" ref="L13:L15" si="4">$L$11*D13</f>
        <v>0</v>
      </c>
      <c r="N13" s="351">
        <f t="shared" ref="N13:N15" si="5">SUM(I13:L13)</f>
        <v>0</v>
      </c>
      <c r="P13" s="424">
        <v>0</v>
      </c>
      <c r="Q13" s="348">
        <f t="shared" ref="Q13:Q15" si="6">N13*P13</f>
        <v>0</v>
      </c>
    </row>
    <row r="14" spans="1:17">
      <c r="A14" s="426"/>
      <c r="B14" s="426"/>
      <c r="C14" s="427"/>
      <c r="D14" s="428">
        <v>0</v>
      </c>
      <c r="E14" s="428">
        <v>0</v>
      </c>
      <c r="F14" s="347">
        <f t="shared" si="0"/>
        <v>0</v>
      </c>
      <c r="G14" s="424">
        <v>0</v>
      </c>
      <c r="H14" s="428">
        <v>0</v>
      </c>
      <c r="I14" s="348">
        <f t="shared" si="1"/>
        <v>0</v>
      </c>
      <c r="J14" s="349">
        <f t="shared" si="2"/>
        <v>0</v>
      </c>
      <c r="K14" s="348">
        <f t="shared" si="3"/>
        <v>0</v>
      </c>
      <c r="L14" s="350">
        <f t="shared" si="4"/>
        <v>0</v>
      </c>
      <c r="N14" s="351">
        <f t="shared" si="5"/>
        <v>0</v>
      </c>
      <c r="P14" s="424">
        <v>0</v>
      </c>
      <c r="Q14" s="348">
        <f t="shared" si="6"/>
        <v>0</v>
      </c>
    </row>
    <row r="15" spans="1:17">
      <c r="A15" s="426"/>
      <c r="B15" s="426"/>
      <c r="C15" s="427"/>
      <c r="D15" s="428">
        <v>0</v>
      </c>
      <c r="E15" s="428">
        <v>0</v>
      </c>
      <c r="F15" s="347">
        <f t="shared" si="0"/>
        <v>0</v>
      </c>
      <c r="G15" s="424">
        <v>0</v>
      </c>
      <c r="H15" s="428">
        <v>0</v>
      </c>
      <c r="I15" s="348">
        <f t="shared" si="1"/>
        <v>0</v>
      </c>
      <c r="J15" s="349">
        <f t="shared" si="2"/>
        <v>0</v>
      </c>
      <c r="K15" s="348">
        <f t="shared" si="3"/>
        <v>0</v>
      </c>
      <c r="L15" s="350">
        <f t="shared" si="4"/>
        <v>0</v>
      </c>
      <c r="N15" s="351">
        <f t="shared" si="5"/>
        <v>0</v>
      </c>
      <c r="P15" s="424">
        <v>0</v>
      </c>
      <c r="Q15" s="348">
        <f t="shared" si="6"/>
        <v>0</v>
      </c>
    </row>
    <row r="16" spans="1:17">
      <c r="A16" s="426"/>
      <c r="B16" s="426"/>
      <c r="C16" s="427"/>
      <c r="D16" s="428">
        <v>0</v>
      </c>
      <c r="E16" s="428">
        <v>0</v>
      </c>
      <c r="F16" s="347">
        <f t="shared" ref="F16:F26" si="7">D16-E16</f>
        <v>0</v>
      </c>
      <c r="G16" s="424">
        <v>0</v>
      </c>
      <c r="H16" s="428">
        <v>0</v>
      </c>
      <c r="I16" s="348">
        <f t="shared" ref="I16:I26" si="8">IF(G16=0,0,(F16-H16)/G16)</f>
        <v>0</v>
      </c>
      <c r="J16" s="349">
        <f t="shared" ref="J16:J26" si="9">D16*$J$11</f>
        <v>0</v>
      </c>
      <c r="K16" s="348">
        <f t="shared" ref="K16:K26" si="10">D16*$K$11</f>
        <v>0</v>
      </c>
      <c r="L16" s="350">
        <f t="shared" ref="L16:L26" si="11">$L$11*D16</f>
        <v>0</v>
      </c>
      <c r="N16" s="351">
        <f t="shared" ref="N16:N26" si="12">SUM(I16:L16)</f>
        <v>0</v>
      </c>
      <c r="P16" s="424">
        <v>0</v>
      </c>
      <c r="Q16" s="348">
        <f t="shared" ref="Q16:Q26" si="13">N16*P16</f>
        <v>0</v>
      </c>
    </row>
    <row r="17" spans="1:17">
      <c r="A17" s="426"/>
      <c r="B17" s="426"/>
      <c r="C17" s="427"/>
      <c r="D17" s="428">
        <v>0</v>
      </c>
      <c r="E17" s="428">
        <v>0</v>
      </c>
      <c r="F17" s="347">
        <f t="shared" si="7"/>
        <v>0</v>
      </c>
      <c r="G17" s="424">
        <v>0</v>
      </c>
      <c r="H17" s="428">
        <v>0</v>
      </c>
      <c r="I17" s="348">
        <f t="shared" si="8"/>
        <v>0</v>
      </c>
      <c r="J17" s="349">
        <f t="shared" si="9"/>
        <v>0</v>
      </c>
      <c r="K17" s="348">
        <f t="shared" si="10"/>
        <v>0</v>
      </c>
      <c r="L17" s="350">
        <f t="shared" si="11"/>
        <v>0</v>
      </c>
      <c r="N17" s="351">
        <f t="shared" si="12"/>
        <v>0</v>
      </c>
      <c r="P17" s="424">
        <v>0</v>
      </c>
      <c r="Q17" s="348">
        <f t="shared" si="13"/>
        <v>0</v>
      </c>
    </row>
    <row r="18" spans="1:17">
      <c r="A18" s="426"/>
      <c r="B18" s="426"/>
      <c r="C18" s="427"/>
      <c r="D18" s="428">
        <v>0</v>
      </c>
      <c r="E18" s="428">
        <v>0</v>
      </c>
      <c r="F18" s="347">
        <f t="shared" si="7"/>
        <v>0</v>
      </c>
      <c r="G18" s="424">
        <v>0</v>
      </c>
      <c r="H18" s="428">
        <v>0</v>
      </c>
      <c r="I18" s="348">
        <f t="shared" si="8"/>
        <v>0</v>
      </c>
      <c r="J18" s="349">
        <f t="shared" si="9"/>
        <v>0</v>
      </c>
      <c r="K18" s="348">
        <f t="shared" si="10"/>
        <v>0</v>
      </c>
      <c r="L18" s="350">
        <f t="shared" si="11"/>
        <v>0</v>
      </c>
      <c r="N18" s="351">
        <f t="shared" si="12"/>
        <v>0</v>
      </c>
      <c r="P18" s="424">
        <v>0</v>
      </c>
      <c r="Q18" s="348">
        <f t="shared" si="13"/>
        <v>0</v>
      </c>
    </row>
    <row r="19" spans="1:17">
      <c r="A19" s="426"/>
      <c r="B19" s="426"/>
      <c r="C19" s="427"/>
      <c r="D19" s="428">
        <v>0</v>
      </c>
      <c r="E19" s="428">
        <v>0</v>
      </c>
      <c r="F19" s="347">
        <f t="shared" si="7"/>
        <v>0</v>
      </c>
      <c r="G19" s="424">
        <v>0</v>
      </c>
      <c r="H19" s="428">
        <v>0</v>
      </c>
      <c r="I19" s="348">
        <f t="shared" si="8"/>
        <v>0</v>
      </c>
      <c r="J19" s="349">
        <f t="shared" si="9"/>
        <v>0</v>
      </c>
      <c r="K19" s="348">
        <f t="shared" si="10"/>
        <v>0</v>
      </c>
      <c r="L19" s="350">
        <f t="shared" si="11"/>
        <v>0</v>
      </c>
      <c r="N19" s="351">
        <f t="shared" si="12"/>
        <v>0</v>
      </c>
      <c r="P19" s="424">
        <v>0</v>
      </c>
      <c r="Q19" s="348">
        <f t="shared" si="13"/>
        <v>0</v>
      </c>
    </row>
    <row r="20" spans="1:17">
      <c r="A20" s="426"/>
      <c r="B20" s="426"/>
      <c r="C20" s="427"/>
      <c r="D20" s="428">
        <v>0</v>
      </c>
      <c r="E20" s="428">
        <v>0</v>
      </c>
      <c r="F20" s="347">
        <f t="shared" si="7"/>
        <v>0</v>
      </c>
      <c r="G20" s="424">
        <v>0</v>
      </c>
      <c r="H20" s="428">
        <v>0</v>
      </c>
      <c r="I20" s="348">
        <f t="shared" si="8"/>
        <v>0</v>
      </c>
      <c r="J20" s="349">
        <f t="shared" si="9"/>
        <v>0</v>
      </c>
      <c r="K20" s="348">
        <f t="shared" si="10"/>
        <v>0</v>
      </c>
      <c r="L20" s="350">
        <f t="shared" si="11"/>
        <v>0</v>
      </c>
      <c r="N20" s="351">
        <f t="shared" si="12"/>
        <v>0</v>
      </c>
      <c r="P20" s="424">
        <v>0</v>
      </c>
      <c r="Q20" s="348">
        <f t="shared" si="13"/>
        <v>0</v>
      </c>
    </row>
    <row r="21" spans="1:17">
      <c r="A21" s="426"/>
      <c r="B21" s="426"/>
      <c r="C21" s="427"/>
      <c r="D21" s="428">
        <v>0</v>
      </c>
      <c r="E21" s="428">
        <v>0</v>
      </c>
      <c r="F21" s="347">
        <f t="shared" si="7"/>
        <v>0</v>
      </c>
      <c r="G21" s="424">
        <v>0</v>
      </c>
      <c r="H21" s="428">
        <v>0</v>
      </c>
      <c r="I21" s="348">
        <f t="shared" si="8"/>
        <v>0</v>
      </c>
      <c r="J21" s="349">
        <f t="shared" si="9"/>
        <v>0</v>
      </c>
      <c r="K21" s="348">
        <f t="shared" si="10"/>
        <v>0</v>
      </c>
      <c r="L21" s="350">
        <f t="shared" si="11"/>
        <v>0</v>
      </c>
      <c r="N21" s="351">
        <f t="shared" si="12"/>
        <v>0</v>
      </c>
      <c r="P21" s="424">
        <v>0</v>
      </c>
      <c r="Q21" s="348">
        <f t="shared" si="13"/>
        <v>0</v>
      </c>
    </row>
    <row r="22" spans="1:17">
      <c r="A22" s="426"/>
      <c r="B22" s="426"/>
      <c r="C22" s="427"/>
      <c r="D22" s="428">
        <v>0</v>
      </c>
      <c r="E22" s="428">
        <v>0</v>
      </c>
      <c r="F22" s="347">
        <f t="shared" si="7"/>
        <v>0</v>
      </c>
      <c r="G22" s="424">
        <v>0</v>
      </c>
      <c r="H22" s="428">
        <v>0</v>
      </c>
      <c r="I22" s="348">
        <f t="shared" si="8"/>
        <v>0</v>
      </c>
      <c r="J22" s="349">
        <f t="shared" si="9"/>
        <v>0</v>
      </c>
      <c r="K22" s="348">
        <f t="shared" si="10"/>
        <v>0</v>
      </c>
      <c r="L22" s="350">
        <f t="shared" si="11"/>
        <v>0</v>
      </c>
      <c r="N22" s="351">
        <f t="shared" si="12"/>
        <v>0</v>
      </c>
      <c r="P22" s="424">
        <v>0</v>
      </c>
      <c r="Q22" s="348">
        <f t="shared" si="13"/>
        <v>0</v>
      </c>
    </row>
    <row r="23" spans="1:17">
      <c r="A23" s="426"/>
      <c r="B23" s="426"/>
      <c r="C23" s="427"/>
      <c r="D23" s="428">
        <v>0</v>
      </c>
      <c r="E23" s="428">
        <v>0</v>
      </c>
      <c r="F23" s="347">
        <f t="shared" si="7"/>
        <v>0</v>
      </c>
      <c r="G23" s="424">
        <v>0</v>
      </c>
      <c r="H23" s="428">
        <v>0</v>
      </c>
      <c r="I23" s="348">
        <f t="shared" si="8"/>
        <v>0</v>
      </c>
      <c r="J23" s="349">
        <f t="shared" si="9"/>
        <v>0</v>
      </c>
      <c r="K23" s="348">
        <f t="shared" si="10"/>
        <v>0</v>
      </c>
      <c r="L23" s="350">
        <f t="shared" si="11"/>
        <v>0</v>
      </c>
      <c r="N23" s="351">
        <f t="shared" si="12"/>
        <v>0</v>
      </c>
      <c r="P23" s="424">
        <v>0</v>
      </c>
      <c r="Q23" s="348">
        <f t="shared" si="13"/>
        <v>0</v>
      </c>
    </row>
    <row r="24" spans="1:17">
      <c r="A24" s="426"/>
      <c r="B24" s="426"/>
      <c r="C24" s="427"/>
      <c r="D24" s="428">
        <v>0</v>
      </c>
      <c r="E24" s="428">
        <v>0</v>
      </c>
      <c r="F24" s="347">
        <f t="shared" si="7"/>
        <v>0</v>
      </c>
      <c r="G24" s="424">
        <v>0</v>
      </c>
      <c r="H24" s="428">
        <v>0</v>
      </c>
      <c r="I24" s="348">
        <f t="shared" si="8"/>
        <v>0</v>
      </c>
      <c r="J24" s="349">
        <f t="shared" si="9"/>
        <v>0</v>
      </c>
      <c r="K24" s="348">
        <f t="shared" si="10"/>
        <v>0</v>
      </c>
      <c r="L24" s="350">
        <f t="shared" si="11"/>
        <v>0</v>
      </c>
      <c r="N24" s="351">
        <f t="shared" si="12"/>
        <v>0</v>
      </c>
      <c r="P24" s="424">
        <v>0</v>
      </c>
      <c r="Q24" s="348">
        <f t="shared" si="13"/>
        <v>0</v>
      </c>
    </row>
    <row r="25" spans="1:17">
      <c r="A25" s="426"/>
      <c r="B25" s="426"/>
      <c r="C25" s="427"/>
      <c r="D25" s="428">
        <v>0</v>
      </c>
      <c r="E25" s="428">
        <v>0</v>
      </c>
      <c r="F25" s="347">
        <f t="shared" si="7"/>
        <v>0</v>
      </c>
      <c r="G25" s="424">
        <v>0</v>
      </c>
      <c r="H25" s="428">
        <v>0</v>
      </c>
      <c r="I25" s="348">
        <f t="shared" si="8"/>
        <v>0</v>
      </c>
      <c r="J25" s="349">
        <f t="shared" si="9"/>
        <v>0</v>
      </c>
      <c r="K25" s="348">
        <f t="shared" si="10"/>
        <v>0</v>
      </c>
      <c r="L25" s="350">
        <f t="shared" si="11"/>
        <v>0</v>
      </c>
      <c r="N25" s="351">
        <f t="shared" si="12"/>
        <v>0</v>
      </c>
      <c r="P25" s="424">
        <v>0</v>
      </c>
      <c r="Q25" s="348">
        <f t="shared" si="13"/>
        <v>0</v>
      </c>
    </row>
    <row r="26" spans="1:17">
      <c r="A26" s="426"/>
      <c r="B26" s="426"/>
      <c r="C26" s="427"/>
      <c r="D26" s="428">
        <v>0</v>
      </c>
      <c r="E26" s="428">
        <v>0</v>
      </c>
      <c r="F26" s="347">
        <f t="shared" si="7"/>
        <v>0</v>
      </c>
      <c r="G26" s="424">
        <v>0</v>
      </c>
      <c r="H26" s="428">
        <v>0</v>
      </c>
      <c r="I26" s="348">
        <f t="shared" si="8"/>
        <v>0</v>
      </c>
      <c r="J26" s="349">
        <f t="shared" si="9"/>
        <v>0</v>
      </c>
      <c r="K26" s="348">
        <f t="shared" si="10"/>
        <v>0</v>
      </c>
      <c r="L26" s="350">
        <f t="shared" si="11"/>
        <v>0</v>
      </c>
      <c r="N26" s="351">
        <f t="shared" si="12"/>
        <v>0</v>
      </c>
      <c r="P26" s="424">
        <v>0</v>
      </c>
      <c r="Q26" s="348">
        <f t="shared" si="13"/>
        <v>0</v>
      </c>
    </row>
    <row r="28" spans="1:17">
      <c r="A28" s="352"/>
      <c r="B28" s="352" t="s">
        <v>8</v>
      </c>
      <c r="C28" s="353"/>
      <c r="D28" s="353"/>
      <c r="E28" s="353"/>
      <c r="F28" s="353"/>
      <c r="G28" s="353"/>
      <c r="H28" s="353"/>
      <c r="I28" s="353"/>
      <c r="J28" s="353"/>
      <c r="K28" s="353"/>
      <c r="L28" s="354"/>
      <c r="P28" s="355">
        <f>SUM(P12:P26)</f>
        <v>0</v>
      </c>
      <c r="Q28" s="356">
        <f>SUM(Q12:Q26)</f>
        <v>0</v>
      </c>
    </row>
  </sheetData>
  <pageMargins left="0.59729166666666667" right="0.7" top="0.75" bottom="0.75" header="0.3" footer="0.3"/>
  <pageSetup paperSize="9" scale="52"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4">
    <tabColor theme="0" tint="-0.14999847407452621"/>
    <pageSetUpPr fitToPage="1"/>
  </sheetPr>
  <dimension ref="A1:M31"/>
  <sheetViews>
    <sheetView showGridLines="0" zoomScale="70" zoomScaleNormal="70" zoomScaleSheetLayoutView="100" zoomScalePageLayoutView="50" workbookViewId="0">
      <pane ySplit="11" topLeftCell="A12" activePane="bottomLeft" state="frozen"/>
      <selection activeCell="A6" sqref="A6:F6"/>
      <selection pane="bottomLeft" activeCell="H37" sqref="H37"/>
    </sheetView>
  </sheetViews>
  <sheetFormatPr defaultColWidth="9.140625" defaultRowHeight="13.5"/>
  <cols>
    <col min="1" max="1" width="28.28515625" style="320" customWidth="1"/>
    <col min="2" max="2" width="52.5703125" style="320" bestFit="1" customWidth="1"/>
    <col min="3" max="3" width="35.42578125" style="320" customWidth="1"/>
    <col min="4" max="4" width="27.85546875" style="320" customWidth="1"/>
    <col min="5" max="5" width="19.85546875" style="320" customWidth="1"/>
    <col min="6" max="6" width="16.42578125" style="320" customWidth="1"/>
    <col min="7" max="9" width="19.5703125" style="320" customWidth="1"/>
    <col min="10" max="16384" width="9.140625" style="320"/>
  </cols>
  <sheetData>
    <row r="1" spans="1:13">
      <c r="A1" s="423" t="s">
        <v>27</v>
      </c>
      <c r="B1" s="100"/>
      <c r="C1" s="100"/>
      <c r="D1" s="100"/>
      <c r="E1" s="100"/>
      <c r="F1" s="100"/>
      <c r="G1" s="100"/>
      <c r="H1" s="100"/>
      <c r="I1" s="100"/>
      <c r="J1" s="100"/>
      <c r="K1" s="100"/>
    </row>
    <row r="2" spans="1:13" ht="17.25">
      <c r="A2" s="359"/>
      <c r="B2" s="100"/>
      <c r="C2" s="100"/>
      <c r="D2" s="100"/>
      <c r="E2" s="360"/>
      <c r="F2" s="360"/>
      <c r="G2" s="360"/>
      <c r="H2" s="360"/>
      <c r="I2" s="360"/>
      <c r="J2" s="100"/>
      <c r="K2" s="100"/>
    </row>
    <row r="3" spans="1:13" ht="17.25">
      <c r="A3" s="73" t="str">
        <f>'1-Contractblad totaal'!A3</f>
        <v>Naam opdrachtgever</v>
      </c>
      <c r="B3" s="358" t="str">
        <f>'1-Contractblad totaal'!B3</f>
        <v>Hoogheemraadschap De Stichtse Rijnlanden</v>
      </c>
      <c r="C3" s="360"/>
      <c r="D3" s="100"/>
      <c r="E3" s="100"/>
      <c r="F3" s="100"/>
      <c r="G3" s="100"/>
      <c r="H3" s="360"/>
      <c r="I3" s="360"/>
      <c r="J3" s="286"/>
      <c r="K3" s="100"/>
    </row>
    <row r="4" spans="1:13" ht="17.25">
      <c r="A4" s="73" t="str">
        <f>'1-Contractblad totaal'!A4</f>
        <v>Calculatie onderdeel</v>
      </c>
      <c r="B4" s="358" t="str">
        <f ca="1">MID(CELL("bestandsnaam",$C$8),SEARCH("]",CELL("bestandsnaam",$C$8),1)+1,256)</f>
        <v>12-Sanitaire voorzieningen</v>
      </c>
      <c r="C4" s="360"/>
      <c r="D4" s="100"/>
      <c r="E4" s="100"/>
      <c r="F4" s="100"/>
      <c r="G4" s="100"/>
      <c r="H4" s="100"/>
      <c r="I4" s="360"/>
      <c r="J4" s="360"/>
      <c r="K4" s="360"/>
    </row>
    <row r="5" spans="1:13" ht="17.25">
      <c r="A5" s="73" t="str">
        <f>'1-Contractblad totaal'!A5</f>
        <v>Gebouw/plaats</v>
      </c>
      <c r="B5" s="358" t="str">
        <f>'1-Contractblad totaal'!B5</f>
        <v>Divers</v>
      </c>
      <c r="C5" s="361"/>
      <c r="D5" s="361"/>
      <c r="E5" s="100"/>
      <c r="F5" s="100"/>
      <c r="G5" s="100"/>
      <c r="H5" s="100"/>
      <c r="I5" s="360"/>
      <c r="J5" s="360"/>
      <c r="K5" s="360"/>
    </row>
    <row r="6" spans="1:13" ht="17.25">
      <c r="A6" s="73" t="str">
        <f>'1-Contractblad totaal'!A6</f>
        <v>Referentie nummer</v>
      </c>
      <c r="B6" s="358" t="str">
        <f>'1-Contractblad totaal'!B6</f>
        <v>Invoer</v>
      </c>
      <c r="C6" s="361"/>
      <c r="D6" s="361"/>
      <c r="E6" s="100"/>
      <c r="F6" s="100"/>
      <c r="G6" s="100"/>
      <c r="H6" s="100"/>
      <c r="I6" s="360"/>
      <c r="J6" s="360"/>
      <c r="K6" s="360"/>
    </row>
    <row r="7" spans="1:13" ht="17.25">
      <c r="A7" s="73" t="str">
        <f>'1-Contractblad totaal'!A8</f>
        <v>Naam dienstverlener</v>
      </c>
      <c r="B7" s="358">
        <f>'1-Contractblad totaal'!B8</f>
        <v>0</v>
      </c>
      <c r="C7" s="361"/>
      <c r="D7" s="361"/>
      <c r="E7" s="100"/>
      <c r="F7" s="100"/>
      <c r="G7" s="100"/>
      <c r="H7" s="100"/>
      <c r="I7" s="287"/>
      <c r="J7" s="287"/>
      <c r="K7" s="100"/>
    </row>
    <row r="8" spans="1:13" ht="17.25">
      <c r="A8" s="73" t="str">
        <f>'1-Contractblad totaal'!A9</f>
        <v>Prijspeil</v>
      </c>
      <c r="B8" s="109">
        <f>'1-Contractblad totaal'!B9</f>
        <v>45017</v>
      </c>
      <c r="C8" s="361"/>
      <c r="D8" s="361"/>
      <c r="E8" s="100"/>
      <c r="F8" s="100"/>
      <c r="G8" s="100"/>
      <c r="H8" s="100"/>
      <c r="I8" s="287"/>
      <c r="J8" s="287"/>
      <c r="K8" s="100"/>
    </row>
    <row r="9" spans="1:13" ht="17.25">
      <c r="A9" s="341"/>
      <c r="B9" s="289"/>
      <c r="C9" s="361"/>
      <c r="D9" s="361"/>
      <c r="E9" s="100"/>
      <c r="F9" s="100"/>
      <c r="G9" s="100"/>
      <c r="H9" s="100"/>
      <c r="I9" s="287"/>
      <c r="J9" s="287"/>
      <c r="K9" s="100"/>
    </row>
    <row r="10" spans="1:13" ht="17.25">
      <c r="A10" s="341"/>
      <c r="B10" s="289"/>
      <c r="C10" s="361"/>
      <c r="D10" s="361"/>
      <c r="E10" s="361"/>
      <c r="F10" s="287"/>
      <c r="G10" s="287"/>
      <c r="H10" s="287"/>
      <c r="I10" s="287"/>
      <c r="J10" s="287"/>
      <c r="K10" s="100"/>
    </row>
    <row r="11" spans="1:13" ht="51.75" thickBot="1">
      <c r="A11" s="372" t="s">
        <v>106</v>
      </c>
      <c r="B11" s="372" t="s">
        <v>373</v>
      </c>
      <c r="C11" s="539" t="s">
        <v>374</v>
      </c>
      <c r="D11" s="373" t="s">
        <v>171</v>
      </c>
      <c r="E11" s="373" t="s">
        <v>375</v>
      </c>
      <c r="F11" s="373" t="s">
        <v>376</v>
      </c>
      <c r="G11" s="373" t="s">
        <v>391</v>
      </c>
      <c r="H11" s="540" t="s">
        <v>392</v>
      </c>
      <c r="I11" s="541" t="s">
        <v>45</v>
      </c>
      <c r="J11" s="287"/>
      <c r="K11" s="289"/>
      <c r="L11" s="289"/>
      <c r="M11" s="362"/>
    </row>
    <row r="12" spans="1:13" ht="12.75" customHeight="1">
      <c r="A12" s="542" t="s">
        <v>379</v>
      </c>
      <c r="B12" s="543" t="s">
        <v>383</v>
      </c>
      <c r="C12" s="549"/>
      <c r="D12" s="549"/>
      <c r="E12" s="554" t="s">
        <v>370</v>
      </c>
      <c r="F12" s="554" t="s">
        <v>370</v>
      </c>
      <c r="G12" s="550"/>
      <c r="H12" s="544" t="s">
        <v>370</v>
      </c>
      <c r="I12" s="553" t="s">
        <v>370</v>
      </c>
      <c r="J12" s="287"/>
      <c r="K12" s="289"/>
      <c r="L12" s="289"/>
      <c r="M12" s="362"/>
    </row>
    <row r="13" spans="1:13" ht="12.75" customHeight="1">
      <c r="A13" s="545" t="s">
        <v>379</v>
      </c>
      <c r="B13" s="363" t="s">
        <v>381</v>
      </c>
      <c r="C13" s="424"/>
      <c r="D13" s="424"/>
      <c r="E13" s="546" t="s">
        <v>370</v>
      </c>
      <c r="F13" s="546" t="s">
        <v>370</v>
      </c>
      <c r="G13" s="551"/>
      <c r="H13" s="546" t="s">
        <v>370</v>
      </c>
      <c r="I13" s="547" t="s">
        <v>370</v>
      </c>
      <c r="J13" s="287"/>
      <c r="K13" s="289"/>
      <c r="L13" s="289"/>
      <c r="M13" s="362"/>
    </row>
    <row r="14" spans="1:13" ht="12.75" customHeight="1">
      <c r="A14" s="545" t="s">
        <v>379</v>
      </c>
      <c r="B14" s="363" t="s">
        <v>390</v>
      </c>
      <c r="C14" s="424"/>
      <c r="D14" s="424"/>
      <c r="E14" s="546" t="s">
        <v>370</v>
      </c>
      <c r="F14" s="546" t="s">
        <v>370</v>
      </c>
      <c r="G14" s="551"/>
      <c r="H14" s="546" t="s">
        <v>370</v>
      </c>
      <c r="I14" s="547" t="s">
        <v>370</v>
      </c>
      <c r="J14" s="287"/>
      <c r="K14" s="289"/>
      <c r="L14" s="289"/>
      <c r="M14" s="362"/>
    </row>
    <row r="15" spans="1:13" ht="12.75" customHeight="1">
      <c r="A15" s="545" t="s">
        <v>379</v>
      </c>
      <c r="B15" s="363" t="s">
        <v>389</v>
      </c>
      <c r="C15" s="424"/>
      <c r="D15" s="424"/>
      <c r="E15" s="546" t="s">
        <v>370</v>
      </c>
      <c r="F15" s="546" t="s">
        <v>370</v>
      </c>
      <c r="G15" s="551"/>
      <c r="H15" s="546" t="s">
        <v>370</v>
      </c>
      <c r="I15" s="547" t="s">
        <v>370</v>
      </c>
      <c r="J15" s="287"/>
      <c r="K15" s="289"/>
      <c r="L15" s="289"/>
      <c r="M15" s="362"/>
    </row>
    <row r="16" spans="1:13" ht="12.75" customHeight="1">
      <c r="A16" s="545" t="s">
        <v>379</v>
      </c>
      <c r="B16" s="363" t="s">
        <v>388</v>
      </c>
      <c r="C16" s="424"/>
      <c r="D16" s="424"/>
      <c r="E16" s="546" t="s">
        <v>370</v>
      </c>
      <c r="F16" s="546" t="s">
        <v>370</v>
      </c>
      <c r="G16" s="551"/>
      <c r="H16" s="546" t="s">
        <v>370</v>
      </c>
      <c r="I16" s="547" t="s">
        <v>370</v>
      </c>
      <c r="J16" s="287"/>
      <c r="K16" s="289"/>
      <c r="L16" s="289"/>
      <c r="M16" s="362"/>
    </row>
    <row r="17" spans="1:13" ht="12.75" customHeight="1">
      <c r="A17" s="545" t="s">
        <v>379</v>
      </c>
      <c r="B17" s="363" t="s">
        <v>377</v>
      </c>
      <c r="C17" s="424"/>
      <c r="D17" s="424"/>
      <c r="E17" s="546" t="s">
        <v>370</v>
      </c>
      <c r="F17" s="546" t="s">
        <v>370</v>
      </c>
      <c r="G17" s="551"/>
      <c r="H17" s="546" t="s">
        <v>370</v>
      </c>
      <c r="I17" s="547" t="s">
        <v>370</v>
      </c>
      <c r="J17" s="287"/>
      <c r="K17" s="362"/>
      <c r="L17" s="289"/>
      <c r="M17" s="362"/>
    </row>
    <row r="18" spans="1:13" ht="12.75" customHeight="1" thickBot="1">
      <c r="A18" s="545" t="s">
        <v>379</v>
      </c>
      <c r="B18" s="363" t="s">
        <v>378</v>
      </c>
      <c r="C18" s="424"/>
      <c r="D18" s="424"/>
      <c r="E18" s="546" t="s">
        <v>370</v>
      </c>
      <c r="F18" s="546" t="s">
        <v>370</v>
      </c>
      <c r="G18" s="551"/>
      <c r="H18" s="546" t="s">
        <v>370</v>
      </c>
      <c r="I18" s="547" t="s">
        <v>370</v>
      </c>
      <c r="J18" s="287"/>
      <c r="K18" s="362"/>
      <c r="L18" s="362"/>
      <c r="M18" s="362"/>
    </row>
    <row r="19" spans="1:13" ht="12.75" customHeight="1">
      <c r="A19" s="542" t="s">
        <v>380</v>
      </c>
      <c r="B19" s="543" t="s">
        <v>383</v>
      </c>
      <c r="C19" s="549"/>
      <c r="D19" s="549"/>
      <c r="E19" s="554" t="s">
        <v>370</v>
      </c>
      <c r="F19" s="554" t="s">
        <v>370</v>
      </c>
      <c r="G19" s="550"/>
      <c r="H19" s="544" t="s">
        <v>370</v>
      </c>
      <c r="I19" s="553" t="s">
        <v>370</v>
      </c>
      <c r="J19" s="287"/>
      <c r="K19" s="289"/>
      <c r="L19" s="289"/>
      <c r="M19" s="362"/>
    </row>
    <row r="20" spans="1:13" ht="12.75" customHeight="1">
      <c r="A20" s="545" t="s">
        <v>380</v>
      </c>
      <c r="B20" s="363" t="s">
        <v>381</v>
      </c>
      <c r="C20" s="424"/>
      <c r="D20" s="424"/>
      <c r="E20" s="546" t="s">
        <v>370</v>
      </c>
      <c r="F20" s="546" t="s">
        <v>370</v>
      </c>
      <c r="G20" s="551"/>
      <c r="H20" s="546" t="s">
        <v>370</v>
      </c>
      <c r="I20" s="547" t="s">
        <v>370</v>
      </c>
      <c r="J20" s="287"/>
      <c r="K20" s="289"/>
      <c r="L20" s="289"/>
      <c r="M20" s="362"/>
    </row>
    <row r="21" spans="1:13" ht="12.75" customHeight="1">
      <c r="A21" s="545" t="s">
        <v>380</v>
      </c>
      <c r="B21" s="363" t="s">
        <v>390</v>
      </c>
      <c r="C21" s="424"/>
      <c r="D21" s="424"/>
      <c r="E21" s="546" t="s">
        <v>370</v>
      </c>
      <c r="F21" s="546" t="s">
        <v>370</v>
      </c>
      <c r="G21" s="551"/>
      <c r="H21" s="546" t="s">
        <v>370</v>
      </c>
      <c r="I21" s="547" t="s">
        <v>370</v>
      </c>
      <c r="J21" s="287"/>
      <c r="K21" s="289"/>
      <c r="L21" s="289"/>
      <c r="M21" s="362"/>
    </row>
    <row r="22" spans="1:13" ht="12.75" customHeight="1">
      <c r="A22" s="545" t="s">
        <v>380</v>
      </c>
      <c r="B22" s="363" t="s">
        <v>389</v>
      </c>
      <c r="C22" s="424"/>
      <c r="D22" s="424"/>
      <c r="E22" s="546" t="s">
        <v>370</v>
      </c>
      <c r="F22" s="546" t="s">
        <v>370</v>
      </c>
      <c r="G22" s="551"/>
      <c r="H22" s="546" t="s">
        <v>370</v>
      </c>
      <c r="I22" s="547" t="s">
        <v>370</v>
      </c>
      <c r="J22" s="287"/>
      <c r="K22" s="289"/>
      <c r="L22" s="289"/>
      <c r="M22" s="362"/>
    </row>
    <row r="23" spans="1:13" ht="12.75" customHeight="1">
      <c r="A23" s="545" t="s">
        <v>380</v>
      </c>
      <c r="B23" s="363" t="s">
        <v>388</v>
      </c>
      <c r="C23" s="424"/>
      <c r="D23" s="424"/>
      <c r="E23" s="546" t="s">
        <v>370</v>
      </c>
      <c r="F23" s="546" t="s">
        <v>370</v>
      </c>
      <c r="G23" s="551"/>
      <c r="H23" s="546" t="s">
        <v>370</v>
      </c>
      <c r="I23" s="547" t="s">
        <v>370</v>
      </c>
      <c r="J23" s="287"/>
      <c r="K23" s="289"/>
      <c r="L23" s="289"/>
      <c r="M23" s="362"/>
    </row>
    <row r="24" spans="1:13" ht="12.75" customHeight="1">
      <c r="A24" s="545" t="s">
        <v>380</v>
      </c>
      <c r="B24" s="363" t="s">
        <v>377</v>
      </c>
      <c r="C24" s="424"/>
      <c r="D24" s="424"/>
      <c r="E24" s="546" t="s">
        <v>370</v>
      </c>
      <c r="F24" s="546" t="s">
        <v>370</v>
      </c>
      <c r="G24" s="551"/>
      <c r="H24" s="546" t="s">
        <v>370</v>
      </c>
      <c r="I24" s="547" t="s">
        <v>370</v>
      </c>
      <c r="J24" s="287"/>
      <c r="K24" s="362"/>
      <c r="L24" s="289"/>
      <c r="M24" s="362"/>
    </row>
    <row r="25" spans="1:13" ht="12.75" customHeight="1">
      <c r="A25" s="545" t="s">
        <v>380</v>
      </c>
      <c r="B25" s="363" t="s">
        <v>378</v>
      </c>
      <c r="C25" s="424"/>
      <c r="D25" s="424"/>
      <c r="E25" s="546" t="s">
        <v>370</v>
      </c>
      <c r="F25" s="546" t="s">
        <v>370</v>
      </c>
      <c r="G25" s="551"/>
      <c r="H25" s="546" t="s">
        <v>370</v>
      </c>
      <c r="I25" s="547" t="s">
        <v>370</v>
      </c>
      <c r="J25" s="287"/>
      <c r="K25" s="362"/>
      <c r="L25" s="362"/>
      <c r="M25" s="362"/>
    </row>
    <row r="26" spans="1:13" ht="12" customHeight="1">
      <c r="I26" s="287"/>
      <c r="J26" s="287"/>
      <c r="K26" s="100"/>
    </row>
    <row r="27" spans="1:13" s="367" customFormat="1" ht="15" customHeight="1">
      <c r="A27" s="364" t="s">
        <v>8</v>
      </c>
      <c r="B27" s="364"/>
      <c r="C27" s="365"/>
      <c r="D27" s="532"/>
      <c r="E27" s="532"/>
      <c r="F27" s="532"/>
      <c r="G27" s="552"/>
      <c r="H27" s="532"/>
      <c r="I27" s="366">
        <f>SUM(I12:I25)</f>
        <v>0</v>
      </c>
      <c r="J27" s="287"/>
      <c r="K27" s="368"/>
    </row>
    <row r="28" spans="1:13" ht="15">
      <c r="J28" s="287"/>
    </row>
    <row r="29" spans="1:13" ht="13.5" customHeight="1">
      <c r="A29" s="374" t="s">
        <v>244</v>
      </c>
      <c r="B29" s="359"/>
      <c r="C29" s="284"/>
      <c r="D29" s="369"/>
      <c r="E29" s="100"/>
      <c r="F29" s="287"/>
      <c r="G29" s="287"/>
      <c r="H29" s="287"/>
      <c r="J29" s="287"/>
    </row>
    <row r="30" spans="1:13" ht="12.75" customHeight="1">
      <c r="A30" s="370"/>
      <c r="B30" s="359"/>
      <c r="C30" s="284"/>
      <c r="D30" s="369"/>
      <c r="E30" s="100"/>
      <c r="F30" s="287"/>
      <c r="G30" s="287"/>
      <c r="H30" s="287"/>
    </row>
    <row r="31" spans="1:13" ht="27.75" customHeight="1">
      <c r="A31" s="641" t="s">
        <v>245</v>
      </c>
      <c r="B31" s="641"/>
      <c r="C31" s="641"/>
      <c r="D31" s="641"/>
      <c r="E31" s="641"/>
      <c r="F31" s="641"/>
      <c r="G31" s="533"/>
      <c r="H31" s="371"/>
    </row>
  </sheetData>
  <mergeCells count="1">
    <mergeCell ref="A31:F31"/>
  </mergeCells>
  <phoneticPr fontId="110" type="noConversion"/>
  <pageMargins left="0.59055118110236227" right="0.59055118110236227" top="0.59055118110236227" bottom="0.78740157480314965" header="0.39370078740157483" footer="0.19685039370078741"/>
  <pageSetup paperSize="9" scale="74" fitToHeight="0" orientation="landscape" r:id="rId1"/>
  <headerFooter alignWithMargins="0">
    <oddFooter>&amp;L&amp;"Verdana,Standaard"&amp;F-&amp;A
Atir b.v. ©&amp;R&amp;"Verdana,Standaard"printversie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Info blad</vt:lpstr>
      <vt:lpstr>1-Contractblad totaal</vt:lpstr>
      <vt:lpstr>2-Kosten per locatie</vt:lpstr>
      <vt:lpstr>3-Productie normen</vt:lpstr>
      <vt:lpstr>4-Basis ruimtestaat</vt:lpstr>
      <vt:lpstr>5-Premies en opslagen</vt:lpstr>
      <vt:lpstr>6a-Opbouw uurtarief productie</vt:lpstr>
      <vt:lpstr>6b-Opbouw uurtarief specialist</vt:lpstr>
      <vt:lpstr>7-Opbouw uurtarief toezicht</vt:lpstr>
      <vt:lpstr>8-Additionele werkzaamheden</vt:lpstr>
      <vt:lpstr>9-Afroepprijs</vt:lpstr>
      <vt:lpstr>10-Glasbewassing</vt:lpstr>
      <vt:lpstr>11-Machinekosten</vt:lpstr>
      <vt:lpstr>12-Sanitaire voorzieningen</vt:lpstr>
      <vt:lpstr>'12-Sanitaire voorzieningen'!Afdrukbereik</vt:lpstr>
      <vt:lpstr>'1-Contractblad totaal'!Afdrukbereik</vt:lpstr>
      <vt:lpstr>'2-Kosten per locatie'!Afdrukbereik</vt:lpstr>
      <vt:lpstr>'4-Basis ruimtestaat'!Afdrukbereik</vt:lpstr>
      <vt:lpstr>'5-Premies en opslagen'!Afdrukbereik</vt:lpstr>
      <vt:lpstr>'6a-Opbouw uurtarief productie'!Afdrukbereik</vt:lpstr>
      <vt:lpstr>'6b-Opbouw uurtarief specialist'!Afdrukbereik</vt:lpstr>
      <vt:lpstr>'9-Afroepprijs'!Afdrukbereik</vt:lpstr>
      <vt:lpstr>'Info blad'!Afdrukbereik</vt:lpstr>
      <vt:lpstr>'10-Glasbewassing'!Afdruktitels</vt:lpstr>
      <vt:lpstr>'2-Kosten per locatie'!Afdruktitels</vt:lpstr>
      <vt:lpstr>'4-Basis ruimtestaat'!Afdruktitels</vt:lpstr>
      <vt:lpstr>'6a-Opbouw uurtarief productie'!Afdruktitels</vt:lpstr>
      <vt:lpstr>'6b-Opbouw uurtarief specialist'!Afdruktitels</vt:lpstr>
      <vt:lpstr>'9-Afroepprijs'!Afdruktitels</vt:lpstr>
      <vt:lpstr>'2-Kosten per locatie'!gebouw</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Sandra Geerlings</cp:lastModifiedBy>
  <cp:lastPrinted>2022-09-09T14:28:19Z</cp:lastPrinted>
  <dcterms:created xsi:type="dcterms:W3CDTF">1999-10-05T12:28:40Z</dcterms:created>
  <dcterms:modified xsi:type="dcterms:W3CDTF">2022-10-12T13:30:04Z</dcterms:modified>
</cp:coreProperties>
</file>